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354B4456-4327-447F-8A67-34046D5BE068}" xr6:coauthVersionLast="46" xr6:coauthVersionMax="46" xr10:uidLastSave="{00000000-0000-0000-0000-000000000000}"/>
  <bookViews>
    <workbookView xWindow="-120" yWindow="-120" windowWidth="29040" windowHeight="15840" tabRatio="723" activeTab="7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Data_Validation!$M$4:$M$10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Print_AAD!$C$1:$S$399,Print_AAD!$V$401:$AO$497</definedName>
    <definedName name="_xlnm.Print_Area" localSheetId="5">Print_Mois!$C$1:$S$399,Print_Mois!$V$401:$AP$497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AE297" i="3" l="1"/>
  <c r="AE296" i="3"/>
  <c r="AE295" i="3"/>
  <c r="AE294" i="3"/>
  <c r="W8" i="3" l="1"/>
  <c r="Q169" i="5" l="1"/>
  <c r="P169" i="5" s="1"/>
  <c r="S169" i="5"/>
  <c r="L697" i="5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94" i="15" s="1"/>
  <c r="D394" i="15" s="1"/>
  <c r="E378" i="15"/>
  <c r="E377" i="15"/>
  <c r="AO376" i="15"/>
  <c r="AN376" i="15" s="1"/>
  <c r="AL376" i="15"/>
  <c r="AL396" i="15" s="1"/>
  <c r="AK396" i="15" s="1"/>
  <c r="AI376" i="15"/>
  <c r="AF376" i="15"/>
  <c r="AE376" i="15"/>
  <c r="AC376" i="15"/>
  <c r="AB376" i="15" s="1"/>
  <c r="Z376" i="15"/>
  <c r="W376" i="15"/>
  <c r="T376" i="15"/>
  <c r="S376" i="15"/>
  <c r="Q376" i="15"/>
  <c r="Q396" i="15" s="1"/>
  <c r="P396" i="15" s="1"/>
  <c r="P376" i="15"/>
  <c r="N376" i="15"/>
  <c r="N396" i="15" s="1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N361" i="15"/>
  <c r="AM361" i="15"/>
  <c r="AL361" i="15"/>
  <c r="AJ361" i="15"/>
  <c r="AK361" i="15" s="1"/>
  <c r="AI361" i="15"/>
  <c r="AH361" i="15"/>
  <c r="AG361" i="15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M361" i="15"/>
  <c r="L361" i="15"/>
  <c r="K361" i="15"/>
  <c r="I361" i="15"/>
  <c r="J361" i="15" s="1"/>
  <c r="H361" i="15"/>
  <c r="F361" i="15"/>
  <c r="G361" i="15" s="1"/>
  <c r="E361" i="15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D303" i="15"/>
  <c r="C303" i="15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D301" i="15"/>
  <c r="C301" i="15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L252" i="15" s="1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N252" i="15" s="1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AI445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W446" i="15"/>
  <c r="Q444" i="15"/>
  <c r="AC443" i="15"/>
  <c r="AO442" i="15"/>
  <c r="Q442" i="15"/>
  <c r="E66" i="15"/>
  <c r="AF439" i="15"/>
  <c r="AC439" i="15"/>
  <c r="H439" i="15"/>
  <c r="AO438" i="15"/>
  <c r="H437" i="15"/>
  <c r="AO436" i="15"/>
  <c r="T436" i="15"/>
  <c r="Q436" i="15"/>
  <c r="K436" i="15"/>
  <c r="AC435" i="15"/>
  <c r="H435" i="15"/>
  <c r="AO434" i="15"/>
  <c r="AI434" i="15"/>
  <c r="T434" i="15"/>
  <c r="Q434" i="15"/>
  <c r="K434" i="15"/>
  <c r="W433" i="15"/>
  <c r="E56" i="15"/>
  <c r="AL430" i="15"/>
  <c r="Z430" i="15"/>
  <c r="W430" i="15"/>
  <c r="T430" i="15"/>
  <c r="N430" i="15"/>
  <c r="AO429" i="15"/>
  <c r="AL429" i="15"/>
  <c r="AI429" i="15"/>
  <c r="Z429" i="15"/>
  <c r="Q429" i="15"/>
  <c r="N429" i="15"/>
  <c r="K429" i="15"/>
  <c r="AL428" i="15"/>
  <c r="AC428" i="15"/>
  <c r="Z428" i="15"/>
  <c r="W428" i="15"/>
  <c r="N428" i="15"/>
  <c r="AO427" i="15"/>
  <c r="AL427" i="15"/>
  <c r="AI427" i="15"/>
  <c r="Z427" i="15"/>
  <c r="Q427" i="15"/>
  <c r="N427" i="15"/>
  <c r="K427" i="15"/>
  <c r="E51" i="15"/>
  <c r="E50" i="15"/>
  <c r="E49" i="15"/>
  <c r="E48" i="15"/>
  <c r="AO422" i="15"/>
  <c r="AL422" i="15"/>
  <c r="AI422" i="15"/>
  <c r="AC422" i="15"/>
  <c r="W422" i="15"/>
  <c r="Q422" i="15"/>
  <c r="K422" i="15"/>
  <c r="AO421" i="15"/>
  <c r="AI421" i="15"/>
  <c r="AC421" i="15"/>
  <c r="Z421" i="15"/>
  <c r="W421" i="15"/>
  <c r="Q421" i="15"/>
  <c r="K421" i="15"/>
  <c r="AO420" i="15"/>
  <c r="AL420" i="15"/>
  <c r="AC420" i="15"/>
  <c r="W420" i="15"/>
  <c r="Q420" i="15"/>
  <c r="N420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AO414" i="15"/>
  <c r="AL414" i="15"/>
  <c r="AI414" i="15"/>
  <c r="AF414" i="15"/>
  <c r="AC414" i="15"/>
  <c r="Z414" i="15"/>
  <c r="W414" i="15"/>
  <c r="Q414" i="15"/>
  <c r="N414" i="15"/>
  <c r="K414" i="15"/>
  <c r="H414" i="15"/>
  <c r="AI413" i="15"/>
  <c r="Z413" i="15"/>
  <c r="T413" i="15"/>
  <c r="AI412" i="15"/>
  <c r="W412" i="15"/>
  <c r="K412" i="15"/>
  <c r="Z411" i="15"/>
  <c r="AO410" i="15"/>
  <c r="AC410" i="15"/>
  <c r="Q410" i="15"/>
  <c r="AL409" i="15"/>
  <c r="AI409" i="15"/>
  <c r="N409" i="15"/>
  <c r="K409" i="15"/>
  <c r="AI408" i="15"/>
  <c r="AC408" i="15"/>
  <c r="W408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D13" i="15"/>
  <c r="C13" i="15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D11" i="15"/>
  <c r="C11" i="15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E492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C464" i="16"/>
  <c r="E454" i="16"/>
  <c r="B401" i="16"/>
  <c r="K396" i="16"/>
  <c r="AO394" i="16"/>
  <c r="AL394" i="16"/>
  <c r="AI394" i="16"/>
  <c r="AH394" i="16" s="1"/>
  <c r="AF394" i="16"/>
  <c r="AE394" i="16" s="1"/>
  <c r="AC394" i="16"/>
  <c r="AB394" i="16"/>
  <c r="Z394" i="16"/>
  <c r="W394" i="16"/>
  <c r="V394" i="16" s="1"/>
  <c r="T394" i="16"/>
  <c r="S394" i="16" s="1"/>
  <c r="Q394" i="16"/>
  <c r="P394" i="16"/>
  <c r="N394" i="16"/>
  <c r="K394" i="16"/>
  <c r="J394" i="16" s="1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K376" i="16"/>
  <c r="AI376" i="16"/>
  <c r="AH376" i="16"/>
  <c r="AF376" i="16"/>
  <c r="AE376" i="16" s="1"/>
  <c r="AC376" i="16"/>
  <c r="AB376" i="16" s="1"/>
  <c r="Z376" i="16"/>
  <c r="Y376" i="16" s="1"/>
  <c r="W376" i="16"/>
  <c r="V376" i="16" s="1"/>
  <c r="T376" i="16"/>
  <c r="S376" i="16" s="1"/>
  <c r="Q376" i="16"/>
  <c r="P376" i="16"/>
  <c r="N376" i="16"/>
  <c r="M376" i="16" s="1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K361" i="16" s="1"/>
  <c r="AI361" i="16"/>
  <c r="AG361" i="16"/>
  <c r="AF361" i="16"/>
  <c r="AD361" i="16"/>
  <c r="AC361" i="16"/>
  <c r="AB361" i="16"/>
  <c r="AA361" i="16"/>
  <c r="Z361" i="16"/>
  <c r="X361" i="16"/>
  <c r="W361" i="16"/>
  <c r="V361" i="16"/>
  <c r="U361" i="16"/>
  <c r="T361" i="16"/>
  <c r="R361" i="16"/>
  <c r="S361" i="16" s="1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E336" i="16"/>
  <c r="E329" i="16"/>
  <c r="E324" i="16"/>
  <c r="E323" i="16"/>
  <c r="E322" i="16"/>
  <c r="E321" i="16"/>
  <c r="E320" i="16"/>
  <c r="Q330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D312" i="16"/>
  <c r="Y308" i="16"/>
  <c r="S308" i="16"/>
  <c r="P308" i="16"/>
  <c r="G308" i="16"/>
  <c r="AK307" i="16"/>
  <c r="Y307" i="16"/>
  <c r="P307" i="16"/>
  <c r="M307" i="16"/>
  <c r="AN303" i="16"/>
  <c r="AK303" i="16"/>
  <c r="AH303" i="16"/>
  <c r="AE303" i="16"/>
  <c r="AB303" i="16"/>
  <c r="Y303" i="16"/>
  <c r="V303" i="16"/>
  <c r="S303" i="16"/>
  <c r="P303" i="16"/>
  <c r="M303" i="16"/>
  <c r="J303" i="16"/>
  <c r="G303" i="16"/>
  <c r="C303" i="16"/>
  <c r="D303" i="16" s="1"/>
  <c r="AN302" i="16"/>
  <c r="AK302" i="16"/>
  <c r="AH302" i="16"/>
  <c r="AE302" i="16"/>
  <c r="AB302" i="16"/>
  <c r="Y302" i="16"/>
  <c r="V302" i="16"/>
  <c r="S302" i="16"/>
  <c r="P302" i="16"/>
  <c r="M302" i="16"/>
  <c r="J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K300" i="16"/>
  <c r="Y300" i="16"/>
  <c r="P300" i="16"/>
  <c r="M300" i="16"/>
  <c r="J300" i="16"/>
  <c r="G300" i="16"/>
  <c r="AK299" i="16"/>
  <c r="M299" i="16"/>
  <c r="J299" i="16"/>
  <c r="G299" i="16"/>
  <c r="AK298" i="16"/>
  <c r="AE298" i="16"/>
  <c r="Y298" i="16"/>
  <c r="M298" i="16"/>
  <c r="AN297" i="16"/>
  <c r="AK297" i="16"/>
  <c r="AE297" i="16"/>
  <c r="AB297" i="16"/>
  <c r="P297" i="16"/>
  <c r="M297" i="16"/>
  <c r="AK296" i="16"/>
  <c r="AE296" i="16"/>
  <c r="AB296" i="16"/>
  <c r="G296" i="16"/>
  <c r="V295" i="16"/>
  <c r="S295" i="16"/>
  <c r="B291" i="16"/>
  <c r="B355" i="16" s="1"/>
  <c r="E284" i="16"/>
  <c r="E283" i="16"/>
  <c r="E282" i="16"/>
  <c r="K285" i="16"/>
  <c r="J285" i="16" s="1"/>
  <c r="E266" i="16"/>
  <c r="E261" i="16"/>
  <c r="E260" i="16"/>
  <c r="E259" i="16"/>
  <c r="P251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C243" i="16"/>
  <c r="AN251" i="16"/>
  <c r="AK251" i="16"/>
  <c r="AI251" i="16"/>
  <c r="AH251" i="16"/>
  <c r="AF251" i="16"/>
  <c r="AE251" i="16"/>
  <c r="AC251" i="16"/>
  <c r="AB251" i="16"/>
  <c r="Y251" i="16"/>
  <c r="V251" i="16"/>
  <c r="T251" i="16"/>
  <c r="M251" i="16"/>
  <c r="K251" i="16"/>
  <c r="J251" i="16"/>
  <c r="E242" i="16"/>
  <c r="G251" i="16"/>
  <c r="C242" i="16"/>
  <c r="B237" i="16"/>
  <c r="E229" i="16"/>
  <c r="E228" i="16"/>
  <c r="E227" i="16"/>
  <c r="AF230" i="16"/>
  <c r="E211" i="16"/>
  <c r="E206" i="16"/>
  <c r="E205" i="16"/>
  <c r="E204" i="16"/>
  <c r="AF212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4" i="16"/>
  <c r="E193" i="16"/>
  <c r="D193" i="16"/>
  <c r="C193" i="16"/>
  <c r="AI191" i="16"/>
  <c r="T191" i="16"/>
  <c r="K191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4" i="16"/>
  <c r="AK185" i="16"/>
  <c r="AH185" i="16"/>
  <c r="AC184" i="16"/>
  <c r="Y185" i="16"/>
  <c r="W184" i="16"/>
  <c r="N184" i="16"/>
  <c r="M185" i="16"/>
  <c r="AO181" i="16"/>
  <c r="Y182" i="16"/>
  <c r="Q181" i="16"/>
  <c r="AC178" i="16"/>
  <c r="W178" i="16"/>
  <c r="B170" i="16"/>
  <c r="Z165" i="16"/>
  <c r="E163" i="16"/>
  <c r="E162" i="16"/>
  <c r="E161" i="16"/>
  <c r="AO474" i="16"/>
  <c r="AL474" i="16"/>
  <c r="AI474" i="16"/>
  <c r="AF474" i="16"/>
  <c r="AC474" i="16"/>
  <c r="Z474" i="16"/>
  <c r="W474" i="16"/>
  <c r="T474" i="16"/>
  <c r="Q474" i="16"/>
  <c r="N474" i="16"/>
  <c r="K474" i="16"/>
  <c r="H474" i="16"/>
  <c r="AO473" i="16"/>
  <c r="AL473" i="16"/>
  <c r="AI473" i="16"/>
  <c r="AF473" i="16"/>
  <c r="AC473" i="16"/>
  <c r="Z473" i="16"/>
  <c r="W473" i="16"/>
  <c r="T473" i="16"/>
  <c r="Q473" i="16"/>
  <c r="N473" i="16"/>
  <c r="K473" i="16"/>
  <c r="H473" i="16"/>
  <c r="AO472" i="16"/>
  <c r="AL472" i="16"/>
  <c r="AI472" i="16"/>
  <c r="AF472" i="16"/>
  <c r="Z472" i="16"/>
  <c r="W472" i="16"/>
  <c r="Q472" i="16"/>
  <c r="N472" i="16"/>
  <c r="K472" i="16"/>
  <c r="H472" i="16"/>
  <c r="E154" i="16"/>
  <c r="E153" i="16"/>
  <c r="E152" i="16"/>
  <c r="AL155" i="16"/>
  <c r="N155" i="16"/>
  <c r="E136" i="16"/>
  <c r="E131" i="16"/>
  <c r="E130" i="16"/>
  <c r="E129" i="16"/>
  <c r="E128" i="16"/>
  <c r="AI137" i="16"/>
  <c r="W137" i="16"/>
  <c r="E123" i="16"/>
  <c r="E122" i="16"/>
  <c r="E121" i="16"/>
  <c r="AO124" i="16"/>
  <c r="AL124" i="16"/>
  <c r="AC107" i="16"/>
  <c r="AH102" i="16"/>
  <c r="V102" i="16"/>
  <c r="P102" i="16"/>
  <c r="J102" i="16"/>
  <c r="AB98" i="16"/>
  <c r="Z99" i="16"/>
  <c r="V98" i="16"/>
  <c r="S98" i="16"/>
  <c r="AO99" i="16"/>
  <c r="AL99" i="16"/>
  <c r="AC99" i="16"/>
  <c r="T99" i="16"/>
  <c r="Q99" i="16"/>
  <c r="K99" i="16"/>
  <c r="F99" i="16"/>
  <c r="B92" i="16"/>
  <c r="W443" i="16" s="1"/>
  <c r="AC478" i="16"/>
  <c r="Z478" i="16"/>
  <c r="E84" i="16"/>
  <c r="E83" i="16"/>
  <c r="E82" i="16"/>
  <c r="AO468" i="16"/>
  <c r="AL468" i="16"/>
  <c r="AI468" i="16"/>
  <c r="AF468" i="16"/>
  <c r="AC468" i="16"/>
  <c r="Z468" i="16"/>
  <c r="W468" i="16"/>
  <c r="T468" i="16"/>
  <c r="Q468" i="16"/>
  <c r="N468" i="16"/>
  <c r="K468" i="16"/>
  <c r="E80" i="16"/>
  <c r="E79" i="16"/>
  <c r="AO469" i="16"/>
  <c r="AL469" i="16"/>
  <c r="AI469" i="16"/>
  <c r="AF469" i="16"/>
  <c r="Z469" i="16"/>
  <c r="W469" i="16"/>
  <c r="N469" i="16"/>
  <c r="K469" i="16"/>
  <c r="H469" i="16"/>
  <c r="E74" i="16"/>
  <c r="E73" i="16"/>
  <c r="E72" i="16"/>
  <c r="AI444" i="16"/>
  <c r="W441" i="16"/>
  <c r="AL440" i="16"/>
  <c r="AI438" i="16"/>
  <c r="N438" i="16"/>
  <c r="AI436" i="16"/>
  <c r="T436" i="16"/>
  <c r="AO434" i="16"/>
  <c r="AL434" i="16"/>
  <c r="E58" i="16"/>
  <c r="E56" i="16"/>
  <c r="W430" i="16"/>
  <c r="H429" i="16"/>
  <c r="AO428" i="16"/>
  <c r="AF427" i="16"/>
  <c r="AC427" i="16"/>
  <c r="E51" i="16"/>
  <c r="E50" i="16"/>
  <c r="E49" i="16"/>
  <c r="E48" i="16"/>
  <c r="AI422" i="16"/>
  <c r="T421" i="16"/>
  <c r="Q421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 s="1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/>
  <c r="AF414" i="16"/>
  <c r="AC414" i="16"/>
  <c r="H414" i="16"/>
  <c r="AO413" i="16"/>
  <c r="AF413" i="16"/>
  <c r="T413" i="16"/>
  <c r="Q413" i="16"/>
  <c r="H413" i="16"/>
  <c r="AF412" i="16"/>
  <c r="AC412" i="16"/>
  <c r="T412" i="16"/>
  <c r="H412" i="16"/>
  <c r="AO411" i="16"/>
  <c r="AF411" i="16"/>
  <c r="T411" i="16"/>
  <c r="Q411" i="16"/>
  <c r="H411" i="16"/>
  <c r="AF410" i="16"/>
  <c r="AC410" i="16"/>
  <c r="Z410" i="16"/>
  <c r="Q410" i="16"/>
  <c r="AL409" i="16"/>
  <c r="AI409" i="16"/>
  <c r="AF409" i="16"/>
  <c r="Z409" i="16"/>
  <c r="N409" i="16"/>
  <c r="K409" i="16"/>
  <c r="H409" i="16"/>
  <c r="AO408" i="16"/>
  <c r="AF408" i="16"/>
  <c r="W408" i="16"/>
  <c r="T408" i="16"/>
  <c r="Q408" i="16"/>
  <c r="K408" i="16"/>
  <c r="H408" i="16"/>
  <c r="E25" i="16"/>
  <c r="AN20" i="16"/>
  <c r="AK20" i="16"/>
  <c r="AH20" i="16"/>
  <c r="AE20" i="16"/>
  <c r="AB20" i="16"/>
  <c r="Y20" i="16"/>
  <c r="V20" i="16"/>
  <c r="S20" i="16"/>
  <c r="P20" i="16"/>
  <c r="M20" i="16"/>
  <c r="J20" i="16"/>
  <c r="AE18" i="16"/>
  <c r="S18" i="16"/>
  <c r="G18" i="16"/>
  <c r="T16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H10" i="16"/>
  <c r="V10" i="16"/>
  <c r="P10" i="16"/>
  <c r="J10" i="16"/>
  <c r="H16" i="16"/>
  <c r="AK9" i="16"/>
  <c r="AI16" i="16"/>
  <c r="AE9" i="16"/>
  <c r="X16" i="16"/>
  <c r="X27" i="16" s="1"/>
  <c r="W16" i="16"/>
  <c r="S9" i="16"/>
  <c r="L16" i="16"/>
  <c r="F16" i="16"/>
  <c r="B1" i="16"/>
  <c r="B1" i="15"/>
  <c r="A226" i="17"/>
  <c r="B68" i="17"/>
  <c r="B82" i="17"/>
  <c r="B82" i="3"/>
  <c r="B68" i="3"/>
  <c r="AO396" i="16" l="1"/>
  <c r="AN396" i="16" s="1"/>
  <c r="AO409" i="16"/>
  <c r="AI410" i="16"/>
  <c r="W411" i="16"/>
  <c r="K412" i="16"/>
  <c r="AI412" i="16"/>
  <c r="AH412" i="16" s="1"/>
  <c r="W413" i="16"/>
  <c r="K414" i="16"/>
  <c r="AI414" i="16"/>
  <c r="W421" i="16"/>
  <c r="AI427" i="16"/>
  <c r="K429" i="16"/>
  <c r="W435" i="16"/>
  <c r="AL436" i="16"/>
  <c r="AL438" i="16"/>
  <c r="Z441" i="16"/>
  <c r="E249" i="16"/>
  <c r="AF396" i="16"/>
  <c r="AE396" i="16" s="1"/>
  <c r="E471" i="16"/>
  <c r="E249" i="15"/>
  <c r="AF396" i="15"/>
  <c r="AE396" i="15" s="1"/>
  <c r="Q409" i="16"/>
  <c r="AL410" i="16"/>
  <c r="N412" i="16"/>
  <c r="AL412" i="16"/>
  <c r="Z413" i="16"/>
  <c r="N414" i="16"/>
  <c r="AL414" i="16"/>
  <c r="AO421" i="16"/>
  <c r="AL427" i="16"/>
  <c r="AC429" i="16"/>
  <c r="K434" i="16"/>
  <c r="Z435" i="16"/>
  <c r="AO436" i="16"/>
  <c r="AO438" i="16"/>
  <c r="K442" i="16"/>
  <c r="AC396" i="16"/>
  <c r="AB396" i="16" s="1"/>
  <c r="AI396" i="16"/>
  <c r="H410" i="16"/>
  <c r="Z411" i="16"/>
  <c r="AC408" i="16"/>
  <c r="T409" i="16"/>
  <c r="N410" i="16"/>
  <c r="AO410" i="16"/>
  <c r="AC411" i="16"/>
  <c r="E411" i="16" s="1"/>
  <c r="Q412" i="16"/>
  <c r="AO412" i="16"/>
  <c r="AC413" i="16"/>
  <c r="Q414" i="16"/>
  <c r="AO414" i="16"/>
  <c r="H422" i="16"/>
  <c r="Q428" i="16"/>
  <c r="AF429" i="16"/>
  <c r="N434" i="16"/>
  <c r="AC435" i="16"/>
  <c r="W437" i="16"/>
  <c r="W439" i="16"/>
  <c r="N442" i="16"/>
  <c r="H396" i="16"/>
  <c r="G396" i="16" s="1"/>
  <c r="AC437" i="15"/>
  <c r="Q440" i="15"/>
  <c r="AO444" i="15"/>
  <c r="E471" i="15"/>
  <c r="T414" i="16"/>
  <c r="H420" i="16"/>
  <c r="K422" i="16"/>
  <c r="H427" i="16"/>
  <c r="T428" i="16"/>
  <c r="AI429" i="16"/>
  <c r="Q434" i="16"/>
  <c r="K436" i="16"/>
  <c r="Z437" i="16"/>
  <c r="K440" i="16"/>
  <c r="AI442" i="16"/>
  <c r="AF437" i="15"/>
  <c r="AO440" i="15"/>
  <c r="K445" i="15"/>
  <c r="T396" i="15"/>
  <c r="E470" i="15"/>
  <c r="AI408" i="16"/>
  <c r="AC409" i="16"/>
  <c r="T410" i="16"/>
  <c r="K411" i="16"/>
  <c r="AI411" i="16"/>
  <c r="W412" i="16"/>
  <c r="E412" i="16" s="1"/>
  <c r="K413" i="16"/>
  <c r="AI413" i="16"/>
  <c r="W414" i="16"/>
  <c r="AC420" i="16"/>
  <c r="AC422" i="16"/>
  <c r="K427" i="16"/>
  <c r="W428" i="16"/>
  <c r="Q430" i="16"/>
  <c r="T434" i="16"/>
  <c r="N436" i="16"/>
  <c r="AC437" i="16"/>
  <c r="N440" i="16"/>
  <c r="Q396" i="16"/>
  <c r="P396" i="16" s="1"/>
  <c r="AF435" i="15"/>
  <c r="Q438" i="15"/>
  <c r="AC445" i="15"/>
  <c r="Z396" i="15"/>
  <c r="Y396" i="15" s="1"/>
  <c r="N411" i="16"/>
  <c r="AL411" i="16"/>
  <c r="Z412" i="16"/>
  <c r="N413" i="16"/>
  <c r="AL413" i="16"/>
  <c r="Z414" i="16"/>
  <c r="E414" i="16" s="1"/>
  <c r="AF420" i="16"/>
  <c r="AF422" i="16"/>
  <c r="N427" i="16"/>
  <c r="Z428" i="16"/>
  <c r="T430" i="16"/>
  <c r="AI434" i="16"/>
  <c r="Q436" i="16"/>
  <c r="K438" i="16"/>
  <c r="AI440" i="16"/>
  <c r="K444" i="16"/>
  <c r="K417" i="16"/>
  <c r="AO398" i="16"/>
  <c r="AN394" i="16"/>
  <c r="T438" i="15"/>
  <c r="AC441" i="15"/>
  <c r="AF398" i="15"/>
  <c r="AC57" i="16"/>
  <c r="Q440" i="16"/>
  <c r="AO440" i="16"/>
  <c r="AC441" i="16"/>
  <c r="Q442" i="16"/>
  <c r="AO442" i="16"/>
  <c r="P98" i="16"/>
  <c r="AN98" i="16"/>
  <c r="K187" i="16"/>
  <c r="AB176" i="16"/>
  <c r="AI175" i="16"/>
  <c r="G179" i="16"/>
  <c r="AE179" i="16"/>
  <c r="J182" i="16"/>
  <c r="Z181" i="16"/>
  <c r="AH182" i="16"/>
  <c r="N191" i="16"/>
  <c r="AC191" i="16"/>
  <c r="AL191" i="16"/>
  <c r="AN295" i="16"/>
  <c r="Y297" i="16"/>
  <c r="V298" i="16"/>
  <c r="AE299" i="16"/>
  <c r="S300" i="16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N429" i="16"/>
  <c r="AL429" i="16"/>
  <c r="Z430" i="16"/>
  <c r="AF437" i="16"/>
  <c r="H439" i="16"/>
  <c r="AF439" i="16"/>
  <c r="AF478" i="16"/>
  <c r="AF479" i="16" s="1"/>
  <c r="AC110" i="16"/>
  <c r="Z124" i="16"/>
  <c r="AB182" i="16"/>
  <c r="H184" i="16"/>
  <c r="AF184" i="16"/>
  <c r="AF267" i="16"/>
  <c r="AH299" i="16"/>
  <c r="V300" i="16"/>
  <c r="C307" i="16"/>
  <c r="AB307" i="16"/>
  <c r="AN307" i="16"/>
  <c r="AB308" i="16"/>
  <c r="AF330" i="16"/>
  <c r="T330" i="16"/>
  <c r="L16" i="15"/>
  <c r="L27" i="15" s="1"/>
  <c r="U30" i="15"/>
  <c r="W27" i="15"/>
  <c r="U35" i="15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N420" i="16"/>
  <c r="N422" i="16"/>
  <c r="T107" i="16"/>
  <c r="T110" i="16" s="1"/>
  <c r="AC124" i="16"/>
  <c r="E303" i="16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AL420" i="16"/>
  <c r="AL422" i="16"/>
  <c r="T420" i="16"/>
  <c r="H421" i="16"/>
  <c r="AF421" i="16"/>
  <c r="T422" i="16"/>
  <c r="T427" i="16"/>
  <c r="H428" i="16"/>
  <c r="AF428" i="16"/>
  <c r="T429" i="16"/>
  <c r="H430" i="16"/>
  <c r="AF430" i="16"/>
  <c r="N478" i="16"/>
  <c r="AL478" i="16"/>
  <c r="G97" i="16"/>
  <c r="E105" i="16"/>
  <c r="E148" i="16"/>
  <c r="N175" i="16"/>
  <c r="V176" i="16"/>
  <c r="AL175" i="16"/>
  <c r="AF191" i="16"/>
  <c r="N230" i="16"/>
  <c r="N267" i="16"/>
  <c r="AL267" i="16"/>
  <c r="AK267" i="16" s="1"/>
  <c r="T304" i="16"/>
  <c r="T309" i="16" s="1"/>
  <c r="T314" i="16" s="1"/>
  <c r="E302" i="16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AD16" i="16"/>
  <c r="Z421" i="16"/>
  <c r="E22" i="16"/>
  <c r="T27" i="16"/>
  <c r="M9" i="16"/>
  <c r="Z16" i="16"/>
  <c r="AL16" i="16"/>
  <c r="M18" i="16"/>
  <c r="Y18" i="16"/>
  <c r="K421" i="16"/>
  <c r="AI421" i="16"/>
  <c r="W422" i="16"/>
  <c r="W427" i="16"/>
  <c r="K428" i="16"/>
  <c r="AI428" i="16"/>
  <c r="W429" i="16"/>
  <c r="J97" i="16"/>
  <c r="AH97" i="16"/>
  <c r="J98" i="16"/>
  <c r="AH98" i="16"/>
  <c r="AB102" i="16"/>
  <c r="AN102" i="16"/>
  <c r="Z107" i="16"/>
  <c r="J185" i="16"/>
  <c r="AC212" i="16"/>
  <c r="Q230" i="16"/>
  <c r="AO230" i="16"/>
  <c r="AC252" i="16"/>
  <c r="J295" i="16"/>
  <c r="J296" i="16"/>
  <c r="AE307" i="16"/>
  <c r="K464" i="16"/>
  <c r="AI464" i="16"/>
  <c r="E456" i="16"/>
  <c r="V10" i="15"/>
  <c r="AF27" i="15"/>
  <c r="AD35" i="15" s="1"/>
  <c r="H409" i="15"/>
  <c r="G409" i="15" s="1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AB10" i="16"/>
  <c r="AN10" i="16"/>
  <c r="AK18" i="16"/>
  <c r="Z420" i="16"/>
  <c r="N421" i="16"/>
  <c r="AL421" i="16"/>
  <c r="Z422" i="16"/>
  <c r="AF442" i="16"/>
  <c r="T443" i="16"/>
  <c r="H444" i="16"/>
  <c r="AF444" i="16"/>
  <c r="AI99" i="16"/>
  <c r="S102" i="16"/>
  <c r="AE102" i="16"/>
  <c r="P182" i="16"/>
  <c r="AN182" i="16"/>
  <c r="E208" i="16"/>
  <c r="AH296" i="16"/>
  <c r="J297" i="16"/>
  <c r="AB298" i="16"/>
  <c r="P299" i="16"/>
  <c r="AB299" i="16"/>
  <c r="AB300" i="16"/>
  <c r="AN300" i="16"/>
  <c r="J308" i="16"/>
  <c r="V308" i="16"/>
  <c r="AH308" i="16"/>
  <c r="E491" i="16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97" i="16"/>
  <c r="N178" i="16"/>
  <c r="V179" i="16"/>
  <c r="AL178" i="16"/>
  <c r="T243" i="16"/>
  <c r="AF252" i="16"/>
  <c r="S251" i="16"/>
  <c r="T252" i="16" s="1"/>
  <c r="Y295" i="16"/>
  <c r="Y296" i="16"/>
  <c r="V297" i="16"/>
  <c r="AH297" i="16"/>
  <c r="G298" i="16"/>
  <c r="S298" i="16"/>
  <c r="E328" i="16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N169" i="5"/>
  <c r="O169" i="5"/>
  <c r="AC443" i="16"/>
  <c r="Q444" i="16"/>
  <c r="AO444" i="16"/>
  <c r="AC445" i="16"/>
  <c r="Q446" i="16"/>
  <c r="AO446" i="16"/>
  <c r="T469" i="16"/>
  <c r="T86" i="16"/>
  <c r="E135" i="16"/>
  <c r="AC155" i="16"/>
  <c r="S182" i="16"/>
  <c r="AI181" i="16"/>
  <c r="O304" i="16"/>
  <c r="O309" i="16" s="1"/>
  <c r="P295" i="16"/>
  <c r="Y9" i="16"/>
  <c r="L27" i="16"/>
  <c r="Q469" i="16"/>
  <c r="Q86" i="16"/>
  <c r="K181" i="16"/>
  <c r="S18" i="15"/>
  <c r="Q16" i="16"/>
  <c r="O34" i="16" s="1"/>
  <c r="E38" i="16"/>
  <c r="Q420" i="16"/>
  <c r="AO420" i="16"/>
  <c r="AC421" i="16"/>
  <c r="Q422" i="16"/>
  <c r="AO422" i="16"/>
  <c r="Q427" i="16"/>
  <c r="AO427" i="16"/>
  <c r="AC428" i="16"/>
  <c r="Q429" i="16"/>
  <c r="AO429" i="16"/>
  <c r="AC430" i="16"/>
  <c r="T440" i="16"/>
  <c r="H441" i="16"/>
  <c r="AF441" i="16"/>
  <c r="T442" i="16"/>
  <c r="H443" i="16"/>
  <c r="AF443" i="16"/>
  <c r="T444" i="16"/>
  <c r="AF445" i="16"/>
  <c r="T446" i="16"/>
  <c r="E133" i="16"/>
  <c r="T181" i="16"/>
  <c r="W251" i="16"/>
  <c r="W252" i="16" s="1"/>
  <c r="W243" i="16"/>
  <c r="E257" i="16"/>
  <c r="E269" i="16"/>
  <c r="E274" i="16"/>
  <c r="E277" i="16"/>
  <c r="E279" i="16"/>
  <c r="E281" i="16"/>
  <c r="P298" i="16"/>
  <c r="E318" i="16"/>
  <c r="H330" i="16"/>
  <c r="AC330" i="16"/>
  <c r="E340" i="16"/>
  <c r="E24" i="15"/>
  <c r="E26" i="15"/>
  <c r="AI304" i="15"/>
  <c r="AI309" i="15" s="1"/>
  <c r="AI314" i="15" s="1"/>
  <c r="AH295" i="15"/>
  <c r="K435" i="16"/>
  <c r="AI435" i="16"/>
  <c r="K437" i="16"/>
  <c r="AI437" i="16"/>
  <c r="W438" i="16"/>
  <c r="K439" i="16"/>
  <c r="AI439" i="16"/>
  <c r="W440" i="16"/>
  <c r="E440" i="16" s="1"/>
  <c r="K441" i="16"/>
  <c r="AI441" i="16"/>
  <c r="W442" i="16"/>
  <c r="K443" i="16"/>
  <c r="AI443" i="16"/>
  <c r="K445" i="16"/>
  <c r="AI445" i="16"/>
  <c r="W446" i="16"/>
  <c r="M98" i="16"/>
  <c r="E145" i="16"/>
  <c r="J179" i="16"/>
  <c r="Z178" i="16"/>
  <c r="AH179" i="16"/>
  <c r="V185" i="16"/>
  <c r="AE185" i="16"/>
  <c r="AL184" i="16"/>
  <c r="E219" i="16"/>
  <c r="E225" i="16"/>
  <c r="W267" i="16"/>
  <c r="AL348" i="16"/>
  <c r="P10" i="15"/>
  <c r="AH18" i="15"/>
  <c r="E20" i="15"/>
  <c r="G9" i="16"/>
  <c r="AJ16" i="16"/>
  <c r="AA16" i="16"/>
  <c r="AC27" i="16"/>
  <c r="AA35" i="16" s="1"/>
  <c r="AF16" i="16"/>
  <c r="E18" i="16"/>
  <c r="E24" i="16"/>
  <c r="AF27" i="16"/>
  <c r="AD35" i="16" s="1"/>
  <c r="K430" i="16"/>
  <c r="E430" i="16" s="1"/>
  <c r="AI430" i="16"/>
  <c r="Z434" i="16"/>
  <c r="AL435" i="16"/>
  <c r="Z436" i="16"/>
  <c r="N437" i="16"/>
  <c r="AL437" i="16"/>
  <c r="Z438" i="16"/>
  <c r="N439" i="16"/>
  <c r="AL439" i="16"/>
  <c r="Z440" i="16"/>
  <c r="N441" i="16"/>
  <c r="AL441" i="16"/>
  <c r="AG187" i="16"/>
  <c r="Z251" i="16"/>
  <c r="Z252" i="16" s="1"/>
  <c r="Z243" i="16"/>
  <c r="I99" i="16"/>
  <c r="J106" i="16" s="1"/>
  <c r="AC16" i="16"/>
  <c r="K16" i="16"/>
  <c r="N16" i="16"/>
  <c r="AO16" i="16"/>
  <c r="AM34" i="16" s="1"/>
  <c r="Y10" i="16"/>
  <c r="R34" i="16"/>
  <c r="Z427" i="16"/>
  <c r="AB97" i="16"/>
  <c r="AA99" i="16"/>
  <c r="J187" i="16"/>
  <c r="R187" i="16"/>
  <c r="Z187" i="16"/>
  <c r="AH187" i="16"/>
  <c r="K175" i="16"/>
  <c r="AA187" i="16"/>
  <c r="T212" i="16"/>
  <c r="T232" i="16" s="1"/>
  <c r="E210" i="16"/>
  <c r="U304" i="16"/>
  <c r="AF304" i="16"/>
  <c r="AF309" i="16" s="1"/>
  <c r="AF314" i="16" s="1"/>
  <c r="S296" i="16"/>
  <c r="E457" i="16"/>
  <c r="J20" i="15"/>
  <c r="Q27" i="16"/>
  <c r="O35" i="16" s="1"/>
  <c r="AO27" i="16"/>
  <c r="AM35" i="16" s="1"/>
  <c r="H442" i="16"/>
  <c r="E67" i="16"/>
  <c r="W86" i="16"/>
  <c r="E147" i="16"/>
  <c r="E159" i="16"/>
  <c r="H165" i="16"/>
  <c r="S187" i="16"/>
  <c r="S196" i="16" s="1"/>
  <c r="S176" i="16"/>
  <c r="T175" i="16"/>
  <c r="AI187" i="16"/>
  <c r="AI212" i="16"/>
  <c r="AH295" i="16"/>
  <c r="C300" i="16"/>
  <c r="Z30" i="15"/>
  <c r="N422" i="15"/>
  <c r="E47" i="15"/>
  <c r="AO86" i="16"/>
  <c r="E97" i="16"/>
  <c r="S97" i="16"/>
  <c r="AD99" i="16"/>
  <c r="AE97" i="16"/>
  <c r="E139" i="16"/>
  <c r="E144" i="16"/>
  <c r="E146" i="16"/>
  <c r="V299" i="16"/>
  <c r="E36" i="15"/>
  <c r="E38" i="15"/>
  <c r="E132" i="15"/>
  <c r="AO184" i="15"/>
  <c r="AN185" i="15"/>
  <c r="E217" i="15"/>
  <c r="H107" i="15"/>
  <c r="E104" i="15"/>
  <c r="E296" i="15"/>
  <c r="G296" i="15"/>
  <c r="N428" i="16"/>
  <c r="AL428" i="16"/>
  <c r="Z429" i="16"/>
  <c r="N430" i="16"/>
  <c r="AL430" i="16"/>
  <c r="AC434" i="16"/>
  <c r="Q435" i="16"/>
  <c r="AO435" i="16"/>
  <c r="AC436" i="16"/>
  <c r="Q437" i="16"/>
  <c r="AO437" i="16"/>
  <c r="AC438" i="16"/>
  <c r="Q439" i="16"/>
  <c r="AO439" i="16"/>
  <c r="AC440" i="16"/>
  <c r="Q441" i="16"/>
  <c r="AO441" i="16"/>
  <c r="Z442" i="16"/>
  <c r="AL443" i="16"/>
  <c r="Z444" i="16"/>
  <c r="N445" i="16"/>
  <c r="AL445" i="16"/>
  <c r="Z446" i="16"/>
  <c r="K478" i="16"/>
  <c r="AI478" i="16"/>
  <c r="E96" i="16"/>
  <c r="U99" i="16"/>
  <c r="V106" i="16" s="1"/>
  <c r="AK98" i="16"/>
  <c r="H107" i="16"/>
  <c r="AF124" i="16"/>
  <c r="Z137" i="16"/>
  <c r="N137" i="16"/>
  <c r="T155" i="16"/>
  <c r="AF165" i="16"/>
  <c r="L187" i="16"/>
  <c r="AB187" i="16"/>
  <c r="AB188" i="16" s="1"/>
  <c r="AJ187" i="16"/>
  <c r="K178" i="16"/>
  <c r="S179" i="16"/>
  <c r="AI178" i="16"/>
  <c r="P185" i="16"/>
  <c r="AN185" i="16"/>
  <c r="Q184" i="16"/>
  <c r="N212" i="16"/>
  <c r="AL212" i="16"/>
  <c r="W230" i="16"/>
  <c r="E222" i="16"/>
  <c r="E263" i="16"/>
  <c r="W285" i="16"/>
  <c r="V285" i="16" s="1"/>
  <c r="AI285" i="16"/>
  <c r="AH285" i="16" s="1"/>
  <c r="E275" i="16"/>
  <c r="C295" i="16"/>
  <c r="AN308" i="16"/>
  <c r="E332" i="16"/>
  <c r="N464" i="16"/>
  <c r="AL464" i="16"/>
  <c r="X16" i="15"/>
  <c r="X30" i="15" s="1"/>
  <c r="E10" i="15"/>
  <c r="AN107" i="15"/>
  <c r="Q187" i="15"/>
  <c r="Q196" i="15" s="1"/>
  <c r="Q178" i="15"/>
  <c r="AO430" i="16"/>
  <c r="H434" i="16"/>
  <c r="AF434" i="16"/>
  <c r="T435" i="16"/>
  <c r="H436" i="16"/>
  <c r="AF436" i="16"/>
  <c r="T437" i="16"/>
  <c r="H438" i="16"/>
  <c r="AF438" i="16"/>
  <c r="T439" i="16"/>
  <c r="H440" i="16"/>
  <c r="AF440" i="16"/>
  <c r="AC442" i="16"/>
  <c r="Q443" i="16"/>
  <c r="AO443" i="16"/>
  <c r="AC444" i="16"/>
  <c r="Q445" i="16"/>
  <c r="AO445" i="16"/>
  <c r="AC446" i="16"/>
  <c r="E78" i="16"/>
  <c r="M97" i="16"/>
  <c r="AG99" i="16"/>
  <c r="M102" i="16"/>
  <c r="K107" i="16"/>
  <c r="K110" i="16" s="1"/>
  <c r="AF107" i="16"/>
  <c r="E106" i="16"/>
  <c r="K124" i="16"/>
  <c r="E120" i="16"/>
  <c r="AC137" i="16"/>
  <c r="AC157" i="16" s="1"/>
  <c r="AB157" i="16" s="1"/>
  <c r="E158" i="16"/>
  <c r="M187" i="16"/>
  <c r="M188" i="16" s="1"/>
  <c r="U187" i="16"/>
  <c r="AC187" i="16"/>
  <c r="AK187" i="16"/>
  <c r="T178" i="16"/>
  <c r="AB179" i="16"/>
  <c r="N181" i="16"/>
  <c r="V182" i="16"/>
  <c r="AC181" i="16"/>
  <c r="AL181" i="16"/>
  <c r="Z184" i="16"/>
  <c r="W191" i="16"/>
  <c r="Q212" i="16"/>
  <c r="Q232" i="16" s="1"/>
  <c r="AO212" i="16"/>
  <c r="E224" i="16"/>
  <c r="E256" i="16"/>
  <c r="E264" i="16"/>
  <c r="Z304" i="16"/>
  <c r="Z309" i="16" s="1"/>
  <c r="Z314" i="16" s="1"/>
  <c r="V296" i="16"/>
  <c r="C297" i="16"/>
  <c r="AE300" i="16"/>
  <c r="V307" i="16"/>
  <c r="AH307" i="16"/>
  <c r="AE308" i="16"/>
  <c r="N330" i="16"/>
  <c r="N350" i="16" s="1"/>
  <c r="AL330" i="16"/>
  <c r="Z348" i="16"/>
  <c r="E338" i="16"/>
  <c r="E453" i="16"/>
  <c r="AO464" i="16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C300" i="15"/>
  <c r="G300" i="15"/>
  <c r="T445" i="16"/>
  <c r="H446" i="16"/>
  <c r="AF446" i="16"/>
  <c r="N479" i="16"/>
  <c r="AL479" i="16"/>
  <c r="Q478" i="16"/>
  <c r="AO478" i="16"/>
  <c r="N99" i="16"/>
  <c r="N107" i="16"/>
  <c r="AI107" i="16"/>
  <c r="AI110" i="16" s="1"/>
  <c r="AH137" i="16" s="1"/>
  <c r="W107" i="16"/>
  <c r="H137" i="16"/>
  <c r="AF137" i="16"/>
  <c r="E149" i="16"/>
  <c r="F187" i="16"/>
  <c r="AD187" i="16"/>
  <c r="E220" i="16"/>
  <c r="AL230" i="16"/>
  <c r="K267" i="16"/>
  <c r="J267" i="16" s="1"/>
  <c r="AI267" i="16"/>
  <c r="T464" i="16"/>
  <c r="E452" i="16"/>
  <c r="C9" i="15"/>
  <c r="E22" i="15"/>
  <c r="T27" i="15"/>
  <c r="R35" i="15" s="1"/>
  <c r="R34" i="15"/>
  <c r="E37" i="15"/>
  <c r="Z422" i="15"/>
  <c r="O304" i="15"/>
  <c r="P295" i="15"/>
  <c r="T478" i="16"/>
  <c r="Y102" i="16"/>
  <c r="Q107" i="16"/>
  <c r="AL107" i="16"/>
  <c r="AL110" i="16" s="1"/>
  <c r="Q124" i="16"/>
  <c r="E134" i="16"/>
  <c r="Q155" i="16"/>
  <c r="AO155" i="16"/>
  <c r="G176" i="16"/>
  <c r="W175" i="16"/>
  <c r="AE176" i="16"/>
  <c r="C177" i="16"/>
  <c r="W181" i="16"/>
  <c r="E183" i="16"/>
  <c r="D183" i="16"/>
  <c r="AI184" i="16"/>
  <c r="Q191" i="16"/>
  <c r="AO191" i="16"/>
  <c r="W212" i="16"/>
  <c r="E213" i="16"/>
  <c r="E215" i="16"/>
  <c r="T230" i="16"/>
  <c r="H243" i="16"/>
  <c r="AF243" i="16"/>
  <c r="Z267" i="16"/>
  <c r="E296" i="16"/>
  <c r="AO330" i="16"/>
  <c r="E331" i="16"/>
  <c r="E333" i="16"/>
  <c r="AC30" i="15"/>
  <c r="H243" i="15"/>
  <c r="H251" i="15"/>
  <c r="E242" i="15"/>
  <c r="AF243" i="15"/>
  <c r="AF251" i="15"/>
  <c r="AF252" i="15" s="1"/>
  <c r="E265" i="15"/>
  <c r="AL442" i="16"/>
  <c r="Z443" i="16"/>
  <c r="N444" i="16"/>
  <c r="AL444" i="16"/>
  <c r="Z445" i="16"/>
  <c r="N446" i="16"/>
  <c r="AL446" i="16"/>
  <c r="AK97" i="16"/>
  <c r="G102" i="16"/>
  <c r="AK102" i="16"/>
  <c r="AO107" i="16"/>
  <c r="AO110" i="16" s="1"/>
  <c r="E115" i="16"/>
  <c r="E116" i="16"/>
  <c r="AL137" i="16"/>
  <c r="AL157" i="16" s="1"/>
  <c r="E140" i="16"/>
  <c r="E142" i="16"/>
  <c r="H175" i="16"/>
  <c r="P176" i="16"/>
  <c r="AF175" i="16"/>
  <c r="AN176" i="16"/>
  <c r="T184" i="16"/>
  <c r="AB185" i="16"/>
  <c r="Z191" i="16"/>
  <c r="E209" i="16"/>
  <c r="E217" i="16"/>
  <c r="E221" i="16"/>
  <c r="E223" i="16"/>
  <c r="H251" i="16"/>
  <c r="AC267" i="16"/>
  <c r="AB267" i="16" s="1"/>
  <c r="P296" i="16"/>
  <c r="S297" i="16"/>
  <c r="AH298" i="16"/>
  <c r="E299" i="16"/>
  <c r="S299" i="16"/>
  <c r="AN299" i="16"/>
  <c r="AH300" i="16"/>
  <c r="M308" i="16"/>
  <c r="E326" i="16"/>
  <c r="K348" i="16"/>
  <c r="AI348" i="16"/>
  <c r="E339" i="16"/>
  <c r="E342" i="16"/>
  <c r="E459" i="16"/>
  <c r="J9" i="15"/>
  <c r="E71" i="15"/>
  <c r="W478" i="15"/>
  <c r="W86" i="15"/>
  <c r="E308" i="15"/>
  <c r="T330" i="15"/>
  <c r="E340" i="15"/>
  <c r="E341" i="15"/>
  <c r="E459" i="15"/>
  <c r="J298" i="16"/>
  <c r="AN298" i="16"/>
  <c r="Y299" i="16"/>
  <c r="J307" i="16"/>
  <c r="S307" i="16"/>
  <c r="AK308" i="16"/>
  <c r="Z330" i="16"/>
  <c r="Z350" i="16" s="1"/>
  <c r="Y350" i="16" s="1"/>
  <c r="W330" i="16"/>
  <c r="N348" i="16"/>
  <c r="E341" i="16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T110" i="15" s="1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AO350" i="15" s="1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N187" i="15"/>
  <c r="D177" i="15"/>
  <c r="D179" i="15" s="1"/>
  <c r="N212" i="15"/>
  <c r="AL212" i="15"/>
  <c r="AL232" i="15" s="1"/>
  <c r="E210" i="15"/>
  <c r="N230" i="15"/>
  <c r="M230" i="15" s="1"/>
  <c r="E226" i="15"/>
  <c r="T304" i="15"/>
  <c r="T309" i="15" s="1"/>
  <c r="T314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K350" i="15" s="1"/>
  <c r="AI348" i="15"/>
  <c r="W464" i="15"/>
  <c r="E455" i="15"/>
  <c r="E457" i="15"/>
  <c r="AL30" i="15"/>
  <c r="L34" i="15"/>
  <c r="Y16" i="15"/>
  <c r="AK25" i="15"/>
  <c r="AK16" i="15"/>
  <c r="AJ30" i="15"/>
  <c r="AK24" i="15"/>
  <c r="AJ27" i="15"/>
  <c r="AK36" i="15" s="1"/>
  <c r="AK26" i="15"/>
  <c r="O35" i="15"/>
  <c r="AD30" i="15"/>
  <c r="AE30" i="15" s="1"/>
  <c r="E27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7" i="15" s="1"/>
  <c r="P105" i="15"/>
  <c r="AJ107" i="15"/>
  <c r="AK107" i="15" s="1"/>
  <c r="AK118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8" i="15" s="1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8" i="15" s="1"/>
  <c r="AI411" i="15"/>
  <c r="N412" i="15"/>
  <c r="N413" i="15"/>
  <c r="T421" i="15"/>
  <c r="E421" i="15" s="1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20" i="15" s="1"/>
  <c r="E45" i="15"/>
  <c r="K57" i="15"/>
  <c r="AI420" i="15"/>
  <c r="AI57" i="15"/>
  <c r="AC433" i="15"/>
  <c r="AC75" i="15"/>
  <c r="AB75" i="15" s="1"/>
  <c r="AB9" i="15"/>
  <c r="AK10" i="15"/>
  <c r="AI27" i="15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AG35" i="15"/>
  <c r="Z410" i="15"/>
  <c r="E39" i="15"/>
  <c r="W413" i="15"/>
  <c r="W435" i="15"/>
  <c r="E60" i="15"/>
  <c r="H444" i="15"/>
  <c r="E69" i="15"/>
  <c r="AF157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AB414" i="15"/>
  <c r="W44" i="15"/>
  <c r="AI44" i="15"/>
  <c r="H422" i="15"/>
  <c r="AF422" i="15"/>
  <c r="E52" i="15"/>
  <c r="AC427" i="15"/>
  <c r="E427" i="15" s="1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P124" i="15" s="1"/>
  <c r="C102" i="15"/>
  <c r="D102" i="15" s="1"/>
  <c r="E118" i="15"/>
  <c r="E125" i="15"/>
  <c r="W137" i="15"/>
  <c r="E126" i="15"/>
  <c r="E141" i="15"/>
  <c r="D180" i="15"/>
  <c r="M182" i="15"/>
  <c r="N181" i="15"/>
  <c r="C180" i="15"/>
  <c r="V182" i="15"/>
  <c r="U187" i="15"/>
  <c r="AK182" i="15"/>
  <c r="AL181" i="15"/>
  <c r="M187" i="15"/>
  <c r="N188" i="15" s="1"/>
  <c r="T409" i="15"/>
  <c r="E409" i="15" s="1"/>
  <c r="K75" i="15"/>
  <c r="N124" i="15"/>
  <c r="AL124" i="15"/>
  <c r="N137" i="15"/>
  <c r="AL137" i="15"/>
  <c r="E414" i="15"/>
  <c r="S414" i="15"/>
  <c r="E54" i="15"/>
  <c r="W57" i="15"/>
  <c r="N433" i="15"/>
  <c r="N75" i="15"/>
  <c r="AL433" i="15"/>
  <c r="AL75" i="15"/>
  <c r="AK75" i="15" s="1"/>
  <c r="I99" i="15"/>
  <c r="J409" i="15" s="1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Z110" i="15" s="1"/>
  <c r="Y137" i="15" s="1"/>
  <c r="Y98" i="15"/>
  <c r="V118" i="15"/>
  <c r="T124" i="15"/>
  <c r="E115" i="15"/>
  <c r="AL234" i="15"/>
  <c r="M212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H157" i="15" s="1"/>
  <c r="E138" i="15"/>
  <c r="K474" i="15"/>
  <c r="E160" i="15"/>
  <c r="D174" i="15"/>
  <c r="G176" i="15"/>
  <c r="G187" i="15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V124" i="15" s="1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B57" i="15" s="1"/>
  <c r="AO57" i="15"/>
  <c r="Z433" i="15"/>
  <c r="Z75" i="15"/>
  <c r="Q469" i="15"/>
  <c r="Q479" i="15" s="1"/>
  <c r="Q86" i="15"/>
  <c r="AO469" i="15"/>
  <c r="AO86" i="15"/>
  <c r="Y119" i="15"/>
  <c r="AC124" i="15"/>
  <c r="AC137" i="15"/>
  <c r="AB137" i="15" s="1"/>
  <c r="Z86" i="15"/>
  <c r="C98" i="15"/>
  <c r="E150" i="15"/>
  <c r="Q472" i="15"/>
  <c r="Q165" i="15"/>
  <c r="AO472" i="15"/>
  <c r="AO165" i="15"/>
  <c r="H196" i="15"/>
  <c r="P188" i="15"/>
  <c r="AF196" i="15"/>
  <c r="AE230" i="15" s="1"/>
  <c r="AN196" i="15"/>
  <c r="C177" i="15"/>
  <c r="N178" i="15"/>
  <c r="E177" i="15"/>
  <c r="C183" i="15"/>
  <c r="D185" i="15" s="1"/>
  <c r="M185" i="15"/>
  <c r="E186" i="15"/>
  <c r="AK187" i="15"/>
  <c r="T232" i="15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AO157" i="15" s="1"/>
  <c r="E147" i="15"/>
  <c r="W472" i="15"/>
  <c r="W479" i="15" s="1"/>
  <c r="W165" i="15"/>
  <c r="R187" i="15"/>
  <c r="E222" i="15"/>
  <c r="H25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H188" i="15"/>
  <c r="AL188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479" i="15" s="1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AI232" i="15" s="1"/>
  <c r="E219" i="15"/>
  <c r="W232" i="15"/>
  <c r="K478" i="15"/>
  <c r="AI478" i="15"/>
  <c r="AC155" i="15"/>
  <c r="E148" i="15"/>
  <c r="K472" i="15"/>
  <c r="K165" i="15"/>
  <c r="AI472" i="15"/>
  <c r="AI165" i="15"/>
  <c r="V188" i="15"/>
  <c r="V196" i="15"/>
  <c r="K184" i="15"/>
  <c r="J185" i="15"/>
  <c r="AI184" i="15"/>
  <c r="AH185" i="15"/>
  <c r="AK232" i="15"/>
  <c r="Z212" i="15"/>
  <c r="AK230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L309" i="15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E330" i="15"/>
  <c r="AF350" i="15"/>
  <c r="AE350" i="15" s="1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J267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S330" i="15"/>
  <c r="AH348" i="15"/>
  <c r="AO398" i="15"/>
  <c r="M396" i="15"/>
  <c r="N398" i="15"/>
  <c r="H396" i="15"/>
  <c r="G396" i="15" s="1"/>
  <c r="G394" i="15"/>
  <c r="X304" i="15"/>
  <c r="E320" i="15"/>
  <c r="N348" i="15"/>
  <c r="M348" i="15" s="1"/>
  <c r="AL348" i="15"/>
  <c r="AK348" i="15" s="1"/>
  <c r="E376" i="15"/>
  <c r="M376" i="15"/>
  <c r="Y376" i="15"/>
  <c r="AK376" i="15"/>
  <c r="I304" i="15"/>
  <c r="AG304" i="15"/>
  <c r="AI398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K398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E26" i="16"/>
  <c r="AE25" i="16"/>
  <c r="AE24" i="16"/>
  <c r="AE16" i="16"/>
  <c r="AD27" i="16"/>
  <c r="AE38" i="16" s="1"/>
  <c r="AD30" i="16"/>
  <c r="AF30" i="16"/>
  <c r="AD34" i="16"/>
  <c r="F34" i="16"/>
  <c r="Y35" i="16"/>
  <c r="U16" i="16"/>
  <c r="V414" i="16" s="1"/>
  <c r="V9" i="16"/>
  <c r="G26" i="16"/>
  <c r="G25" i="16"/>
  <c r="G24" i="16"/>
  <c r="G16" i="16"/>
  <c r="F27" i="16"/>
  <c r="G40" i="16" s="1"/>
  <c r="F30" i="16"/>
  <c r="U34" i="16"/>
  <c r="C10" i="16"/>
  <c r="G10" i="16"/>
  <c r="AA27" i="16"/>
  <c r="AB37" i="16" s="1"/>
  <c r="K27" i="16"/>
  <c r="I35" i="16" s="1"/>
  <c r="AI27" i="16"/>
  <c r="AI30" i="16" s="1"/>
  <c r="E26" i="16"/>
  <c r="AL408" i="16"/>
  <c r="AJ34" i="16"/>
  <c r="AL44" i="16"/>
  <c r="E9" i="16"/>
  <c r="AG16" i="16"/>
  <c r="AH409" i="16" s="1"/>
  <c r="AH9" i="16"/>
  <c r="E10" i="16"/>
  <c r="AK10" i="16"/>
  <c r="L30" i="16"/>
  <c r="M24" i="16"/>
  <c r="M26" i="16"/>
  <c r="M25" i="16"/>
  <c r="M16" i="16"/>
  <c r="C18" i="16"/>
  <c r="J18" i="16"/>
  <c r="N27" i="16"/>
  <c r="N30" i="16" s="1"/>
  <c r="AL27" i="16"/>
  <c r="AL30" i="16" s="1"/>
  <c r="Q30" i="16"/>
  <c r="W409" i="16"/>
  <c r="V409" i="16" s="1"/>
  <c r="U35" i="16"/>
  <c r="W44" i="16"/>
  <c r="O16" i="16"/>
  <c r="O27" i="16" s="1"/>
  <c r="P39" i="16" s="1"/>
  <c r="P9" i="16"/>
  <c r="R16" i="16"/>
  <c r="S10" i="16"/>
  <c r="AJ30" i="16"/>
  <c r="AK24" i="16"/>
  <c r="AK26" i="16"/>
  <c r="AK25" i="16"/>
  <c r="AK16" i="16"/>
  <c r="AN18" i="16"/>
  <c r="Z408" i="16"/>
  <c r="Z44" i="16"/>
  <c r="Y34" i="16"/>
  <c r="X34" i="16"/>
  <c r="K410" i="16"/>
  <c r="E36" i="16"/>
  <c r="AA30" i="16"/>
  <c r="AB26" i="16"/>
  <c r="AB25" i="16"/>
  <c r="AB24" i="16"/>
  <c r="AE10" i="16"/>
  <c r="T30" i="16"/>
  <c r="C20" i="16"/>
  <c r="D20" i="16" s="1"/>
  <c r="G20" i="16"/>
  <c r="W27" i="16"/>
  <c r="W30" i="16" s="1"/>
  <c r="AJ27" i="16"/>
  <c r="AK34" i="16" s="1"/>
  <c r="N408" i="16"/>
  <c r="M34" i="16"/>
  <c r="N44" i="16"/>
  <c r="L34" i="16"/>
  <c r="V18" i="16"/>
  <c r="C9" i="16"/>
  <c r="I16" i="16"/>
  <c r="J9" i="16"/>
  <c r="M10" i="16"/>
  <c r="AG27" i="16"/>
  <c r="AH38" i="16" s="1"/>
  <c r="AH18" i="16"/>
  <c r="E20" i="16"/>
  <c r="Z27" i="16"/>
  <c r="X35" i="16" s="1"/>
  <c r="H27" i="16"/>
  <c r="H30" i="16" s="1"/>
  <c r="AM16" i="16"/>
  <c r="AN9" i="16"/>
  <c r="Y24" i="16"/>
  <c r="Y16" i="16"/>
  <c r="X30" i="16"/>
  <c r="Y26" i="16"/>
  <c r="Y25" i="16"/>
  <c r="P18" i="16"/>
  <c r="M35" i="16"/>
  <c r="W410" i="16"/>
  <c r="V410" i="16" s="1"/>
  <c r="G411" i="16"/>
  <c r="AE411" i="16"/>
  <c r="AB412" i="16"/>
  <c r="AC433" i="16"/>
  <c r="AC75" i="16"/>
  <c r="Z439" i="16"/>
  <c r="E64" i="16"/>
  <c r="G121" i="16"/>
  <c r="G123" i="16"/>
  <c r="G119" i="16"/>
  <c r="G118" i="16"/>
  <c r="G117" i="16"/>
  <c r="G114" i="16"/>
  <c r="G106" i="16"/>
  <c r="G120" i="16"/>
  <c r="G122" i="16"/>
  <c r="G105" i="16"/>
  <c r="G104" i="16"/>
  <c r="G115" i="16"/>
  <c r="F107" i="16"/>
  <c r="G107" i="16" s="1"/>
  <c r="AF99" i="16"/>
  <c r="AF110" i="16" s="1"/>
  <c r="AE124" i="16" s="1"/>
  <c r="AE98" i="16"/>
  <c r="F110" i="16"/>
  <c r="AH414" i="16"/>
  <c r="Q44" i="16"/>
  <c r="AC44" i="16"/>
  <c r="AO44" i="16"/>
  <c r="G409" i="16"/>
  <c r="AE409" i="16"/>
  <c r="M36" i="16"/>
  <c r="Y36" i="16"/>
  <c r="M40" i="16"/>
  <c r="Y40" i="16"/>
  <c r="E45" i="16"/>
  <c r="E53" i="16"/>
  <c r="Q57" i="16"/>
  <c r="H433" i="16"/>
  <c r="H75" i="16"/>
  <c r="AF433" i="16"/>
  <c r="AF75" i="16"/>
  <c r="Q438" i="16"/>
  <c r="E63" i="16"/>
  <c r="T124" i="16"/>
  <c r="AF418" i="16"/>
  <c r="AE408" i="16"/>
  <c r="AH411" i="16"/>
  <c r="AN413" i="16"/>
  <c r="AF57" i="16"/>
  <c r="K433" i="16"/>
  <c r="K75" i="16"/>
  <c r="AI433" i="16"/>
  <c r="AI75" i="16"/>
  <c r="H437" i="16"/>
  <c r="E62" i="16"/>
  <c r="H478" i="16"/>
  <c r="E85" i="16"/>
  <c r="AM99" i="16"/>
  <c r="AN97" i="16"/>
  <c r="X99" i="16"/>
  <c r="Y410" i="16" s="1"/>
  <c r="Y98" i="16"/>
  <c r="E202" i="16"/>
  <c r="K212" i="16"/>
  <c r="V267" i="16"/>
  <c r="H418" i="16"/>
  <c r="G408" i="16"/>
  <c r="V411" i="16"/>
  <c r="G412" i="16"/>
  <c r="AE412" i="16"/>
  <c r="E39" i="16"/>
  <c r="AB413" i="16"/>
  <c r="H44" i="16"/>
  <c r="T44" i="16"/>
  <c r="AF44" i="16"/>
  <c r="I34" i="16"/>
  <c r="Q418" i="16"/>
  <c r="AG34" i="16"/>
  <c r="AO418" i="16"/>
  <c r="R35" i="16"/>
  <c r="M37" i="16"/>
  <c r="Y37" i="16"/>
  <c r="K420" i="16"/>
  <c r="K57" i="16"/>
  <c r="AI420" i="16"/>
  <c r="AI57" i="16"/>
  <c r="E47" i="16"/>
  <c r="E55" i="16"/>
  <c r="T57" i="16"/>
  <c r="N75" i="16"/>
  <c r="AL75" i="16"/>
  <c r="W436" i="16"/>
  <c r="E61" i="16"/>
  <c r="H445" i="16"/>
  <c r="E70" i="16"/>
  <c r="H468" i="16"/>
  <c r="E81" i="16"/>
  <c r="AE121" i="16"/>
  <c r="AE123" i="16"/>
  <c r="AE119" i="16"/>
  <c r="AE118" i="16"/>
  <c r="AE122" i="16"/>
  <c r="AE120" i="16"/>
  <c r="AE115" i="16"/>
  <c r="AE114" i="16"/>
  <c r="AE116" i="16"/>
  <c r="AE106" i="16"/>
  <c r="AE117" i="16"/>
  <c r="AE105" i="16"/>
  <c r="AE104" i="16"/>
  <c r="AD107" i="16"/>
  <c r="AE107" i="16" s="1"/>
  <c r="Z110" i="16"/>
  <c r="Y137" i="16" s="1"/>
  <c r="Q110" i="16"/>
  <c r="C102" i="16"/>
  <c r="AD110" i="16"/>
  <c r="AE413" i="16"/>
  <c r="E40" i="16"/>
  <c r="AB414" i="16"/>
  <c r="K44" i="16"/>
  <c r="AI44" i="16"/>
  <c r="E52" i="16"/>
  <c r="H57" i="16"/>
  <c r="Q433" i="16"/>
  <c r="Q75" i="16"/>
  <c r="AO433" i="16"/>
  <c r="AO75" i="16"/>
  <c r="N435" i="16"/>
  <c r="E60" i="16"/>
  <c r="W444" i="16"/>
  <c r="E69" i="16"/>
  <c r="AC469" i="16"/>
  <c r="E469" i="16" s="1"/>
  <c r="AC86" i="16"/>
  <c r="V120" i="16"/>
  <c r="V118" i="16"/>
  <c r="V122" i="16"/>
  <c r="V117" i="16"/>
  <c r="V121" i="16"/>
  <c r="U110" i="16"/>
  <c r="V105" i="16"/>
  <c r="V123" i="16"/>
  <c r="V104" i="16"/>
  <c r="V119" i="16"/>
  <c r="V115" i="16"/>
  <c r="V116" i="16"/>
  <c r="V114" i="16"/>
  <c r="AB124" i="16"/>
  <c r="E118" i="16"/>
  <c r="N124" i="16"/>
  <c r="K137" i="16"/>
  <c r="E126" i="16"/>
  <c r="AH176" i="16"/>
  <c r="AB410" i="16"/>
  <c r="G413" i="16"/>
  <c r="E413" i="16"/>
  <c r="K418" i="16"/>
  <c r="AA34" i="16"/>
  <c r="G36" i="16"/>
  <c r="AE36" i="16"/>
  <c r="M38" i="16"/>
  <c r="Y38" i="16"/>
  <c r="AK38" i="16"/>
  <c r="AL57" i="16"/>
  <c r="T433" i="16"/>
  <c r="T75" i="16"/>
  <c r="E59" i="16"/>
  <c r="N443" i="16"/>
  <c r="E68" i="16"/>
  <c r="V97" i="16"/>
  <c r="W99" i="16"/>
  <c r="H99" i="16"/>
  <c r="H110" i="16" s="1"/>
  <c r="G98" i="16"/>
  <c r="E98" i="16"/>
  <c r="E99" i="16" s="1"/>
  <c r="E102" i="16"/>
  <c r="U107" i="16"/>
  <c r="H124" i="16"/>
  <c r="E114" i="16"/>
  <c r="E117" i="16"/>
  <c r="AB155" i="16"/>
  <c r="AB409" i="16"/>
  <c r="V413" i="16"/>
  <c r="AH413" i="16"/>
  <c r="G414" i="16"/>
  <c r="AE414" i="16"/>
  <c r="E46" i="16"/>
  <c r="E54" i="16"/>
  <c r="Z57" i="16"/>
  <c r="W433" i="16"/>
  <c r="W75" i="16"/>
  <c r="T441" i="16"/>
  <c r="E66" i="16"/>
  <c r="C98" i="16"/>
  <c r="AH120" i="16"/>
  <c r="AH123" i="16"/>
  <c r="AH118" i="16"/>
  <c r="AH117" i="16"/>
  <c r="AH105" i="16"/>
  <c r="AG107" i="16"/>
  <c r="AH104" i="16"/>
  <c r="AG110" i="16"/>
  <c r="AH121" i="16"/>
  <c r="AH115" i="16"/>
  <c r="AH114" i="16"/>
  <c r="AH99" i="16"/>
  <c r="I187" i="16"/>
  <c r="J188" i="16" s="1"/>
  <c r="J176" i="16"/>
  <c r="Q187" i="16"/>
  <c r="Q175" i="16"/>
  <c r="Y187" i="16"/>
  <c r="Y176" i="16"/>
  <c r="Z175" i="16"/>
  <c r="AO187" i="16"/>
  <c r="AO175" i="16"/>
  <c r="T418" i="16"/>
  <c r="E35" i="16"/>
  <c r="G410" i="16"/>
  <c r="AE410" i="16"/>
  <c r="E37" i="16"/>
  <c r="AB9" i="16"/>
  <c r="AB18" i="16"/>
  <c r="E34" i="16"/>
  <c r="AB408" i="16"/>
  <c r="AE37" i="16"/>
  <c r="M39" i="16"/>
  <c r="Y39" i="16"/>
  <c r="W420" i="16"/>
  <c r="W57" i="16"/>
  <c r="N57" i="16"/>
  <c r="AO57" i="16"/>
  <c r="Z433" i="16"/>
  <c r="Z75" i="16"/>
  <c r="O99" i="16"/>
  <c r="P97" i="16"/>
  <c r="AH106" i="16"/>
  <c r="G116" i="16"/>
  <c r="E119" i="16"/>
  <c r="AH119" i="16"/>
  <c r="T438" i="16"/>
  <c r="AC439" i="16"/>
  <c r="K479" i="16"/>
  <c r="AI479" i="16"/>
  <c r="R99" i="16"/>
  <c r="E104" i="16"/>
  <c r="J196" i="16"/>
  <c r="Z196" i="16"/>
  <c r="AH188" i="16"/>
  <c r="AH196" i="16"/>
  <c r="D180" i="16"/>
  <c r="H181" i="16"/>
  <c r="G182" i="16"/>
  <c r="AF181" i="16"/>
  <c r="AE182" i="16"/>
  <c r="AI230" i="16"/>
  <c r="AI232" i="16" s="1"/>
  <c r="AB118" i="16"/>
  <c r="AB122" i="16"/>
  <c r="AB120" i="16"/>
  <c r="AB123" i="16"/>
  <c r="AB119" i="16"/>
  <c r="AB115" i="16"/>
  <c r="AB105" i="16"/>
  <c r="W124" i="16"/>
  <c r="AI124" i="16"/>
  <c r="G137" i="16"/>
  <c r="AE137" i="16"/>
  <c r="AC472" i="16"/>
  <c r="AC165" i="16"/>
  <c r="AN296" i="16"/>
  <c r="AM304" i="16"/>
  <c r="Q479" i="16"/>
  <c r="AO479" i="16"/>
  <c r="Z86" i="16"/>
  <c r="L99" i="16"/>
  <c r="AB99" i="16"/>
  <c r="AJ99" i="16"/>
  <c r="AK409" i="16" s="1"/>
  <c r="AB117" i="16"/>
  <c r="E125" i="16"/>
  <c r="E127" i="16"/>
  <c r="E132" i="16"/>
  <c r="W155" i="16"/>
  <c r="E150" i="16"/>
  <c r="E164" i="16"/>
  <c r="T187" i="16"/>
  <c r="H187" i="16"/>
  <c r="E177" i="16"/>
  <c r="H178" i="16"/>
  <c r="Q178" i="16"/>
  <c r="P187" i="16"/>
  <c r="P179" i="16"/>
  <c r="Y179" i="16"/>
  <c r="X187" i="16"/>
  <c r="AF187" i="16"/>
  <c r="AF178" i="16"/>
  <c r="AO178" i="16"/>
  <c r="AN187" i="16"/>
  <c r="AN179" i="16"/>
  <c r="K188" i="16"/>
  <c r="K196" i="16"/>
  <c r="C190" i="16"/>
  <c r="E207" i="16"/>
  <c r="M267" i="16"/>
  <c r="E71" i="16"/>
  <c r="C97" i="16"/>
  <c r="AB106" i="16"/>
  <c r="AB116" i="16"/>
  <c r="Z155" i="16"/>
  <c r="E141" i="16"/>
  <c r="E143" i="16"/>
  <c r="AK188" i="16"/>
  <c r="AK196" i="16"/>
  <c r="S188" i="16"/>
  <c r="D190" i="16"/>
  <c r="E201" i="16"/>
  <c r="E203" i="16"/>
  <c r="W232" i="16"/>
  <c r="E214" i="16"/>
  <c r="H230" i="16"/>
  <c r="K230" i="16"/>
  <c r="K287" i="16"/>
  <c r="J287" i="16" s="1"/>
  <c r="AH267" i="16"/>
  <c r="W445" i="16"/>
  <c r="W478" i="16"/>
  <c r="W479" i="16" s="1"/>
  <c r="H86" i="16"/>
  <c r="AF86" i="16"/>
  <c r="AA110" i="16"/>
  <c r="AB110" i="16" s="1"/>
  <c r="AB114" i="16"/>
  <c r="Q137" i="16"/>
  <c r="AO137" i="16"/>
  <c r="G185" i="16"/>
  <c r="C183" i="16"/>
  <c r="E190" i="16"/>
  <c r="Z212" i="16"/>
  <c r="E216" i="16"/>
  <c r="E218" i="16"/>
  <c r="Y267" i="16"/>
  <c r="H285" i="16"/>
  <c r="G285" i="16" s="1"/>
  <c r="AF285" i="16"/>
  <c r="AE285" i="16" s="1"/>
  <c r="N433" i="16"/>
  <c r="AL433" i="16"/>
  <c r="W434" i="16"/>
  <c r="E434" i="16" s="1"/>
  <c r="H435" i="16"/>
  <c r="AF435" i="16"/>
  <c r="E65" i="16"/>
  <c r="K446" i="16"/>
  <c r="AI446" i="16"/>
  <c r="Z479" i="16"/>
  <c r="K86" i="16"/>
  <c r="AI86" i="16"/>
  <c r="AO449" i="16"/>
  <c r="Q449" i="16"/>
  <c r="AF448" i="16"/>
  <c r="H448" i="16"/>
  <c r="W447" i="16"/>
  <c r="AL431" i="16"/>
  <c r="N431" i="16"/>
  <c r="AO426" i="16"/>
  <c r="Q426" i="16"/>
  <c r="Q432" i="16" s="1"/>
  <c r="AF425" i="16"/>
  <c r="H425" i="16"/>
  <c r="W424" i="16"/>
  <c r="AL423" i="16"/>
  <c r="AL449" i="16"/>
  <c r="N449" i="16"/>
  <c r="AC448" i="16"/>
  <c r="T447" i="16"/>
  <c r="AI431" i="16"/>
  <c r="K431" i="16"/>
  <c r="AI449" i="16"/>
  <c r="K449" i="16"/>
  <c r="Z448" i="16"/>
  <c r="AO447" i="16"/>
  <c r="Q447" i="16"/>
  <c r="AF431" i="16"/>
  <c r="H431" i="16"/>
  <c r="AI426" i="16"/>
  <c r="K426" i="16"/>
  <c r="Z425" i="16"/>
  <c r="Z432" i="16" s="1"/>
  <c r="AO424" i="16"/>
  <c r="Q424" i="16"/>
  <c r="AF423" i="16"/>
  <c r="AF449" i="16"/>
  <c r="H449" i="16"/>
  <c r="W448" i="16"/>
  <c r="AL447" i="16"/>
  <c r="N447" i="16"/>
  <c r="AC431" i="16"/>
  <c r="AF426" i="16"/>
  <c r="H426" i="16"/>
  <c r="W425" i="16"/>
  <c r="AL424" i="16"/>
  <c r="N424" i="16"/>
  <c r="AC423" i="16"/>
  <c r="AC449" i="16"/>
  <c r="T448" i="16"/>
  <c r="AI447" i="16"/>
  <c r="K447" i="16"/>
  <c r="Z431" i="16"/>
  <c r="AC426" i="16"/>
  <c r="T425" i="16"/>
  <c r="AI424" i="16"/>
  <c r="K424" i="16"/>
  <c r="Z423" i="16"/>
  <c r="Z449" i="16"/>
  <c r="AO448" i="16"/>
  <c r="Q448" i="16"/>
  <c r="AF447" i="16"/>
  <c r="H447" i="16"/>
  <c r="W431" i="16"/>
  <c r="Z426" i="16"/>
  <c r="AO425" i="16"/>
  <c r="Q425" i="16"/>
  <c r="AF424" i="16"/>
  <c r="H424" i="16"/>
  <c r="W423" i="16"/>
  <c r="W449" i="16"/>
  <c r="AL448" i="16"/>
  <c r="N448" i="16"/>
  <c r="AC447" i="16"/>
  <c r="T431" i="16"/>
  <c r="W426" i="16"/>
  <c r="AL425" i="16"/>
  <c r="N425" i="16"/>
  <c r="Q431" i="16"/>
  <c r="Q423" i="16"/>
  <c r="AF417" i="16"/>
  <c r="H417" i="16"/>
  <c r="W416" i="16"/>
  <c r="AL415" i="16"/>
  <c r="N415" i="16"/>
  <c r="T449" i="16"/>
  <c r="AC424" i="16"/>
  <c r="N423" i="16"/>
  <c r="AC417" i="16"/>
  <c r="T416" i="16"/>
  <c r="AI415" i="16"/>
  <c r="K415" i="16"/>
  <c r="AI448" i="16"/>
  <c r="AL426" i="16"/>
  <c r="Z424" i="16"/>
  <c r="K423" i="16"/>
  <c r="Z417" i="16"/>
  <c r="AO416" i="16"/>
  <c r="Q416" i="16"/>
  <c r="AF415" i="16"/>
  <c r="H415" i="16"/>
  <c r="K448" i="16"/>
  <c r="T426" i="16"/>
  <c r="T424" i="16"/>
  <c r="H423" i="16"/>
  <c r="W417" i="16"/>
  <c r="AL416" i="16"/>
  <c r="N416" i="16"/>
  <c r="AC415" i="16"/>
  <c r="Z447" i="16"/>
  <c r="N426" i="16"/>
  <c r="T417" i="16"/>
  <c r="AI416" i="16"/>
  <c r="K416" i="16"/>
  <c r="Z415" i="16"/>
  <c r="AI425" i="16"/>
  <c r="AO423" i="16"/>
  <c r="AO417" i="16"/>
  <c r="Q417" i="16"/>
  <c r="AF416" i="16"/>
  <c r="H416" i="16"/>
  <c r="W415" i="16"/>
  <c r="AC425" i="16"/>
  <c r="AI423" i="16"/>
  <c r="AL417" i="16"/>
  <c r="N417" i="16"/>
  <c r="AC416" i="16"/>
  <c r="T415" i="16"/>
  <c r="AO431" i="16"/>
  <c r="Z416" i="16"/>
  <c r="AO415" i="16"/>
  <c r="K425" i="16"/>
  <c r="Q415" i="16"/>
  <c r="T423" i="16"/>
  <c r="T432" i="16" s="1"/>
  <c r="AI417" i="16"/>
  <c r="AA107" i="16"/>
  <c r="AB107" i="16" s="1"/>
  <c r="T137" i="16"/>
  <c r="H155" i="16"/>
  <c r="G155" i="16" s="1"/>
  <c r="AF155" i="16"/>
  <c r="AE155" i="16" s="1"/>
  <c r="O187" i="16"/>
  <c r="AM187" i="16"/>
  <c r="C180" i="16"/>
  <c r="E180" i="16"/>
  <c r="E181" i="16" s="1"/>
  <c r="AI188" i="16"/>
  <c r="AI196" i="16"/>
  <c r="Z230" i="16"/>
  <c r="Y230" i="16" s="1"/>
  <c r="E226" i="16"/>
  <c r="AE330" i="16"/>
  <c r="S330" i="16"/>
  <c r="N86" i="16"/>
  <c r="AL86" i="16"/>
  <c r="K155" i="16"/>
  <c r="AI155" i="16"/>
  <c r="E151" i="16"/>
  <c r="T472" i="16"/>
  <c r="T165" i="16"/>
  <c r="E186" i="16"/>
  <c r="E200" i="16"/>
  <c r="AF232" i="16"/>
  <c r="AC230" i="16"/>
  <c r="AC232" i="16" s="1"/>
  <c r="E255" i="16"/>
  <c r="H267" i="16"/>
  <c r="AE267" i="16"/>
  <c r="K165" i="16"/>
  <c r="AI165" i="16"/>
  <c r="AC175" i="16"/>
  <c r="M176" i="16"/>
  <c r="AK176" i="16"/>
  <c r="K184" i="16"/>
  <c r="H191" i="16"/>
  <c r="N251" i="16"/>
  <c r="N243" i="16"/>
  <c r="AL251" i="16"/>
  <c r="AL243" i="16"/>
  <c r="E270" i="16"/>
  <c r="E272" i="16"/>
  <c r="F304" i="16"/>
  <c r="G295" i="16"/>
  <c r="Q304" i="16"/>
  <c r="Q309" i="16" s="1"/>
  <c r="Q314" i="16" s="1"/>
  <c r="P330" i="16" s="1"/>
  <c r="AL304" i="16"/>
  <c r="AL309" i="16" s="1"/>
  <c r="AL314" i="16" s="1"/>
  <c r="AK295" i="16"/>
  <c r="E298" i="16"/>
  <c r="W304" i="16"/>
  <c r="W309" i="16" s="1"/>
  <c r="W314" i="16" s="1"/>
  <c r="E308" i="16"/>
  <c r="K330" i="16"/>
  <c r="AI330" i="16"/>
  <c r="E334" i="16"/>
  <c r="E160" i="16"/>
  <c r="E165" i="16" s="1"/>
  <c r="N165" i="16"/>
  <c r="AL165" i="16"/>
  <c r="C174" i="16"/>
  <c r="M179" i="16"/>
  <c r="AK179" i="16"/>
  <c r="D242" i="16"/>
  <c r="D251" i="16" s="1"/>
  <c r="N285" i="16"/>
  <c r="M285" i="16" s="1"/>
  <c r="E268" i="16"/>
  <c r="AL285" i="16"/>
  <c r="AK285" i="16" s="1"/>
  <c r="H304" i="16"/>
  <c r="H309" i="16" s="1"/>
  <c r="H314" i="16" s="1"/>
  <c r="G330" i="16" s="1"/>
  <c r="R304" i="16"/>
  <c r="AB295" i="16"/>
  <c r="AA304" i="16"/>
  <c r="E300" i="16"/>
  <c r="D300" i="16" s="1"/>
  <c r="AL350" i="16"/>
  <c r="E327" i="16"/>
  <c r="E138" i="16"/>
  <c r="E474" i="16"/>
  <c r="Q165" i="16"/>
  <c r="AO165" i="16"/>
  <c r="D174" i="16"/>
  <c r="M182" i="16"/>
  <c r="AK182" i="16"/>
  <c r="S185" i="16"/>
  <c r="N187" i="16"/>
  <c r="V187" i="16"/>
  <c r="AL187" i="16"/>
  <c r="H212" i="16"/>
  <c r="Q251" i="16"/>
  <c r="Q243" i="16"/>
  <c r="AO251" i="16"/>
  <c r="AO243" i="16"/>
  <c r="E251" i="16"/>
  <c r="Q267" i="16"/>
  <c r="AO267" i="16"/>
  <c r="E262" i="16"/>
  <c r="E265" i="16"/>
  <c r="Q285" i="16"/>
  <c r="P285" i="16" s="1"/>
  <c r="AO285" i="16"/>
  <c r="AN285" i="16" s="1"/>
  <c r="AC304" i="16"/>
  <c r="AC309" i="16" s="1"/>
  <c r="AC314" i="16" s="1"/>
  <c r="AB330" i="16" s="1"/>
  <c r="M296" i="16"/>
  <c r="L304" i="16"/>
  <c r="G297" i="16"/>
  <c r="E297" i="16"/>
  <c r="D297" i="16" s="1"/>
  <c r="Y348" i="16"/>
  <c r="K398" i="16"/>
  <c r="J396" i="16"/>
  <c r="E174" i="16"/>
  <c r="D177" i="16"/>
  <c r="D179" i="16" s="1"/>
  <c r="G187" i="16"/>
  <c r="W187" i="16"/>
  <c r="AE187" i="16"/>
  <c r="E246" i="16"/>
  <c r="H252" i="16"/>
  <c r="T267" i="16"/>
  <c r="E258" i="16"/>
  <c r="T285" i="16"/>
  <c r="S285" i="16" s="1"/>
  <c r="E278" i="16"/>
  <c r="E280" i="16"/>
  <c r="E295" i="16"/>
  <c r="K304" i="16"/>
  <c r="K309" i="16" s="1"/>
  <c r="K314" i="16" s="1"/>
  <c r="AD304" i="16"/>
  <c r="AE295" i="16"/>
  <c r="AO304" i="16"/>
  <c r="AO309" i="16" s="1"/>
  <c r="AO314" i="16" s="1"/>
  <c r="AN330" i="16" s="1"/>
  <c r="E325" i="16"/>
  <c r="W165" i="16"/>
  <c r="E271" i="16"/>
  <c r="E273" i="16"/>
  <c r="E276" i="16"/>
  <c r="V304" i="16"/>
  <c r="U309" i="16"/>
  <c r="G307" i="16"/>
  <c r="E307" i="16"/>
  <c r="D307" i="16" s="1"/>
  <c r="E319" i="16"/>
  <c r="E473" i="16"/>
  <c r="Z285" i="16"/>
  <c r="Y285" i="16" s="1"/>
  <c r="N304" i="16"/>
  <c r="N309" i="16" s="1"/>
  <c r="N314" i="16" s="1"/>
  <c r="M295" i="16"/>
  <c r="C296" i="16"/>
  <c r="D296" i="16" s="1"/>
  <c r="C299" i="16"/>
  <c r="D299" i="16" s="1"/>
  <c r="Y330" i="16"/>
  <c r="V330" i="16"/>
  <c r="E344" i="16"/>
  <c r="H398" i="16"/>
  <c r="K252" i="16"/>
  <c r="AI252" i="16"/>
  <c r="AC285" i="16"/>
  <c r="AB285" i="16" s="1"/>
  <c r="AI304" i="16"/>
  <c r="AI309" i="16" s="1"/>
  <c r="AI314" i="16" s="1"/>
  <c r="X304" i="16"/>
  <c r="E335" i="16"/>
  <c r="E376" i="16"/>
  <c r="W464" i="16"/>
  <c r="E451" i="16"/>
  <c r="K243" i="16"/>
  <c r="AI243" i="16"/>
  <c r="C298" i="16"/>
  <c r="I304" i="16"/>
  <c r="AG304" i="16"/>
  <c r="C308" i="16"/>
  <c r="Q348" i="16"/>
  <c r="AO348" i="16"/>
  <c r="E337" i="16"/>
  <c r="G361" i="16"/>
  <c r="Y361" i="16"/>
  <c r="AH361" i="16"/>
  <c r="M394" i="16"/>
  <c r="N396" i="16"/>
  <c r="M396" i="16" s="1"/>
  <c r="T396" i="16"/>
  <c r="S396" i="16" s="1"/>
  <c r="T348" i="16"/>
  <c r="S348" i="16" s="1"/>
  <c r="D359" i="16"/>
  <c r="C361" i="16"/>
  <c r="D361" i="16" s="1"/>
  <c r="W396" i="16"/>
  <c r="V396" i="16" s="1"/>
  <c r="W348" i="16"/>
  <c r="W350" i="16" s="1"/>
  <c r="V350" i="16" s="1"/>
  <c r="AK394" i="16"/>
  <c r="AL396" i="16"/>
  <c r="AK396" i="16" s="1"/>
  <c r="AJ304" i="16"/>
  <c r="E419" i="16"/>
  <c r="AC348" i="16"/>
  <c r="E343" i="16"/>
  <c r="G376" i="16"/>
  <c r="E394" i="16"/>
  <c r="D394" i="16" s="1"/>
  <c r="AI398" i="16"/>
  <c r="AH396" i="16"/>
  <c r="H348" i="16"/>
  <c r="G348" i="16" s="1"/>
  <c r="AF348" i="16"/>
  <c r="AE348" i="16" s="1"/>
  <c r="AE361" i="16"/>
  <c r="Y394" i="16"/>
  <c r="Z396" i="16"/>
  <c r="Y396" i="16" s="1"/>
  <c r="Z464" i="16"/>
  <c r="E455" i="16"/>
  <c r="Q464" i="16"/>
  <c r="H464" i="16"/>
  <c r="AF464" i="16"/>
  <c r="E470" i="16"/>
  <c r="E458" i="16"/>
  <c r="E490" i="16"/>
  <c r="E489" i="16"/>
  <c r="K432" i="16" l="1"/>
  <c r="M196" i="16"/>
  <c r="AH40" i="16"/>
  <c r="AG35" i="16"/>
  <c r="J122" i="16"/>
  <c r="V105" i="15"/>
  <c r="G414" i="15"/>
  <c r="E439" i="15"/>
  <c r="V412" i="15"/>
  <c r="AK123" i="15"/>
  <c r="AK116" i="15"/>
  <c r="E184" i="16"/>
  <c r="E427" i="16"/>
  <c r="AI350" i="15"/>
  <c r="Z398" i="15"/>
  <c r="E330" i="16"/>
  <c r="E350" i="16" s="1"/>
  <c r="P410" i="16"/>
  <c r="AB411" i="16"/>
  <c r="AH408" i="16"/>
  <c r="AB75" i="16"/>
  <c r="AN414" i="16"/>
  <c r="V114" i="15"/>
  <c r="AL432" i="15"/>
  <c r="AK40" i="15"/>
  <c r="V40" i="15"/>
  <c r="AE413" i="15"/>
  <c r="V411" i="15"/>
  <c r="AK37" i="15"/>
  <c r="AK99" i="15"/>
  <c r="AK120" i="15"/>
  <c r="I27" i="15"/>
  <c r="E436" i="16"/>
  <c r="E429" i="16"/>
  <c r="E27" i="16"/>
  <c r="E441" i="15"/>
  <c r="E422" i="16"/>
  <c r="AB348" i="15"/>
  <c r="E421" i="16"/>
  <c r="N232" i="16"/>
  <c r="M330" i="16"/>
  <c r="D185" i="16"/>
  <c r="AI418" i="16"/>
  <c r="E438" i="16"/>
  <c r="AE34" i="16"/>
  <c r="K30" i="16"/>
  <c r="AB304" i="15"/>
  <c r="D299" i="15"/>
  <c r="V120" i="15"/>
  <c r="V119" i="15"/>
  <c r="AE409" i="15"/>
  <c r="V414" i="15"/>
  <c r="R30" i="15"/>
  <c r="V36" i="15"/>
  <c r="AK115" i="15"/>
  <c r="AK121" i="15"/>
  <c r="I30" i="15"/>
  <c r="E438" i="15"/>
  <c r="E413" i="15"/>
  <c r="AC432" i="15"/>
  <c r="AK137" i="16"/>
  <c r="AL232" i="16"/>
  <c r="AC398" i="16"/>
  <c r="AB196" i="16"/>
  <c r="AH39" i="16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AH37" i="16"/>
  <c r="V122" i="15"/>
  <c r="U110" i="15"/>
  <c r="V110" i="15" s="1"/>
  <c r="V408" i="15"/>
  <c r="AK409" i="15"/>
  <c r="AK412" i="15"/>
  <c r="AK122" i="15"/>
  <c r="AK117" i="15"/>
  <c r="AD27" i="15"/>
  <c r="J25" i="15"/>
  <c r="AL287" i="16"/>
  <c r="AK287" i="16" s="1"/>
  <c r="N398" i="16"/>
  <c r="AF287" i="16"/>
  <c r="AC418" i="16"/>
  <c r="AK36" i="16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AF398" i="16"/>
  <c r="E107" i="16"/>
  <c r="Y411" i="16"/>
  <c r="AH75" i="16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J124" i="16"/>
  <c r="AC30" i="16"/>
  <c r="AB57" i="16" s="1"/>
  <c r="T398" i="15"/>
  <c r="S396" i="15"/>
  <c r="Q398" i="16"/>
  <c r="M37" i="15"/>
  <c r="M36" i="15"/>
  <c r="M35" i="15"/>
  <c r="M34" i="15"/>
  <c r="M39" i="15"/>
  <c r="M38" i="15"/>
  <c r="M40" i="15"/>
  <c r="AH350" i="15"/>
  <c r="AI352" i="15"/>
  <c r="E435" i="16"/>
  <c r="V107" i="16"/>
  <c r="K287" i="15"/>
  <c r="J287" i="15" s="1"/>
  <c r="AO352" i="15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AO232" i="16"/>
  <c r="E86" i="16"/>
  <c r="Y30" i="15"/>
  <c r="S155" i="16"/>
  <c r="E442" i="16"/>
  <c r="AB348" i="16"/>
  <c r="W432" i="16"/>
  <c r="H432" i="16"/>
  <c r="AF432" i="16"/>
  <c r="P40" i="16"/>
  <c r="G38" i="16"/>
  <c r="V408" i="16"/>
  <c r="M27" i="16"/>
  <c r="E478" i="15"/>
  <c r="Y116" i="15"/>
  <c r="AB409" i="15"/>
  <c r="M414" i="15"/>
  <c r="P26" i="15"/>
  <c r="W30" i="15"/>
  <c r="V30" i="15" s="1"/>
  <c r="E430" i="15"/>
  <c r="E442" i="15"/>
  <c r="AK157" i="16"/>
  <c r="E348" i="16"/>
  <c r="AC432" i="16"/>
  <c r="AC479" i="16"/>
  <c r="S75" i="16"/>
  <c r="S57" i="16"/>
  <c r="G39" i="16"/>
  <c r="G34" i="16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AH348" i="16"/>
  <c r="AN348" i="16"/>
  <c r="E464" i="16"/>
  <c r="AL352" i="16"/>
  <c r="AB137" i="16"/>
  <c r="P38" i="16"/>
  <c r="Y114" i="15"/>
  <c r="Y123" i="15"/>
  <c r="Y75" i="15"/>
  <c r="AK413" i="15"/>
  <c r="AN412" i="15"/>
  <c r="L30" i="15"/>
  <c r="AB413" i="15"/>
  <c r="AN26" i="15"/>
  <c r="P25" i="15"/>
  <c r="E212" i="16"/>
  <c r="S137" i="16"/>
  <c r="J348" i="15"/>
  <c r="AK155" i="15"/>
  <c r="Y118" i="15"/>
  <c r="Y105" i="15"/>
  <c r="AN411" i="15"/>
  <c r="M16" i="15"/>
  <c r="AM30" i="15"/>
  <c r="O27" i="15"/>
  <c r="P34" i="15" s="1"/>
  <c r="K110" i="15"/>
  <c r="J124" i="15" s="1"/>
  <c r="E441" i="16"/>
  <c r="E443" i="16"/>
  <c r="E428" i="16"/>
  <c r="N432" i="16"/>
  <c r="AI287" i="16"/>
  <c r="S413" i="16"/>
  <c r="G37" i="16"/>
  <c r="W110" i="16"/>
  <c r="V110" i="16" s="1"/>
  <c r="AJ35" i="16"/>
  <c r="V412" i="16"/>
  <c r="AH57" i="16"/>
  <c r="P36" i="16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V348" i="16"/>
  <c r="D98" i="16"/>
  <c r="L35" i="16"/>
  <c r="E444" i="16"/>
  <c r="AB155" i="15"/>
  <c r="Y115" i="15"/>
  <c r="Y122" i="15"/>
  <c r="AK137" i="15"/>
  <c r="D182" i="15"/>
  <c r="AN414" i="15"/>
  <c r="AN36" i="15"/>
  <c r="M413" i="15"/>
  <c r="D10" i="15"/>
  <c r="N432" i="15"/>
  <c r="AN155" i="16"/>
  <c r="AN124" i="16"/>
  <c r="V57" i="16"/>
  <c r="AB38" i="16"/>
  <c r="AH107" i="16"/>
  <c r="E75" i="16"/>
  <c r="AB40" i="16"/>
  <c r="AB36" i="16"/>
  <c r="E437" i="16"/>
  <c r="J99" i="16"/>
  <c r="J105" i="16"/>
  <c r="J414" i="16"/>
  <c r="E285" i="15"/>
  <c r="D285" i="15" s="1"/>
  <c r="AI479" i="15"/>
  <c r="Y155" i="15"/>
  <c r="AN137" i="15"/>
  <c r="AN110" i="15"/>
  <c r="S57" i="15"/>
  <c r="Y411" i="15"/>
  <c r="AN37" i="15"/>
  <c r="Y26" i="15"/>
  <c r="AO432" i="16"/>
  <c r="E191" i="16"/>
  <c r="Y155" i="16"/>
  <c r="V75" i="16"/>
  <c r="E110" i="16"/>
  <c r="AB35" i="16"/>
  <c r="J411" i="16"/>
  <c r="J114" i="16"/>
  <c r="J119" i="16"/>
  <c r="AE75" i="16"/>
  <c r="J409" i="16"/>
  <c r="D98" i="15"/>
  <c r="Y99" i="15"/>
  <c r="M99" i="15"/>
  <c r="K479" i="15"/>
  <c r="P137" i="15"/>
  <c r="E443" i="15"/>
  <c r="J39" i="15"/>
  <c r="Y409" i="15"/>
  <c r="X27" i="15"/>
  <c r="N110" i="16"/>
  <c r="M124" i="16" s="1"/>
  <c r="AI432" i="16"/>
  <c r="P348" i="16"/>
  <c r="AL432" i="16"/>
  <c r="E439" i="16"/>
  <c r="AK124" i="16"/>
  <c r="J137" i="16"/>
  <c r="J412" i="16"/>
  <c r="AE39" i="16"/>
  <c r="AH35" i="16"/>
  <c r="J116" i="16"/>
  <c r="J121" i="16"/>
  <c r="W418" i="16"/>
  <c r="AN155" i="15"/>
  <c r="G230" i="15"/>
  <c r="V155" i="15"/>
  <c r="E124" i="15"/>
  <c r="G110" i="15"/>
  <c r="E75" i="15"/>
  <c r="AB36" i="15"/>
  <c r="V37" i="15"/>
  <c r="AN35" i="15"/>
  <c r="Y24" i="15"/>
  <c r="N232" i="15"/>
  <c r="AC196" i="16"/>
  <c r="AB232" i="16" s="1"/>
  <c r="AC188" i="16"/>
  <c r="R27" i="15"/>
  <c r="M155" i="15"/>
  <c r="AC406" i="16"/>
  <c r="AA432" i="16" s="1"/>
  <c r="E446" i="16"/>
  <c r="E230" i="16"/>
  <c r="J413" i="16"/>
  <c r="J75" i="16"/>
  <c r="I110" i="16"/>
  <c r="J110" i="16" s="1"/>
  <c r="J117" i="16"/>
  <c r="AB39" i="16"/>
  <c r="AH410" i="16"/>
  <c r="AM27" i="16"/>
  <c r="AN34" i="16" s="1"/>
  <c r="S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AN137" i="16"/>
  <c r="AO157" i="16"/>
  <c r="AN157" i="16" s="1"/>
  <c r="AK39" i="16"/>
  <c r="AH36" i="16"/>
  <c r="Y412" i="16"/>
  <c r="AN410" i="16"/>
  <c r="W287" i="16"/>
  <c r="AN408" i="16"/>
  <c r="J115" i="16"/>
  <c r="J118" i="16"/>
  <c r="AO30" i="16"/>
  <c r="AN75" i="16" s="1"/>
  <c r="U27" i="16"/>
  <c r="D298" i="15"/>
  <c r="AI450" i="15"/>
  <c r="AI466" i="15" s="1"/>
  <c r="C187" i="15"/>
  <c r="G157" i="15"/>
  <c r="J414" i="15"/>
  <c r="Y413" i="15"/>
  <c r="AE157" i="15"/>
  <c r="Q30" i="15"/>
  <c r="P75" i="15" s="1"/>
  <c r="AN39" i="15"/>
  <c r="AC450" i="15"/>
  <c r="J37" i="15"/>
  <c r="AO188" i="15"/>
  <c r="AO196" i="15"/>
  <c r="AO197" i="15" s="1"/>
  <c r="Q188" i="15"/>
  <c r="E472" i="16"/>
  <c r="K289" i="16"/>
  <c r="AL167" i="16"/>
  <c r="AB230" i="16"/>
  <c r="AH155" i="16"/>
  <c r="T350" i="16"/>
  <c r="S350" i="16" s="1"/>
  <c r="D298" i="16"/>
  <c r="M348" i="16"/>
  <c r="E304" i="16"/>
  <c r="M350" i="16"/>
  <c r="J155" i="16"/>
  <c r="P137" i="16"/>
  <c r="E410" i="16"/>
  <c r="AN411" i="16"/>
  <c r="P37" i="16"/>
  <c r="P75" i="16"/>
  <c r="AE110" i="16"/>
  <c r="AE99" i="16"/>
  <c r="J57" i="16"/>
  <c r="AE57" i="16"/>
  <c r="J104" i="16"/>
  <c r="J123" i="16"/>
  <c r="P57" i="16"/>
  <c r="P35" i="16"/>
  <c r="J410" i="16"/>
  <c r="M304" i="15"/>
  <c r="E267" i="15"/>
  <c r="E473" i="15"/>
  <c r="S75" i="15"/>
  <c r="S30" i="15"/>
  <c r="E30" i="15"/>
  <c r="C16" i="15"/>
  <c r="D26" i="15" s="1"/>
  <c r="N30" i="15"/>
  <c r="N406" i="15" s="1"/>
  <c r="AH116" i="16"/>
  <c r="AH122" i="16"/>
  <c r="AB16" i="16"/>
  <c r="AH110" i="16"/>
  <c r="J408" i="16"/>
  <c r="AK155" i="16"/>
  <c r="E420" i="16"/>
  <c r="I107" i="16"/>
  <c r="J107" i="16" s="1"/>
  <c r="J120" i="16"/>
  <c r="E409" i="16"/>
  <c r="AK304" i="15"/>
  <c r="AF287" i="15"/>
  <c r="AE287" i="15" s="1"/>
  <c r="E99" i="15"/>
  <c r="E110" i="15" s="1"/>
  <c r="D124" i="15" s="1"/>
  <c r="M110" i="15"/>
  <c r="Y412" i="15"/>
  <c r="E444" i="15"/>
  <c r="AO30" i="15"/>
  <c r="AN75" i="15" s="1"/>
  <c r="E446" i="15"/>
  <c r="AB121" i="16"/>
  <c r="AB104" i="16"/>
  <c r="H406" i="15"/>
  <c r="F479" i="15" s="1"/>
  <c r="Q77" i="15"/>
  <c r="AH40" i="15"/>
  <c r="AH27" i="15"/>
  <c r="AH38" i="15"/>
  <c r="AH34" i="15"/>
  <c r="AE40" i="15"/>
  <c r="AE35" i="15"/>
  <c r="AE27" i="15"/>
  <c r="AE39" i="15"/>
  <c r="D25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10" i="15" s="1"/>
  <c r="S105" i="15"/>
  <c r="S120" i="15"/>
  <c r="S116" i="15"/>
  <c r="S104" i="15"/>
  <c r="S99" i="15"/>
  <c r="W450" i="15"/>
  <c r="W418" i="15"/>
  <c r="M57" i="15"/>
  <c r="E86" i="15"/>
  <c r="Q450" i="15"/>
  <c r="M188" i="15"/>
  <c r="M196" i="15"/>
  <c r="N197" i="15" s="1"/>
  <c r="AE124" i="15"/>
  <c r="AE34" i="15"/>
  <c r="AL77" i="15"/>
  <c r="AK77" i="15" s="1"/>
  <c r="AK44" i="15"/>
  <c r="S411" i="15"/>
  <c r="O34" i="15"/>
  <c r="AH411" i="15"/>
  <c r="V34" i="15"/>
  <c r="V38" i="15"/>
  <c r="V27" i="15"/>
  <c r="AB411" i="15"/>
  <c r="AE36" i="15"/>
  <c r="N77" i="15"/>
  <c r="M77" i="15" s="1"/>
  <c r="M44" i="15"/>
  <c r="P110" i="15"/>
  <c r="AL406" i="15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C406" i="15" s="1"/>
  <c r="AF352" i="15"/>
  <c r="AI196" i="15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T88" i="15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AH230" i="15"/>
  <c r="E472" i="15"/>
  <c r="AF167" i="15"/>
  <c r="Z287" i="15"/>
  <c r="AO232" i="15"/>
  <c r="AN21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AC466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H1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G155" i="15"/>
  <c r="AB110" i="15"/>
  <c r="AJ479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10" i="15" s="1"/>
  <c r="J123" i="15"/>
  <c r="N450" i="15"/>
  <c r="M137" i="15"/>
  <c r="G99" i="15"/>
  <c r="H450" i="15"/>
  <c r="F450" i="15" s="1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M30" i="15"/>
  <c r="AB39" i="15"/>
  <c r="G137" i="15"/>
  <c r="AE38" i="15"/>
  <c r="AN40" i="15"/>
  <c r="AN27" i="15"/>
  <c r="P99" i="15"/>
  <c r="AN34" i="15"/>
  <c r="AK27" i="15"/>
  <c r="AK35" i="15"/>
  <c r="Y27" i="15"/>
  <c r="Y35" i="15"/>
  <c r="Y34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88" i="15"/>
  <c r="G188" i="15"/>
  <c r="G196" i="15"/>
  <c r="H197" i="15" s="1"/>
  <c r="K157" i="15"/>
  <c r="T157" i="15"/>
  <c r="S157" i="15" s="1"/>
  <c r="S124" i="15"/>
  <c r="AL157" i="15"/>
  <c r="AK124" i="15"/>
  <c r="AH39" i="15"/>
  <c r="AI77" i="15"/>
  <c r="AH44" i="15"/>
  <c r="AN408" i="15"/>
  <c r="AO418" i="15"/>
  <c r="Q406" i="15"/>
  <c r="O479" i="15" s="1"/>
  <c r="Q88" i="15"/>
  <c r="F30" i="15"/>
  <c r="G30" i="15" s="1"/>
  <c r="G26" i="15"/>
  <c r="G16" i="15"/>
  <c r="F27" i="15"/>
  <c r="G24" i="15"/>
  <c r="G25" i="15"/>
  <c r="I34" i="15"/>
  <c r="K30" i="15"/>
  <c r="J57" i="15" s="1"/>
  <c r="J410" i="15"/>
  <c r="C27" i="15"/>
  <c r="D40" i="15" s="1"/>
  <c r="D18" i="15"/>
  <c r="AH30" i="15"/>
  <c r="AN30" i="15"/>
  <c r="J27" i="15"/>
  <c r="P40" i="15"/>
  <c r="P36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AH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D409" i="15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D57" i="15" s="1"/>
  <c r="Z77" i="15"/>
  <c r="Y44" i="15"/>
  <c r="AB38" i="15"/>
  <c r="AH409" i="15"/>
  <c r="J412" i="15"/>
  <c r="AF406" i="15"/>
  <c r="AD464" i="15" s="1"/>
  <c r="AF88" i="15"/>
  <c r="AH16" i="15"/>
  <c r="AN16" i="15"/>
  <c r="J16" i="15"/>
  <c r="AK30" i="15"/>
  <c r="K418" i="15"/>
  <c r="J408" i="15"/>
  <c r="Q289" i="15"/>
  <c r="Q252" i="15"/>
  <c r="F464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AJ432" i="15"/>
  <c r="H398" i="15"/>
  <c r="V267" i="15"/>
  <c r="W287" i="15"/>
  <c r="AN350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AF197" i="15"/>
  <c r="AC167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J77" i="15" s="1"/>
  <c r="J44" i="15"/>
  <c r="Z418" i="15"/>
  <c r="Y408" i="15"/>
  <c r="AB410" i="15"/>
  <c r="F35" i="15"/>
  <c r="E8" i="15"/>
  <c r="AB412" i="15"/>
  <c r="AE37" i="15"/>
  <c r="C35" i="15"/>
  <c r="J30" i="15"/>
  <c r="D9" i="15"/>
  <c r="Z398" i="16"/>
  <c r="X309" i="16"/>
  <c r="Y304" i="16"/>
  <c r="S267" i="16"/>
  <c r="T287" i="16"/>
  <c r="Q252" i="16"/>
  <c r="D176" i="16"/>
  <c r="D187" i="16"/>
  <c r="AL289" i="16"/>
  <c r="AL252" i="16"/>
  <c r="E267" i="16"/>
  <c r="AA479" i="16"/>
  <c r="E447" i="16"/>
  <c r="E425" i="16"/>
  <c r="D97" i="16"/>
  <c r="C99" i="16"/>
  <c r="E243" i="16"/>
  <c r="AN188" i="16"/>
  <c r="AN196" i="16"/>
  <c r="M122" i="16"/>
  <c r="M119" i="16"/>
  <c r="M121" i="16"/>
  <c r="M120" i="16"/>
  <c r="M116" i="16"/>
  <c r="M118" i="16"/>
  <c r="L107" i="16"/>
  <c r="M107" i="16" s="1"/>
  <c r="L110" i="16"/>
  <c r="M104" i="16"/>
  <c r="M115" i="16"/>
  <c r="M99" i="16"/>
  <c r="M123" i="16"/>
  <c r="M114" i="16"/>
  <c r="M117" i="16"/>
  <c r="M106" i="16"/>
  <c r="M105" i="16"/>
  <c r="P309" i="16"/>
  <c r="O314" i="16"/>
  <c r="AK412" i="16"/>
  <c r="S408" i="16"/>
  <c r="Y188" i="16"/>
  <c r="Y196" i="16"/>
  <c r="Z197" i="16" s="1"/>
  <c r="AK411" i="16"/>
  <c r="G57" i="16"/>
  <c r="P408" i="16"/>
  <c r="AH232" i="16"/>
  <c r="AC167" i="16"/>
  <c r="S412" i="16"/>
  <c r="H450" i="16"/>
  <c r="E433" i="16"/>
  <c r="AO167" i="16"/>
  <c r="M413" i="16"/>
  <c r="V27" i="16"/>
  <c r="V34" i="16"/>
  <c r="Y408" i="16"/>
  <c r="Z418" i="16"/>
  <c r="E16" i="16"/>
  <c r="E30" i="16" s="1"/>
  <c r="G30" i="16"/>
  <c r="E449" i="16"/>
  <c r="E431" i="16"/>
  <c r="Z287" i="16"/>
  <c r="T479" i="16"/>
  <c r="AI157" i="16"/>
  <c r="AH124" i="16"/>
  <c r="M412" i="16"/>
  <c r="M411" i="16"/>
  <c r="AK75" i="16"/>
  <c r="V38" i="16"/>
  <c r="P409" i="16"/>
  <c r="K232" i="16"/>
  <c r="J232" i="16" s="1"/>
  <c r="J212" i="16"/>
  <c r="K450" i="16"/>
  <c r="P155" i="16"/>
  <c r="Y413" i="16"/>
  <c r="G99" i="16"/>
  <c r="S26" i="16"/>
  <c r="S16" i="16"/>
  <c r="R27" i="16"/>
  <c r="R30" i="16"/>
  <c r="S30" i="16" s="1"/>
  <c r="S25" i="16"/>
  <c r="S24" i="16"/>
  <c r="G27" i="16"/>
  <c r="G35" i="16"/>
  <c r="Y27" i="16"/>
  <c r="AE30" i="16"/>
  <c r="AD309" i="16"/>
  <c r="AE304" i="16"/>
  <c r="AO287" i="16"/>
  <c r="AN287" i="16" s="1"/>
  <c r="AN267" i="16"/>
  <c r="H232" i="16"/>
  <c r="E285" i="16"/>
  <c r="D285" i="16" s="1"/>
  <c r="Q350" i="16"/>
  <c r="P350" i="16" s="1"/>
  <c r="W398" i="16"/>
  <c r="M304" i="16"/>
  <c r="L309" i="16"/>
  <c r="Q287" i="16"/>
  <c r="P287" i="16" s="1"/>
  <c r="P267" i="16"/>
  <c r="AL188" i="16"/>
  <c r="AL196" i="16"/>
  <c r="AK232" i="16" s="1"/>
  <c r="Q352" i="16"/>
  <c r="AC350" i="16"/>
  <c r="AB350" i="16" s="1"/>
  <c r="E415" i="16"/>
  <c r="E424" i="16"/>
  <c r="J230" i="16"/>
  <c r="E178" i="16"/>
  <c r="W157" i="16"/>
  <c r="V124" i="16"/>
  <c r="AH230" i="16"/>
  <c r="M409" i="16"/>
  <c r="Q196" i="16"/>
  <c r="Q406" i="16" s="1"/>
  <c r="O479" i="16" s="1"/>
  <c r="Q188" i="16"/>
  <c r="P414" i="16"/>
  <c r="M75" i="16"/>
  <c r="Y409" i="16"/>
  <c r="AN412" i="16"/>
  <c r="AH27" i="16"/>
  <c r="AH34" i="16"/>
  <c r="AI406" i="16"/>
  <c r="AG418" i="16" s="1"/>
  <c r="AB34" i="16"/>
  <c r="AB27" i="16"/>
  <c r="AE40" i="16"/>
  <c r="AE27" i="16"/>
  <c r="AE35" i="16"/>
  <c r="E426" i="16"/>
  <c r="AF188" i="16"/>
  <c r="AF196" i="16"/>
  <c r="AF406" i="16" s="1"/>
  <c r="AD418" i="16" s="1"/>
  <c r="H188" i="16"/>
  <c r="H196" i="16"/>
  <c r="D182" i="16"/>
  <c r="P118" i="16"/>
  <c r="P120" i="16"/>
  <c r="P121" i="16"/>
  <c r="P119" i="16"/>
  <c r="P115" i="16"/>
  <c r="P99" i="16"/>
  <c r="P122" i="16"/>
  <c r="P116" i="16"/>
  <c r="P114" i="16"/>
  <c r="P123" i="16"/>
  <c r="P117" i="16"/>
  <c r="P106" i="16"/>
  <c r="O107" i="16"/>
  <c r="P107" i="16" s="1"/>
  <c r="P105" i="16"/>
  <c r="O110" i="16"/>
  <c r="P110" i="16" s="1"/>
  <c r="P104" i="16"/>
  <c r="S414" i="16"/>
  <c r="P411" i="16"/>
  <c r="T450" i="16"/>
  <c r="T466" i="16" s="1"/>
  <c r="N157" i="16"/>
  <c r="AK37" i="16"/>
  <c r="AF77" i="16"/>
  <c r="AE77" i="16" s="1"/>
  <c r="AE44" i="16"/>
  <c r="E408" i="16"/>
  <c r="E478" i="16"/>
  <c r="T157" i="16"/>
  <c r="S124" i="16"/>
  <c r="E57" i="16"/>
  <c r="P412" i="16"/>
  <c r="N77" i="16"/>
  <c r="M77" i="16" s="1"/>
  <c r="M44" i="16"/>
  <c r="M30" i="16"/>
  <c r="AL77" i="16"/>
  <c r="AK77" i="16" s="1"/>
  <c r="AK44" i="16"/>
  <c r="Z30" i="16"/>
  <c r="Y30" i="16" s="1"/>
  <c r="T398" i="16"/>
  <c r="D308" i="16"/>
  <c r="E396" i="16"/>
  <c r="D376" i="16"/>
  <c r="U314" i="16"/>
  <c r="V309" i="16"/>
  <c r="AO350" i="16"/>
  <c r="AN350" i="16" s="1"/>
  <c r="E309" i="16"/>
  <c r="E314" i="16" s="1"/>
  <c r="AE196" i="16"/>
  <c r="AE188" i="16"/>
  <c r="E252" i="16"/>
  <c r="V188" i="16"/>
  <c r="V196" i="16"/>
  <c r="AH330" i="16"/>
  <c r="AI350" i="16"/>
  <c r="AH350" i="16" s="1"/>
  <c r="AK304" i="16"/>
  <c r="AJ309" i="16"/>
  <c r="AG309" i="16"/>
  <c r="AH304" i="16"/>
  <c r="AL398" i="16"/>
  <c r="W188" i="16"/>
  <c r="W196" i="16"/>
  <c r="V232" i="16" s="1"/>
  <c r="AK348" i="16"/>
  <c r="N188" i="16"/>
  <c r="N196" i="16"/>
  <c r="M232" i="16" s="1"/>
  <c r="E155" i="16"/>
  <c r="D155" i="16" s="1"/>
  <c r="AB304" i="16"/>
  <c r="AA309" i="16"/>
  <c r="J330" i="16"/>
  <c r="K350" i="16"/>
  <c r="J350" i="16" s="1"/>
  <c r="F309" i="16"/>
  <c r="G304" i="16"/>
  <c r="N252" i="16"/>
  <c r="C304" i="16"/>
  <c r="E137" i="16"/>
  <c r="D137" i="16" s="1"/>
  <c r="K157" i="16"/>
  <c r="Y75" i="16"/>
  <c r="AA418" i="16"/>
  <c r="S410" i="16"/>
  <c r="AK57" i="16"/>
  <c r="K466" i="16"/>
  <c r="V99" i="16"/>
  <c r="Y124" i="16"/>
  <c r="E468" i="16"/>
  <c r="H479" i="16"/>
  <c r="T77" i="16"/>
  <c r="S77" i="16" s="1"/>
  <c r="S44" i="16"/>
  <c r="H466" i="16"/>
  <c r="AN409" i="16"/>
  <c r="AK40" i="16"/>
  <c r="AO77" i="16"/>
  <c r="AN77" i="16" s="1"/>
  <c r="AN44" i="16"/>
  <c r="S411" i="16"/>
  <c r="AC450" i="16"/>
  <c r="AA450" i="16" s="1"/>
  <c r="AN26" i="16"/>
  <c r="AN25" i="16"/>
  <c r="AM30" i="16"/>
  <c r="AN30" i="16" s="1"/>
  <c r="AN24" i="16"/>
  <c r="AN16" i="16"/>
  <c r="P26" i="16"/>
  <c r="P25" i="16"/>
  <c r="O30" i="16"/>
  <c r="P30" i="16" s="1"/>
  <c r="P24" i="16"/>
  <c r="P16" i="16"/>
  <c r="AL450" i="16"/>
  <c r="Z352" i="16"/>
  <c r="D295" i="16"/>
  <c r="K197" i="16"/>
  <c r="Z450" i="16"/>
  <c r="E44" i="16"/>
  <c r="AO196" i="16"/>
  <c r="AO188" i="16"/>
  <c r="AF157" i="16"/>
  <c r="AE157" i="16" s="1"/>
  <c r="S409" i="16"/>
  <c r="AO450" i="16"/>
  <c r="AO466" i="16" s="1"/>
  <c r="Z157" i="16"/>
  <c r="Y157" i="16" s="1"/>
  <c r="H77" i="16"/>
  <c r="G77" i="16" s="1"/>
  <c r="G44" i="16"/>
  <c r="V287" i="16"/>
  <c r="W289" i="16"/>
  <c r="Y119" i="16"/>
  <c r="Y122" i="16"/>
  <c r="Y123" i="16"/>
  <c r="Y120" i="16"/>
  <c r="Y116" i="16"/>
  <c r="Y104" i="16"/>
  <c r="Y118" i="16"/>
  <c r="Y115" i="16"/>
  <c r="Y114" i="16"/>
  <c r="X107" i="16"/>
  <c r="Y107" i="16" s="1"/>
  <c r="X110" i="16"/>
  <c r="Y110" i="16" s="1"/>
  <c r="Y106" i="16"/>
  <c r="Y117" i="16"/>
  <c r="Y105" i="16"/>
  <c r="Y99" i="16"/>
  <c r="Y121" i="16"/>
  <c r="Y414" i="16"/>
  <c r="AC77" i="16"/>
  <c r="AB44" i="16"/>
  <c r="P124" i="16"/>
  <c r="P34" i="16"/>
  <c r="P27" i="16"/>
  <c r="K406" i="16"/>
  <c r="I479" i="16" s="1"/>
  <c r="J25" i="16"/>
  <c r="J16" i="16"/>
  <c r="J24" i="16"/>
  <c r="J26" i="16"/>
  <c r="I30" i="16"/>
  <c r="J30" i="16" s="1"/>
  <c r="N418" i="16"/>
  <c r="M408" i="16"/>
  <c r="W77" i="16"/>
  <c r="V77" i="16" s="1"/>
  <c r="V44" i="16"/>
  <c r="I27" i="16"/>
  <c r="D10" i="16"/>
  <c r="G196" i="16"/>
  <c r="G188" i="16"/>
  <c r="AO252" i="16"/>
  <c r="AE287" i="16"/>
  <c r="AF289" i="16"/>
  <c r="AC287" i="16"/>
  <c r="AK350" i="16"/>
  <c r="S304" i="16"/>
  <c r="R309" i="16"/>
  <c r="C187" i="16"/>
  <c r="W352" i="16"/>
  <c r="AI234" i="16"/>
  <c r="AI197" i="16"/>
  <c r="E416" i="16"/>
  <c r="E423" i="16"/>
  <c r="N450" i="16"/>
  <c r="Z232" i="16"/>
  <c r="Y232" i="16" s="1"/>
  <c r="Y212" i="16"/>
  <c r="N287" i="16"/>
  <c r="M287" i="16" s="1"/>
  <c r="T188" i="16"/>
  <c r="T196" i="16"/>
  <c r="T406" i="16" s="1"/>
  <c r="AK122" i="16"/>
  <c r="AK119" i="16"/>
  <c r="AK121" i="16"/>
  <c r="AK120" i="16"/>
  <c r="AK116" i="16"/>
  <c r="AJ107" i="16"/>
  <c r="AK107" i="16" s="1"/>
  <c r="AK123" i="16"/>
  <c r="AJ110" i="16"/>
  <c r="AK110" i="16" s="1"/>
  <c r="AK104" i="16"/>
  <c r="AK99" i="16"/>
  <c r="AK115" i="16"/>
  <c r="AK114" i="16"/>
  <c r="AK106" i="16"/>
  <c r="AK118" i="16"/>
  <c r="AK117" i="16"/>
  <c r="AK105" i="16"/>
  <c r="S123" i="16"/>
  <c r="S121" i="16"/>
  <c r="S119" i="16"/>
  <c r="S122" i="16"/>
  <c r="S118" i="16"/>
  <c r="S116" i="16"/>
  <c r="S114" i="16"/>
  <c r="S117" i="16"/>
  <c r="S106" i="16"/>
  <c r="R107" i="16"/>
  <c r="S107" i="16" s="1"/>
  <c r="R110" i="16"/>
  <c r="S110" i="16" s="1"/>
  <c r="S105" i="16"/>
  <c r="S120" i="16"/>
  <c r="S104" i="16"/>
  <c r="S99" i="16"/>
  <c r="S115" i="16"/>
  <c r="W450" i="16"/>
  <c r="C114" i="16"/>
  <c r="E124" i="16"/>
  <c r="AI77" i="16"/>
  <c r="AH77" i="16" s="1"/>
  <c r="AH44" i="16"/>
  <c r="E445" i="16"/>
  <c r="AK414" i="16"/>
  <c r="AK410" i="16"/>
  <c r="AF450" i="16"/>
  <c r="AF466" i="16" s="1"/>
  <c r="C409" i="16"/>
  <c r="Q77" i="16"/>
  <c r="P77" i="16" s="1"/>
  <c r="P44" i="16"/>
  <c r="Q157" i="16"/>
  <c r="P157" i="16" s="1"/>
  <c r="F35" i="16"/>
  <c r="E8" i="16"/>
  <c r="C16" i="16"/>
  <c r="C27" i="16" s="1"/>
  <c r="D9" i="16"/>
  <c r="AK35" i="16"/>
  <c r="AK27" i="16"/>
  <c r="D18" i="16"/>
  <c r="AK408" i="16"/>
  <c r="AL418" i="16"/>
  <c r="W88" i="16"/>
  <c r="I309" i="16"/>
  <c r="J304" i="16"/>
  <c r="E417" i="16"/>
  <c r="J348" i="16"/>
  <c r="N352" i="16"/>
  <c r="E187" i="16"/>
  <c r="E175" i="16"/>
  <c r="H350" i="16"/>
  <c r="G350" i="16" s="1"/>
  <c r="AK330" i="16"/>
  <c r="G267" i="16"/>
  <c r="H287" i="16"/>
  <c r="E232" i="16"/>
  <c r="AF350" i="16"/>
  <c r="E448" i="16"/>
  <c r="AC234" i="16"/>
  <c r="P188" i="16"/>
  <c r="P196" i="16"/>
  <c r="AM309" i="16"/>
  <c r="AN304" i="16"/>
  <c r="P304" i="16"/>
  <c r="Z188" i="16"/>
  <c r="M57" i="16"/>
  <c r="C35" i="16"/>
  <c r="Y57" i="16"/>
  <c r="H157" i="16"/>
  <c r="G157" i="16" s="1"/>
  <c r="G124" i="16"/>
  <c r="Q450" i="16"/>
  <c r="K77" i="16"/>
  <c r="J77" i="16" s="1"/>
  <c r="J44" i="16"/>
  <c r="D102" i="16"/>
  <c r="M414" i="16"/>
  <c r="M410" i="16"/>
  <c r="AH212" i="16"/>
  <c r="AN118" i="16"/>
  <c r="AN120" i="16"/>
  <c r="AN121" i="16"/>
  <c r="AN119" i="16"/>
  <c r="AN115" i="16"/>
  <c r="AN123" i="16"/>
  <c r="AN99" i="16"/>
  <c r="AN114" i="16"/>
  <c r="AN106" i="16"/>
  <c r="AN116" i="16"/>
  <c r="AN117" i="16"/>
  <c r="AM107" i="16"/>
  <c r="AN107" i="16" s="1"/>
  <c r="AN105" i="16"/>
  <c r="AN122" i="16"/>
  <c r="AM110" i="16"/>
  <c r="AN110" i="16" s="1"/>
  <c r="AN104" i="16"/>
  <c r="AI450" i="16"/>
  <c r="P413" i="16"/>
  <c r="G75" i="16"/>
  <c r="G110" i="16"/>
  <c r="AK413" i="16"/>
  <c r="Z77" i="16"/>
  <c r="Y77" i="16" s="1"/>
  <c r="Y44" i="16"/>
  <c r="AK30" i="16"/>
  <c r="V35" i="16"/>
  <c r="AH25" i="16"/>
  <c r="AH16" i="16"/>
  <c r="AH24" i="16"/>
  <c r="AH26" i="16"/>
  <c r="AG30" i="16"/>
  <c r="AH30" i="16" s="1"/>
  <c r="V25" i="16"/>
  <c r="V24" i="16"/>
  <c r="V26" i="16"/>
  <c r="V16" i="16"/>
  <c r="U30" i="16"/>
  <c r="V30" i="16" s="1"/>
  <c r="J137" i="15" l="1"/>
  <c r="J34" i="15"/>
  <c r="J36" i="15"/>
  <c r="J40" i="15"/>
  <c r="P27" i="15"/>
  <c r="P30" i="15"/>
  <c r="C114" i="15"/>
  <c r="J155" i="15"/>
  <c r="AB30" i="16"/>
  <c r="K289" i="15"/>
  <c r="J38" i="15"/>
  <c r="E287" i="15"/>
  <c r="D287" i="15" s="1"/>
  <c r="V137" i="16"/>
  <c r="AO352" i="16"/>
  <c r="AA464" i="16"/>
  <c r="J35" i="15"/>
  <c r="AO406" i="15"/>
  <c r="AM450" i="15" s="1"/>
  <c r="D137" i="15"/>
  <c r="AN44" i="15"/>
  <c r="V155" i="16"/>
  <c r="V157" i="16"/>
  <c r="T352" i="16"/>
  <c r="AB232" i="15"/>
  <c r="AN77" i="15"/>
  <c r="AF88" i="16"/>
  <c r="V44" i="15"/>
  <c r="M110" i="16"/>
  <c r="V77" i="15"/>
  <c r="AN27" i="16"/>
  <c r="N406" i="16"/>
  <c r="L479" i="16" s="1"/>
  <c r="D267" i="15"/>
  <c r="V57" i="15"/>
  <c r="P35" i="15"/>
  <c r="P37" i="15"/>
  <c r="P38" i="15"/>
  <c r="P39" i="15"/>
  <c r="AB350" i="15"/>
  <c r="AC352" i="15"/>
  <c r="E479" i="16"/>
  <c r="AI167" i="15"/>
  <c r="AN57" i="16"/>
  <c r="Q234" i="15"/>
  <c r="V75" i="15"/>
  <c r="AH287" i="16"/>
  <c r="AI289" i="16"/>
  <c r="L479" i="15"/>
  <c r="L432" i="15"/>
  <c r="AA450" i="15"/>
  <c r="AA432" i="15"/>
  <c r="AA479" i="15"/>
  <c r="AA418" i="15"/>
  <c r="D412" i="16"/>
  <c r="O418" i="16"/>
  <c r="AL88" i="16"/>
  <c r="T406" i="15"/>
  <c r="R450" i="15" s="1"/>
  <c r="D16" i="15"/>
  <c r="AO289" i="16"/>
  <c r="N289" i="16"/>
  <c r="I432" i="16"/>
  <c r="Q352" i="15"/>
  <c r="C30" i="15"/>
  <c r="D30" i="15" s="1"/>
  <c r="P57" i="15"/>
  <c r="E432" i="15"/>
  <c r="AG479" i="16"/>
  <c r="E352" i="16"/>
  <c r="AG432" i="16"/>
  <c r="Z406" i="15"/>
  <c r="X450" i="15" s="1"/>
  <c r="E289" i="15"/>
  <c r="E450" i="15"/>
  <c r="E479" i="15"/>
  <c r="AO88" i="15"/>
  <c r="D24" i="15"/>
  <c r="V37" i="16"/>
  <c r="V39" i="16"/>
  <c r="V40" i="16"/>
  <c r="V36" i="16"/>
  <c r="S37" i="15"/>
  <c r="S27" i="15"/>
  <c r="S40" i="15"/>
  <c r="S34" i="15"/>
  <c r="S38" i="15"/>
  <c r="S39" i="15"/>
  <c r="S35" i="15"/>
  <c r="S36" i="15"/>
  <c r="D75" i="15"/>
  <c r="M155" i="16"/>
  <c r="M137" i="16"/>
  <c r="Z234" i="16"/>
  <c r="R466" i="16"/>
  <c r="E432" i="16"/>
  <c r="O432" i="15"/>
  <c r="P44" i="15"/>
  <c r="AF289" i="15"/>
  <c r="AN230" i="15"/>
  <c r="AD466" i="16"/>
  <c r="O450" i="16"/>
  <c r="AF234" i="15"/>
  <c r="Y212" i="15"/>
  <c r="AD450" i="15"/>
  <c r="N88" i="15"/>
  <c r="P77" i="15"/>
  <c r="AC197" i="16"/>
  <c r="AB212" i="16"/>
  <c r="Y36" i="15"/>
  <c r="Y37" i="15"/>
  <c r="Y38" i="15"/>
  <c r="Y40" i="15"/>
  <c r="Y39" i="15"/>
  <c r="AG450" i="16"/>
  <c r="Y232" i="15"/>
  <c r="AN57" i="15"/>
  <c r="N234" i="15"/>
  <c r="M232" i="15"/>
  <c r="I466" i="16"/>
  <c r="AI352" i="16"/>
  <c r="D35" i="15"/>
  <c r="J232" i="15"/>
  <c r="D34" i="15"/>
  <c r="H88" i="15"/>
  <c r="AN35" i="16"/>
  <c r="AN37" i="16"/>
  <c r="AN39" i="16"/>
  <c r="AN36" i="16"/>
  <c r="AN38" i="16"/>
  <c r="AN40" i="16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D39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O466" i="15" s="1"/>
  <c r="O418" i="15"/>
  <c r="D412" i="15"/>
  <c r="AD432" i="15"/>
  <c r="D196" i="15"/>
  <c r="D188" i="15"/>
  <c r="D413" i="15"/>
  <c r="S287" i="15"/>
  <c r="T289" i="15"/>
  <c r="E77" i="15"/>
  <c r="D44" i="15"/>
  <c r="O464" i="15"/>
  <c r="L450" i="15"/>
  <c r="AA466" i="15"/>
  <c r="F432" i="15"/>
  <c r="AC234" i="15"/>
  <c r="AC197" i="15"/>
  <c r="AB212" i="15"/>
  <c r="AB230" i="15"/>
  <c r="F314" i="15"/>
  <c r="G309" i="15"/>
  <c r="AM464" i="15"/>
  <c r="O450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M466" i="15" s="1"/>
  <c r="AM418" i="15"/>
  <c r="X464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X418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27" i="15"/>
  <c r="D37" i="15"/>
  <c r="D36" i="15"/>
  <c r="D38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D27" i="16"/>
  <c r="D38" i="16"/>
  <c r="D37" i="16"/>
  <c r="D34" i="16"/>
  <c r="D35" i="16"/>
  <c r="D39" i="16"/>
  <c r="D36" i="16"/>
  <c r="D40" i="16"/>
  <c r="T481" i="16"/>
  <c r="R464" i="16"/>
  <c r="R432" i="16"/>
  <c r="R418" i="16"/>
  <c r="L464" i="16"/>
  <c r="AG314" i="16"/>
  <c r="AH309" i="16"/>
  <c r="V314" i="16"/>
  <c r="W405" i="16"/>
  <c r="T88" i="16"/>
  <c r="AL234" i="16"/>
  <c r="AL197" i="16"/>
  <c r="AK230" i="16"/>
  <c r="AK212" i="16"/>
  <c r="O432" i="16"/>
  <c r="AE350" i="16"/>
  <c r="AF352" i="16"/>
  <c r="I314" i="16"/>
  <c r="J309" i="16"/>
  <c r="K234" i="16"/>
  <c r="J157" i="16"/>
  <c r="K167" i="16"/>
  <c r="G309" i="16"/>
  <c r="F314" i="16"/>
  <c r="AC352" i="16"/>
  <c r="AK309" i="16"/>
  <c r="AJ314" i="16"/>
  <c r="Z406" i="16"/>
  <c r="Z88" i="16"/>
  <c r="D57" i="16"/>
  <c r="Q88" i="16"/>
  <c r="AO88" i="16"/>
  <c r="X314" i="16"/>
  <c r="Y309" i="16"/>
  <c r="R314" i="16"/>
  <c r="S309" i="16"/>
  <c r="H167" i="16"/>
  <c r="D118" i="16"/>
  <c r="D122" i="16"/>
  <c r="D120" i="16"/>
  <c r="D123" i="16"/>
  <c r="D119" i="16"/>
  <c r="D115" i="16"/>
  <c r="D116" i="16"/>
  <c r="C107" i="16"/>
  <c r="D107" i="16" s="1"/>
  <c r="D117" i="16"/>
  <c r="D114" i="16"/>
  <c r="C110" i="16"/>
  <c r="D110" i="16" s="1"/>
  <c r="D121" i="16"/>
  <c r="D106" i="16"/>
  <c r="D99" i="16"/>
  <c r="D105" i="16"/>
  <c r="D104" i="16"/>
  <c r="AN309" i="16"/>
  <c r="AM314" i="16"/>
  <c r="AF481" i="16"/>
  <c r="AD479" i="16"/>
  <c r="T234" i="16"/>
  <c r="T197" i="16"/>
  <c r="S212" i="16"/>
  <c r="S230" i="16"/>
  <c r="AB287" i="16"/>
  <c r="AC289" i="16"/>
  <c r="D410" i="16"/>
  <c r="D304" i="16"/>
  <c r="C309" i="16"/>
  <c r="W197" i="16"/>
  <c r="W234" i="16"/>
  <c r="V212" i="16"/>
  <c r="V230" i="16"/>
  <c r="S157" i="16"/>
  <c r="T167" i="16"/>
  <c r="M157" i="16"/>
  <c r="N167" i="16"/>
  <c r="Q466" i="16"/>
  <c r="O466" i="16" s="1"/>
  <c r="Q167" i="16"/>
  <c r="AL406" i="16"/>
  <c r="AJ450" i="16" s="1"/>
  <c r="D75" i="16"/>
  <c r="H234" i="16"/>
  <c r="H197" i="16"/>
  <c r="G287" i="16"/>
  <c r="H289" i="16"/>
  <c r="D409" i="16"/>
  <c r="J27" i="16"/>
  <c r="J34" i="16"/>
  <c r="J37" i="16"/>
  <c r="J40" i="16"/>
  <c r="J35" i="16"/>
  <c r="J36" i="16"/>
  <c r="J38" i="16"/>
  <c r="J39" i="16"/>
  <c r="AB77" i="16"/>
  <c r="AC88" i="16"/>
  <c r="D413" i="16"/>
  <c r="E77" i="16"/>
  <c r="D77" i="16" s="1"/>
  <c r="D44" i="16"/>
  <c r="D414" i="16"/>
  <c r="G230" i="16"/>
  <c r="AA314" i="16"/>
  <c r="AB309" i="16"/>
  <c r="R450" i="16"/>
  <c r="AF234" i="16"/>
  <c r="AF197" i="16"/>
  <c r="AE212" i="16"/>
  <c r="AE230" i="16"/>
  <c r="AI88" i="16"/>
  <c r="AF167" i="16"/>
  <c r="Q234" i="16"/>
  <c r="Q197" i="16"/>
  <c r="P212" i="16"/>
  <c r="P232" i="16"/>
  <c r="P230" i="16"/>
  <c r="L314" i="16"/>
  <c r="M309" i="16"/>
  <c r="AH157" i="16"/>
  <c r="AI167" i="16"/>
  <c r="Z466" i="16"/>
  <c r="X418" i="16"/>
  <c r="N88" i="16"/>
  <c r="H88" i="16"/>
  <c r="D350" i="16"/>
  <c r="N466" i="16"/>
  <c r="L418" i="16"/>
  <c r="AO234" i="16"/>
  <c r="AO197" i="16"/>
  <c r="AN232" i="16"/>
  <c r="AN212" i="16"/>
  <c r="AN230" i="16"/>
  <c r="AD314" i="16"/>
  <c r="AE309" i="16"/>
  <c r="AO406" i="16"/>
  <c r="D188" i="16"/>
  <c r="D196" i="16"/>
  <c r="W406" i="16"/>
  <c r="U450" i="16" s="1"/>
  <c r="C30" i="16"/>
  <c r="D30" i="16" s="1"/>
  <c r="D26" i="16"/>
  <c r="D25" i="16"/>
  <c r="D24" i="16"/>
  <c r="D16" i="16"/>
  <c r="AD450" i="16"/>
  <c r="E157" i="16"/>
  <c r="D124" i="16"/>
  <c r="AE232" i="16"/>
  <c r="C34" i="16"/>
  <c r="S232" i="16"/>
  <c r="E418" i="16"/>
  <c r="C408" i="16"/>
  <c r="D408" i="16"/>
  <c r="AG464" i="16"/>
  <c r="G212" i="16"/>
  <c r="I450" i="16"/>
  <c r="E450" i="16"/>
  <c r="P314" i="16"/>
  <c r="Q405" i="16"/>
  <c r="Q289" i="16"/>
  <c r="H406" i="16"/>
  <c r="F450" i="16" s="1"/>
  <c r="D330" i="16"/>
  <c r="D396" i="16"/>
  <c r="E398" i="16"/>
  <c r="O464" i="16"/>
  <c r="K88" i="16"/>
  <c r="AC466" i="16"/>
  <c r="AD464" i="16"/>
  <c r="G232" i="16"/>
  <c r="S27" i="16"/>
  <c r="S40" i="16"/>
  <c r="S35" i="16"/>
  <c r="S39" i="16"/>
  <c r="S37" i="16"/>
  <c r="S38" i="16"/>
  <c r="S34" i="16"/>
  <c r="S36" i="16"/>
  <c r="Z167" i="16"/>
  <c r="R479" i="16"/>
  <c r="S287" i="16"/>
  <c r="T289" i="16"/>
  <c r="E196" i="16"/>
  <c r="E406" i="16" s="1"/>
  <c r="E188" i="16"/>
  <c r="H352" i="16"/>
  <c r="AL466" i="16"/>
  <c r="AJ466" i="16" s="1"/>
  <c r="K481" i="16"/>
  <c r="I464" i="16"/>
  <c r="W167" i="16"/>
  <c r="X450" i="16"/>
  <c r="I418" i="16"/>
  <c r="N234" i="16"/>
  <c r="N197" i="16"/>
  <c r="M212" i="16"/>
  <c r="M230" i="16"/>
  <c r="AD432" i="16"/>
  <c r="D411" i="16"/>
  <c r="W466" i="16"/>
  <c r="U466" i="16" s="1"/>
  <c r="K352" i="16"/>
  <c r="Y287" i="16"/>
  <c r="Z289" i="16"/>
  <c r="AI466" i="16"/>
  <c r="AG466" i="16" s="1"/>
  <c r="E287" i="16"/>
  <c r="D267" i="16"/>
  <c r="D348" i="16"/>
  <c r="R418" i="15" l="1"/>
  <c r="R466" i="15"/>
  <c r="F466" i="16"/>
  <c r="I466" i="15"/>
  <c r="R464" i="15"/>
  <c r="AM479" i="15"/>
  <c r="AM432" i="15"/>
  <c r="AJ418" i="16"/>
  <c r="D232" i="16"/>
  <c r="U466" i="15"/>
  <c r="AL481" i="15"/>
  <c r="L450" i="16"/>
  <c r="X466" i="16"/>
  <c r="L432" i="16"/>
  <c r="L466" i="16"/>
  <c r="U418" i="15"/>
  <c r="X466" i="15"/>
  <c r="X432" i="15"/>
  <c r="X479" i="15"/>
  <c r="AF481" i="15"/>
  <c r="AI481" i="16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AE481" i="15" s="1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F487" i="15"/>
  <c r="C464" i="16"/>
  <c r="C432" i="16"/>
  <c r="C479" i="16"/>
  <c r="D287" i="16"/>
  <c r="E289" i="16"/>
  <c r="E466" i="16"/>
  <c r="C466" i="16" s="1"/>
  <c r="C418" i="16"/>
  <c r="F479" i="16"/>
  <c r="J314" i="16"/>
  <c r="K405" i="16"/>
  <c r="C450" i="16"/>
  <c r="Q481" i="16"/>
  <c r="AB314" i="16"/>
  <c r="AC405" i="16"/>
  <c r="AL481" i="16"/>
  <c r="AJ479" i="16"/>
  <c r="AJ464" i="16"/>
  <c r="AJ432" i="16"/>
  <c r="Y314" i="16"/>
  <c r="Z405" i="16"/>
  <c r="N481" i="16"/>
  <c r="J481" i="16"/>
  <c r="K487" i="16"/>
  <c r="AF487" i="16"/>
  <c r="G314" i="16"/>
  <c r="H405" i="16"/>
  <c r="S314" i="16"/>
  <c r="T405" i="16"/>
  <c r="S481" i="16" s="1"/>
  <c r="AK314" i="16"/>
  <c r="AL405" i="16"/>
  <c r="AO481" i="16"/>
  <c r="AM464" i="16"/>
  <c r="AM418" i="16"/>
  <c r="AM432" i="16"/>
  <c r="AM479" i="16"/>
  <c r="AM450" i="16"/>
  <c r="AE314" i="16"/>
  <c r="AF405" i="16"/>
  <c r="AE481" i="16" s="1"/>
  <c r="M314" i="16"/>
  <c r="N405" i="16"/>
  <c r="E88" i="16"/>
  <c r="AN314" i="16"/>
  <c r="AO405" i="16"/>
  <c r="W481" i="16"/>
  <c r="U479" i="16"/>
  <c r="U418" i="16"/>
  <c r="U464" i="16"/>
  <c r="U432" i="16"/>
  <c r="AH314" i="16"/>
  <c r="AI405" i="16"/>
  <c r="H481" i="16"/>
  <c r="F418" i="16"/>
  <c r="F432" i="16"/>
  <c r="F464" i="16"/>
  <c r="AH481" i="16"/>
  <c r="AI487" i="16"/>
  <c r="D157" i="16"/>
  <c r="E167" i="16"/>
  <c r="AM466" i="16"/>
  <c r="T487" i="16"/>
  <c r="E197" i="16"/>
  <c r="E234" i="16"/>
  <c r="D230" i="16"/>
  <c r="D212" i="16"/>
  <c r="AA466" i="16"/>
  <c r="AC481" i="16"/>
  <c r="D418" i="16"/>
  <c r="C314" i="16"/>
  <c r="D314" i="16" s="1"/>
  <c r="D309" i="16"/>
  <c r="Z481" i="16"/>
  <c r="X479" i="16"/>
  <c r="X432" i="16"/>
  <c r="X464" i="16"/>
  <c r="E481" i="16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S487" i="16"/>
  <c r="T496" i="16"/>
  <c r="S496" i="16" s="1"/>
  <c r="V481" i="16"/>
  <c r="W487" i="16"/>
  <c r="M481" i="16"/>
  <c r="N487" i="16"/>
  <c r="AI496" i="16"/>
  <c r="AH496" i="16" s="1"/>
  <c r="AH487" i="16"/>
  <c r="Y481" i="16"/>
  <c r="Z487" i="16"/>
  <c r="AO487" i="16"/>
  <c r="AN481" i="16"/>
  <c r="AE487" i="16"/>
  <c r="AF496" i="16"/>
  <c r="AE496" i="16" s="1"/>
  <c r="E487" i="16"/>
  <c r="K496" i="16"/>
  <c r="J496" i="16" s="1"/>
  <c r="J487" i="16"/>
  <c r="AK481" i="16"/>
  <c r="AL487" i="16"/>
  <c r="AC487" i="16"/>
  <c r="AB481" i="16"/>
  <c r="H487" i="16"/>
  <c r="G481" i="16"/>
  <c r="Q487" i="16"/>
  <c r="P481" i="16"/>
  <c r="E405" i="16"/>
  <c r="D481" i="16" s="1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Z496" i="16"/>
  <c r="Y496" i="16" s="1"/>
  <c r="Y487" i="16"/>
  <c r="G487" i="16"/>
  <c r="H496" i="16"/>
  <c r="G496" i="16" s="1"/>
  <c r="E496" i="16"/>
  <c r="D496" i="16" s="1"/>
  <c r="D487" i="16"/>
  <c r="AC496" i="16"/>
  <c r="AB496" i="16" s="1"/>
  <c r="AB487" i="16"/>
  <c r="AL496" i="16"/>
  <c r="AK496" i="16" s="1"/>
  <c r="AK487" i="16"/>
  <c r="W496" i="16"/>
  <c r="V496" i="16" s="1"/>
  <c r="V487" i="16"/>
  <c r="Q496" i="16"/>
  <c r="P496" i="16" s="1"/>
  <c r="P487" i="16"/>
  <c r="N496" i="16"/>
  <c r="M496" i="16" s="1"/>
  <c r="M487" i="16"/>
  <c r="AO496" i="16"/>
  <c r="AN496" i="16" s="1"/>
  <c r="AN487" i="16"/>
  <c r="E496" i="15" l="1"/>
  <c r="D496" i="15" s="1"/>
  <c r="D487" i="15"/>
  <c r="A336" i="17"/>
  <c r="A336" i="3"/>
  <c r="A272" i="17"/>
  <c r="A272" i="3"/>
  <c r="A216" i="17"/>
  <c r="A216" i="3"/>
  <c r="I66" i="19" l="1"/>
  <c r="L66" i="19" s="1"/>
  <c r="H66" i="19"/>
  <c r="K66" i="19" s="1"/>
  <c r="G66" i="19"/>
  <c r="J66" i="19" s="1"/>
  <c r="I63" i="19"/>
  <c r="H63" i="19"/>
  <c r="G63" i="19"/>
  <c r="B1" i="19"/>
  <c r="I35" i="19" l="1"/>
  <c r="H35" i="19"/>
  <c r="G35" i="19"/>
  <c r="I34" i="19"/>
  <c r="H34" i="19"/>
  <c r="G34" i="19"/>
  <c r="H18" i="19"/>
  <c r="H17" i="19"/>
  <c r="I18" i="19" l="1"/>
  <c r="G18" i="19"/>
  <c r="I17" i="19"/>
  <c r="G17" i="19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N362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Z439" i="17" s="1"/>
  <c r="A32" i="17"/>
  <c r="A35" i="17"/>
  <c r="A17" i="17"/>
  <c r="A36" i="17"/>
  <c r="A57" i="17"/>
  <c r="A61" i="17"/>
  <c r="A65" i="17"/>
  <c r="AO484" i="17"/>
  <c r="AO401" i="17"/>
  <c r="S355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AC419" i="3" l="1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J494" i="3" s="1"/>
  <c r="AC496" i="3"/>
  <c r="AJ496" i="3" s="1"/>
  <c r="H10" i="3"/>
  <c r="H7" i="3"/>
  <c r="H8" i="3"/>
  <c r="AJ495" i="3"/>
  <c r="H11" i="3"/>
  <c r="H300" i="3"/>
  <c r="AJ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A111" i="3"/>
  <c r="I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F204" i="3"/>
  <c r="I204" i="3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G177" i="3"/>
  <c r="I177" i="3"/>
  <c r="H177" i="3"/>
  <c r="G99" i="3"/>
  <c r="I99" i="3"/>
  <c r="I265" i="3"/>
  <c r="I299" i="3"/>
  <c r="G299" i="3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F277" i="3"/>
  <c r="F268" i="3"/>
  <c r="F260" i="3"/>
  <c r="F334" i="3"/>
  <c r="F326" i="3"/>
  <c r="F369" i="3"/>
  <c r="F377" i="3"/>
  <c r="F385" i="3"/>
  <c r="F393" i="3"/>
  <c r="F306" i="3"/>
  <c r="D306" i="3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F299" i="3"/>
  <c r="F307" i="3"/>
  <c r="D307" i="3"/>
  <c r="D298" i="3"/>
  <c r="F298" i="3"/>
  <c r="F243" i="3"/>
  <c r="D243" i="3"/>
  <c r="E243" i="3"/>
  <c r="E240" i="3"/>
  <c r="D240" i="3"/>
  <c r="F240" i="3"/>
  <c r="F183" i="3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H99" i="3" l="1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I230" i="3" s="1"/>
  <c r="I96" i="3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H173" i="3"/>
  <c r="H184" i="3"/>
  <c r="H193" i="3" s="1"/>
  <c r="I241" i="3"/>
  <c r="I104" i="3"/>
  <c r="I303" i="3"/>
  <c r="I308" i="3" s="1"/>
  <c r="I313" i="3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I183" i="17" l="1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91" i="17"/>
  <c r="I383" i="17"/>
  <c r="I374" i="17"/>
  <c r="I366" i="17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90" i="17"/>
  <c r="I382" i="17"/>
  <c r="I373" i="17"/>
  <c r="I365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89" i="17"/>
  <c r="I381" i="17"/>
  <c r="I372" i="17"/>
  <c r="I364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AC479" i="17" s="1"/>
  <c r="I71" i="17"/>
  <c r="I63" i="17"/>
  <c r="I55" i="17"/>
  <c r="I46" i="17"/>
  <c r="I37" i="17"/>
  <c r="G23" i="17"/>
  <c r="H23" i="17" s="1"/>
  <c r="G17" i="17"/>
  <c r="H17" i="17" s="1"/>
  <c r="G10" i="17"/>
  <c r="G6" i="17"/>
  <c r="AC455" i="17"/>
  <c r="AI455" i="17" s="1"/>
  <c r="AC468" i="17"/>
  <c r="I388" i="17"/>
  <c r="I380" i="17"/>
  <c r="I371" i="17"/>
  <c r="I359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87" i="17"/>
  <c r="I379" i="17"/>
  <c r="I370" i="17"/>
  <c r="G359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86" i="17"/>
  <c r="I378" i="17"/>
  <c r="I369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93" i="17"/>
  <c r="I385" i="17"/>
  <c r="I377" i="17"/>
  <c r="I368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92" i="17"/>
  <c r="I384" i="17"/>
  <c r="I375" i="17"/>
  <c r="I367" i="17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H230" i="3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296" i="17" l="1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I376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H359" i="17"/>
  <c r="I361" i="17"/>
  <c r="I329" i="17"/>
  <c r="AC444" i="17"/>
  <c r="H9" i="17"/>
  <c r="AC472" i="17"/>
  <c r="G96" i="17"/>
  <c r="H120" i="17" s="1"/>
  <c r="H95" i="17"/>
  <c r="I394" i="17"/>
  <c r="H394" i="17" s="1"/>
  <c r="AC447" i="17"/>
  <c r="AC440" i="17"/>
  <c r="I162" i="17"/>
  <c r="AC473" i="17"/>
  <c r="I121" i="17"/>
  <c r="H7" i="17"/>
  <c r="I107" i="17"/>
  <c r="M359" i="17"/>
  <c r="G361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H313" i="3" s="1"/>
  <c r="I232" i="3"/>
  <c r="I194" i="3"/>
  <c r="H228" i="3"/>
  <c r="H209" i="3"/>
  <c r="I193" i="17" l="1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H361" i="17"/>
  <c r="M361" i="17"/>
  <c r="AB414" i="17"/>
  <c r="AB409" i="17"/>
  <c r="AC480" i="17"/>
  <c r="AC432" i="17"/>
  <c r="H152" i="17"/>
  <c r="H376" i="17"/>
  <c r="I396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I398" i="17"/>
  <c r="H396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175" i="17" s="1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U1051" i="14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P1041" i="14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U1037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N1035" i="14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N1027" i="14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N1023" i="14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U1009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N1005" i="14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N995" i="14"/>
  <c r="M995" i="14"/>
  <c r="L995" i="14"/>
  <c r="W995" i="14" s="1"/>
  <c r="S994" i="14"/>
  <c r="R994" i="14"/>
  <c r="Q994" i="14"/>
  <c r="M994" i="14"/>
  <c r="L994" i="14"/>
  <c r="V993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/>
  <c r="M991" i="14"/>
  <c r="L991" i="14"/>
  <c r="W991" i="14" s="1"/>
  <c r="S990" i="14"/>
  <c r="R990" i="14"/>
  <c r="Q990" i="14"/>
  <c r="M990" i="14"/>
  <c r="L990" i="14"/>
  <c r="U990" i="14" s="1"/>
  <c r="V989" i="14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U970" i="14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T944" i="14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N943" i="14"/>
  <c r="M943" i="14"/>
  <c r="L943" i="14"/>
  <c r="U943" i="14" s="1"/>
  <c r="S942" i="14"/>
  <c r="R942" i="14"/>
  <c r="Q942" i="14"/>
  <c r="M942" i="14"/>
  <c r="L942" i="14"/>
  <c r="W942" i="14" s="1"/>
  <c r="V941" i="14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O939" i="14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T936" i="14"/>
  <c r="S936" i="14"/>
  <c r="R936" i="14"/>
  <c r="Q936" i="14"/>
  <c r="O936" i="14" s="1"/>
  <c r="M936" i="14"/>
  <c r="L936" i="14"/>
  <c r="W936" i="14" s="1"/>
  <c r="V935" i="14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W905" i="14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W896" i="14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P893" i="14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W886" i="14"/>
  <c r="S886" i="14"/>
  <c r="R886" i="14"/>
  <c r="Q886" i="14"/>
  <c r="P886" i="14" s="1"/>
  <c r="M886" i="14"/>
  <c r="L886" i="14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W882" i="14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O881" i="14"/>
  <c r="M881" i="14"/>
  <c r="L881" i="14"/>
  <c r="S880" i="14"/>
  <c r="R880" i="14"/>
  <c r="Q880" i="14"/>
  <c r="O880" i="14" s="1"/>
  <c r="N880" i="14"/>
  <c r="M880" i="14"/>
  <c r="L880" i="14"/>
  <c r="U880" i="14" s="1"/>
  <c r="S879" i="14"/>
  <c r="R879" i="14"/>
  <c r="Q879" i="14"/>
  <c r="O879" i="14" s="1"/>
  <c r="P879" i="14"/>
  <c r="N879" i="14"/>
  <c r="M879" i="14"/>
  <c r="L879" i="14"/>
  <c r="S878" i="14"/>
  <c r="R878" i="14"/>
  <c r="Q878" i="14"/>
  <c r="N878" i="14" s="1"/>
  <c r="O878" i="14"/>
  <c r="M878" i="14"/>
  <c r="L878" i="14"/>
  <c r="V878" i="14" s="1"/>
  <c r="U877" i="14"/>
  <c r="S877" i="14"/>
  <c r="R877" i="14"/>
  <c r="Q877" i="14"/>
  <c r="N877" i="14" s="1"/>
  <c r="P877" i="14"/>
  <c r="O877" i="14"/>
  <c r="M877" i="14"/>
  <c r="L877" i="14"/>
  <c r="T876" i="14"/>
  <c r="S876" i="14"/>
  <c r="R876" i="14"/>
  <c r="Q876" i="14"/>
  <c r="P876" i="14"/>
  <c r="M876" i="14"/>
  <c r="L876" i="14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P873" i="14"/>
  <c r="O873" i="14"/>
  <c r="N873" i="14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V870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P869" i="14"/>
  <c r="O869" i="14"/>
  <c r="M869" i="14"/>
  <c r="L869" i="14"/>
  <c r="V869" i="14" s="1"/>
  <c r="S868" i="14"/>
  <c r="R868" i="14"/>
  <c r="Q868" i="14"/>
  <c r="N868" i="14" s="1"/>
  <c r="P868" i="14"/>
  <c r="O868" i="14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O865" i="14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W861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P858" i="14"/>
  <c r="O858" i="14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O855" i="14"/>
  <c r="N855" i="14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P853" i="14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W849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W844" i="14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W838" i="14"/>
  <c r="S838" i="14"/>
  <c r="R838" i="14"/>
  <c r="Q838" i="14"/>
  <c r="M838" i="14"/>
  <c r="L838" i="14"/>
  <c r="U838" i="14" s="1"/>
  <c r="S837" i="14"/>
  <c r="R837" i="14"/>
  <c r="Q837" i="14"/>
  <c r="O837" i="14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N833" i="14"/>
  <c r="M833" i="14"/>
  <c r="L833" i="14"/>
  <c r="V833" i="14" s="1"/>
  <c r="S832" i="14"/>
  <c r="R832" i="14"/>
  <c r="Q832" i="14"/>
  <c r="N832" i="14" s="1"/>
  <c r="O832" i="14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O829" i="14"/>
  <c r="N829" i="14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W820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O817" i="14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P813" i="14"/>
  <c r="M813" i="14"/>
  <c r="L813" i="14"/>
  <c r="S812" i="14"/>
  <c r="R812" i="14"/>
  <c r="Q812" i="14"/>
  <c r="O812" i="14" s="1"/>
  <c r="N812" i="14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P808" i="14"/>
  <c r="M808" i="14"/>
  <c r="L808" i="14"/>
  <c r="U808" i="14" s="1"/>
  <c r="S807" i="14"/>
  <c r="R807" i="14"/>
  <c r="Q807" i="14"/>
  <c r="O807" i="14" s="1"/>
  <c r="P807" i="14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O801" i="14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P799" i="14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P771" i="14"/>
  <c r="M771" i="14"/>
  <c r="L771" i="14"/>
  <c r="V771" i="14" s="1"/>
  <c r="S770" i="14"/>
  <c r="R770" i="14"/>
  <c r="Q770" i="14"/>
  <c r="N770" i="14" s="1"/>
  <c r="O770" i="14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P767" i="14"/>
  <c r="O767" i="14"/>
  <c r="N767" i="14"/>
  <c r="M767" i="14"/>
  <c r="L767" i="14"/>
  <c r="T767" i="14" s="1"/>
  <c r="S766" i="14"/>
  <c r="R766" i="14"/>
  <c r="Q766" i="14"/>
  <c r="O766" i="14" s="1"/>
  <c r="N766" i="14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/>
  <c r="M757" i="14"/>
  <c r="L757" i="14"/>
  <c r="W757" i="14" s="1"/>
  <c r="S756" i="14"/>
  <c r="R756" i="14"/>
  <c r="Q756" i="14"/>
  <c r="P756" i="14" s="1"/>
  <c r="M756" i="14"/>
  <c r="L756" i="14"/>
  <c r="W755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P753" i="14"/>
  <c r="O753" i="14"/>
  <c r="N753" i="14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O732" i="14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N729" i="14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W724" i="14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W718" i="14"/>
  <c r="S718" i="14"/>
  <c r="R718" i="14"/>
  <c r="Q718" i="14"/>
  <c r="M718" i="14"/>
  <c r="L718" i="14"/>
  <c r="U717" i="14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N716" i="14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O714" i="14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W711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O705" i="14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P703" i="14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V698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N683" i="14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P670" i="14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N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W646" i="14"/>
  <c r="U646" i="14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X629" i="14"/>
  <c r="S629" i="14"/>
  <c r="R629" i="14"/>
  <c r="Q629" i="14"/>
  <c r="P629" i="14" s="1"/>
  <c r="M629" i="14"/>
  <c r="L629" i="14"/>
  <c r="W629" i="14" s="1"/>
  <c r="U628" i="14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O612" i="14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N600" i="14"/>
  <c r="M600" i="14"/>
  <c r="L600" i="14"/>
  <c r="X600" i="14" s="1"/>
  <c r="S599" i="14"/>
  <c r="R599" i="14"/>
  <c r="Q599" i="14"/>
  <c r="O599" i="14" s="1"/>
  <c r="N599" i="14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U589" i="14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W586" i="14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X569" i="14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O566" i="14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V531" i="14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P527" i="14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X521" i="14"/>
  <c r="W521" i="14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O477" i="14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U543" i="14" l="1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300" i="3" l="1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AL479" i="17" s="1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M496" i="3"/>
  <c r="AL495" i="17"/>
  <c r="AM495" i="3"/>
  <c r="AL492" i="17"/>
  <c r="AM492" i="3"/>
  <c r="AL493" i="17"/>
  <c r="AO493" i="17" s="1"/>
  <c r="AM493" i="3"/>
  <c r="AP493" i="3" s="1"/>
  <c r="AL496" i="17"/>
  <c r="AO496" i="17" s="1"/>
  <c r="AL494" i="17"/>
  <c r="AO494" i="17" s="1"/>
  <c r="AM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359" i="17"/>
  <c r="R359" i="17" s="1"/>
  <c r="O95" i="17"/>
  <c r="Q389" i="17"/>
  <c r="Q381" i="17"/>
  <c r="Q372" i="17"/>
  <c r="Q364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88" i="17"/>
  <c r="Q380" i="17"/>
  <c r="Q3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O6" i="17"/>
  <c r="Q387" i="17"/>
  <c r="Q379" i="17"/>
  <c r="Q370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93" i="17"/>
  <c r="Q385" i="17"/>
  <c r="Q377" i="17"/>
  <c r="Q368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92" i="17"/>
  <c r="Q384" i="17"/>
  <c r="Q375" i="17"/>
  <c r="Q367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91" i="17"/>
  <c r="Q383" i="17"/>
  <c r="Q374" i="17"/>
  <c r="Q366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90" i="17"/>
  <c r="Q382" i="17"/>
  <c r="Q373" i="17"/>
  <c r="Q365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386" i="17"/>
  <c r="Q275" i="17"/>
  <c r="Q144" i="17"/>
  <c r="Q32" i="17"/>
  <c r="Q378" i="17"/>
  <c r="Q266" i="17"/>
  <c r="Q136" i="17"/>
  <c r="Q369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Q359" i="17"/>
  <c r="Q361" i="17" s="1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M468" i="3"/>
  <c r="AM454" i="3"/>
  <c r="AM452" i="3"/>
  <c r="AM453" i="3"/>
  <c r="AM460" i="3"/>
  <c r="O243" i="3"/>
  <c r="AM459" i="3"/>
  <c r="AM419" i="3"/>
  <c r="AM458" i="3"/>
  <c r="AM457" i="3"/>
  <c r="AM491" i="3"/>
  <c r="AM456" i="3"/>
  <c r="AM490" i="3"/>
  <c r="AM455" i="3"/>
  <c r="O299" i="3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Q275" i="3"/>
  <c r="Q266" i="3"/>
  <c r="Q257" i="3"/>
  <c r="Q243" i="3"/>
  <c r="Q215" i="3"/>
  <c r="Q206" i="3"/>
  <c r="Q198" i="3"/>
  <c r="O180" i="3"/>
  <c r="Q144" i="3"/>
  <c r="Q136" i="3"/>
  <c r="Q124" i="3"/>
  <c r="Q112" i="3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AL414" i="17" l="1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O361" i="17"/>
  <c r="R361" i="17" s="1"/>
  <c r="P359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Q394" i="17"/>
  <c r="P394" i="17" s="1"/>
  <c r="AL435" i="17"/>
  <c r="P94" i="17"/>
  <c r="O96" i="17"/>
  <c r="AL446" i="17"/>
  <c r="P297" i="17"/>
  <c r="S362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Q376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P294" i="3"/>
  <c r="P299" i="3"/>
  <c r="Q104" i="3"/>
  <c r="Q265" i="3"/>
  <c r="Q394" i="3"/>
  <c r="P394" i="3" s="1"/>
  <c r="Q96" i="3"/>
  <c r="Q249" i="3"/>
  <c r="P265" i="3"/>
  <c r="P306" i="3"/>
  <c r="O96" i="3"/>
  <c r="P94" i="3"/>
  <c r="Q134" i="3"/>
  <c r="Q121" i="3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P307" i="3"/>
  <c r="Q241" i="3"/>
  <c r="Q209" i="3"/>
  <c r="O184" i="3"/>
  <c r="Q244" i="3"/>
  <c r="P249" i="3"/>
  <c r="P295" i="3"/>
  <c r="AJ419" i="3"/>
  <c r="AP481" i="3"/>
  <c r="AP466" i="3"/>
  <c r="R359" i="3"/>
  <c r="R187" i="3"/>
  <c r="N362" i="3"/>
  <c r="M359" i="3"/>
  <c r="M311" i="3"/>
  <c r="E311" i="3"/>
  <c r="E302" i="3"/>
  <c r="E301" i="3"/>
  <c r="E313" i="17" l="1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P361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P36" i="17"/>
  <c r="AK411" i="17"/>
  <c r="Q154" i="17"/>
  <c r="P376" i="17"/>
  <c r="Q396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2" i="17" l="1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396" i="17"/>
  <c r="Q398" i="17"/>
  <c r="P154" i="17"/>
  <c r="Q194" i="17"/>
  <c r="Q232" i="17"/>
  <c r="P134" i="3"/>
  <c r="P107" i="3"/>
  <c r="P154" i="3"/>
  <c r="P121" i="3"/>
  <c r="P230" i="3"/>
  <c r="P308" i="3"/>
  <c r="O313" i="3"/>
  <c r="P313" i="3" s="1"/>
  <c r="Q162" i="3"/>
  <c r="Q164" i="3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95" i="3"/>
  <c r="AL467" i="17" l="1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S726" i="5"/>
  <c r="R726" i="5"/>
  <c r="Q726" i="5"/>
  <c r="M726" i="5"/>
  <c r="L726" i="5"/>
  <c r="W726" i="5" s="1"/>
  <c r="S725" i="5"/>
  <c r="R725" i="5"/>
  <c r="Q725" i="5"/>
  <c r="P725" i="5" s="1"/>
  <c r="M725" i="5"/>
  <c r="L725" i="5"/>
  <c r="S724" i="5"/>
  <c r="R724" i="5"/>
  <c r="Q724" i="5"/>
  <c r="P724" i="5" s="1"/>
  <c r="M724" i="5"/>
  <c r="L724" i="5"/>
  <c r="S723" i="5"/>
  <c r="R723" i="5"/>
  <c r="Q723" i="5"/>
  <c r="P723" i="5" s="1"/>
  <c r="M723" i="5"/>
  <c r="L723" i="5"/>
  <c r="S722" i="5"/>
  <c r="R722" i="5"/>
  <c r="Q722" i="5"/>
  <c r="P722" i="5" s="1"/>
  <c r="M722" i="5"/>
  <c r="L722" i="5"/>
  <c r="W722" i="5" s="1"/>
  <c r="S721" i="5"/>
  <c r="R721" i="5"/>
  <c r="Q721" i="5"/>
  <c r="P721" i="5" s="1"/>
  <c r="M721" i="5"/>
  <c r="L721" i="5"/>
  <c r="S720" i="5"/>
  <c r="R720" i="5"/>
  <c r="Q720" i="5"/>
  <c r="P720" i="5" s="1"/>
  <c r="M720" i="5"/>
  <c r="L720" i="5"/>
  <c r="S719" i="5"/>
  <c r="R719" i="5"/>
  <c r="Q719" i="5"/>
  <c r="P719" i="5" s="1"/>
  <c r="M719" i="5"/>
  <c r="L719" i="5"/>
  <c r="S718" i="5"/>
  <c r="R718" i="5"/>
  <c r="Q718" i="5"/>
  <c r="P718" i="5" s="1"/>
  <c r="M718" i="5"/>
  <c r="L718" i="5"/>
  <c r="W718" i="5" s="1"/>
  <c r="S717" i="5"/>
  <c r="R717" i="5"/>
  <c r="Q717" i="5"/>
  <c r="M717" i="5"/>
  <c r="L717" i="5"/>
  <c r="U717" i="5" s="1"/>
  <c r="S716" i="5"/>
  <c r="R716" i="5"/>
  <c r="Q716" i="5"/>
  <c r="M716" i="5"/>
  <c r="L716" i="5"/>
  <c r="W716" i="5" s="1"/>
  <c r="S715" i="5"/>
  <c r="R715" i="5"/>
  <c r="Q715" i="5"/>
  <c r="P715" i="5" s="1"/>
  <c r="M715" i="5"/>
  <c r="L715" i="5"/>
  <c r="U715" i="5" s="1"/>
  <c r="S714" i="5"/>
  <c r="R714" i="5"/>
  <c r="Q714" i="5"/>
  <c r="N714" i="5" s="1"/>
  <c r="M714" i="5"/>
  <c r="L714" i="5"/>
  <c r="V714" i="5" s="1"/>
  <c r="S713" i="5"/>
  <c r="R713" i="5"/>
  <c r="Q713" i="5"/>
  <c r="P713" i="5" s="1"/>
  <c r="M713" i="5"/>
  <c r="L713" i="5"/>
  <c r="U713" i="5" s="1"/>
  <c r="S712" i="5"/>
  <c r="R712" i="5"/>
  <c r="Q712" i="5"/>
  <c r="M712" i="5"/>
  <c r="L712" i="5"/>
  <c r="V712" i="5" s="1"/>
  <c r="S711" i="5"/>
  <c r="R711" i="5"/>
  <c r="Q711" i="5"/>
  <c r="P711" i="5" s="1"/>
  <c r="M711" i="5"/>
  <c r="L711" i="5"/>
  <c r="S710" i="5"/>
  <c r="R710" i="5"/>
  <c r="Q710" i="5"/>
  <c r="N710" i="5" s="1"/>
  <c r="M710" i="5"/>
  <c r="L710" i="5"/>
  <c r="V710" i="5" s="1"/>
  <c r="S709" i="5"/>
  <c r="R709" i="5"/>
  <c r="Q709" i="5"/>
  <c r="P709" i="5" s="1"/>
  <c r="M709" i="5"/>
  <c r="L709" i="5"/>
  <c r="S708" i="5"/>
  <c r="R708" i="5"/>
  <c r="Q708" i="5"/>
  <c r="N708" i="5" s="1"/>
  <c r="M708" i="5"/>
  <c r="L708" i="5"/>
  <c r="W708" i="5" s="1"/>
  <c r="S707" i="5"/>
  <c r="R707" i="5"/>
  <c r="Q707" i="5"/>
  <c r="M707" i="5"/>
  <c r="L707" i="5"/>
  <c r="S706" i="5"/>
  <c r="R706" i="5"/>
  <c r="Q706" i="5"/>
  <c r="N706" i="5" s="1"/>
  <c r="M706" i="5"/>
  <c r="L706" i="5"/>
  <c r="W706" i="5" s="1"/>
  <c r="S705" i="5"/>
  <c r="R705" i="5"/>
  <c r="Q705" i="5"/>
  <c r="P705" i="5" s="1"/>
  <c r="M705" i="5"/>
  <c r="L705" i="5"/>
  <c r="S704" i="5"/>
  <c r="R704" i="5"/>
  <c r="Q704" i="5"/>
  <c r="M704" i="5"/>
  <c r="L704" i="5"/>
  <c r="W704" i="5" s="1"/>
  <c r="S703" i="5"/>
  <c r="R703" i="5"/>
  <c r="Q703" i="5"/>
  <c r="P703" i="5" s="1"/>
  <c r="M703" i="5"/>
  <c r="L703" i="5"/>
  <c r="S702" i="5"/>
  <c r="R702" i="5"/>
  <c r="Q702" i="5"/>
  <c r="N702" i="5" s="1"/>
  <c r="M702" i="5"/>
  <c r="L702" i="5"/>
  <c r="W702" i="5" s="1"/>
  <c r="S701" i="5"/>
  <c r="R701" i="5"/>
  <c r="Q701" i="5"/>
  <c r="P701" i="5" s="1"/>
  <c r="M701" i="5"/>
  <c r="L701" i="5"/>
  <c r="U701" i="5" s="1"/>
  <c r="S700" i="5"/>
  <c r="R700" i="5"/>
  <c r="Q700" i="5"/>
  <c r="N700" i="5" s="1"/>
  <c r="M700" i="5"/>
  <c r="L700" i="5"/>
  <c r="W700" i="5" s="1"/>
  <c r="S699" i="5"/>
  <c r="R699" i="5"/>
  <c r="Q699" i="5"/>
  <c r="P699" i="5" s="1"/>
  <c r="M699" i="5"/>
  <c r="L699" i="5"/>
  <c r="U699" i="5" s="1"/>
  <c r="S698" i="5"/>
  <c r="R698" i="5"/>
  <c r="Q698" i="5"/>
  <c r="M698" i="5"/>
  <c r="L698" i="5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S259" i="5"/>
  <c r="R259" i="5"/>
  <c r="Q259" i="5"/>
  <c r="O259" i="5" s="1"/>
  <c r="M259" i="5"/>
  <c r="L259" i="5"/>
  <c r="S5" i="5"/>
  <c r="R5" i="5"/>
  <c r="Q5" i="5"/>
  <c r="M5" i="5"/>
  <c r="L5" i="5"/>
  <c r="S266" i="5"/>
  <c r="R266" i="5"/>
  <c r="Q266" i="5"/>
  <c r="N266" i="5" s="1"/>
  <c r="M266" i="5"/>
  <c r="L266" i="5"/>
  <c r="X266" i="5" s="1"/>
  <c r="S256" i="5"/>
  <c r="R256" i="5"/>
  <c r="Q256" i="5"/>
  <c r="M256" i="5"/>
  <c r="L256" i="5"/>
  <c r="S262" i="5"/>
  <c r="R262" i="5"/>
  <c r="Q262" i="5"/>
  <c r="M262" i="5"/>
  <c r="L262" i="5"/>
  <c r="S276" i="5"/>
  <c r="R276" i="5"/>
  <c r="Q276" i="5"/>
  <c r="M276" i="5"/>
  <c r="L276" i="5"/>
  <c r="X276" i="5" s="1"/>
  <c r="S75" i="5"/>
  <c r="R75" i="5"/>
  <c r="Q75" i="5"/>
  <c r="M75" i="5"/>
  <c r="L75" i="5"/>
  <c r="S253" i="5"/>
  <c r="R253" i="5"/>
  <c r="Q253" i="5"/>
  <c r="M253" i="5"/>
  <c r="L253" i="5"/>
  <c r="S250" i="5"/>
  <c r="R250" i="5"/>
  <c r="Q250" i="5"/>
  <c r="O250" i="5" s="1"/>
  <c r="M250" i="5"/>
  <c r="L250" i="5"/>
  <c r="S247" i="5"/>
  <c r="R247" i="5"/>
  <c r="Q247" i="5"/>
  <c r="P247" i="5" s="1"/>
  <c r="M247" i="5"/>
  <c r="L247" i="5"/>
  <c r="S260" i="5"/>
  <c r="R260" i="5"/>
  <c r="Q260" i="5"/>
  <c r="M260" i="5"/>
  <c r="L260" i="5"/>
  <c r="S258" i="5"/>
  <c r="R258" i="5"/>
  <c r="Q258" i="5"/>
  <c r="M258" i="5"/>
  <c r="L258" i="5"/>
  <c r="S13" i="5"/>
  <c r="R13" i="5"/>
  <c r="Q13" i="5"/>
  <c r="O13" i="5" s="1"/>
  <c r="M13" i="5"/>
  <c r="L13" i="5"/>
  <c r="S293" i="5"/>
  <c r="R293" i="5"/>
  <c r="Q293" i="5"/>
  <c r="M293" i="5"/>
  <c r="L293" i="5"/>
  <c r="S267" i="5"/>
  <c r="R267" i="5"/>
  <c r="Q267" i="5"/>
  <c r="M267" i="5"/>
  <c r="L267" i="5"/>
  <c r="S277" i="5"/>
  <c r="R277" i="5"/>
  <c r="Q277" i="5"/>
  <c r="M277" i="5"/>
  <c r="L277" i="5"/>
  <c r="S274" i="5"/>
  <c r="R274" i="5"/>
  <c r="Q274" i="5"/>
  <c r="P274" i="5" s="1"/>
  <c r="M274" i="5"/>
  <c r="L274" i="5"/>
  <c r="S23" i="5"/>
  <c r="R23" i="5"/>
  <c r="Q23" i="5"/>
  <c r="M23" i="5"/>
  <c r="L23" i="5"/>
  <c r="S26" i="5"/>
  <c r="R26" i="5"/>
  <c r="Q26" i="5"/>
  <c r="P26" i="5" s="1"/>
  <c r="M26" i="5"/>
  <c r="L26" i="5"/>
  <c r="X26" i="5" s="1"/>
  <c r="S18" i="5"/>
  <c r="R18" i="5"/>
  <c r="Q18" i="5"/>
  <c r="P18" i="5" s="1"/>
  <c r="M18" i="5"/>
  <c r="L18" i="5"/>
  <c r="S305" i="5"/>
  <c r="R305" i="5"/>
  <c r="Q305" i="5"/>
  <c r="N305" i="5" s="1"/>
  <c r="M305" i="5"/>
  <c r="L305" i="5"/>
  <c r="S84" i="5"/>
  <c r="R84" i="5"/>
  <c r="Q84" i="5"/>
  <c r="P84" i="5" s="1"/>
  <c r="M84" i="5"/>
  <c r="L84" i="5"/>
  <c r="S304" i="5"/>
  <c r="R304" i="5"/>
  <c r="Q304" i="5"/>
  <c r="O304" i="5" s="1"/>
  <c r="M304" i="5"/>
  <c r="L304" i="5"/>
  <c r="S295" i="5"/>
  <c r="R295" i="5"/>
  <c r="Q295" i="5"/>
  <c r="O295" i="5" s="1"/>
  <c r="M295" i="5"/>
  <c r="L295" i="5"/>
  <c r="S81" i="5"/>
  <c r="R81" i="5"/>
  <c r="Q81" i="5"/>
  <c r="M81" i="5"/>
  <c r="L81" i="5"/>
  <c r="S296" i="5"/>
  <c r="R296" i="5"/>
  <c r="Q296" i="5"/>
  <c r="M296" i="5"/>
  <c r="L296" i="5"/>
  <c r="S392" i="5"/>
  <c r="R392" i="5"/>
  <c r="Q392" i="5"/>
  <c r="P392" i="5" s="1"/>
  <c r="M392" i="5"/>
  <c r="L392" i="5"/>
  <c r="S310" i="5"/>
  <c r="R310" i="5"/>
  <c r="Q310" i="5"/>
  <c r="P310" i="5" s="1"/>
  <c r="M310" i="5"/>
  <c r="L310" i="5"/>
  <c r="S291" i="5"/>
  <c r="R291" i="5"/>
  <c r="Q291" i="5"/>
  <c r="O291" i="5" s="1"/>
  <c r="M291" i="5"/>
  <c r="L291" i="5"/>
  <c r="S34" i="5"/>
  <c r="R34" i="5"/>
  <c r="Q34" i="5"/>
  <c r="P34" i="5" s="1"/>
  <c r="M34" i="5"/>
  <c r="L34" i="5"/>
  <c r="S391" i="5"/>
  <c r="R391" i="5"/>
  <c r="Q391" i="5"/>
  <c r="N391" i="5" s="1"/>
  <c r="M391" i="5"/>
  <c r="L391" i="5"/>
  <c r="S315" i="5"/>
  <c r="R315" i="5"/>
  <c r="Q315" i="5"/>
  <c r="O315" i="5" s="1"/>
  <c r="M315" i="5"/>
  <c r="L315" i="5"/>
  <c r="S52" i="5"/>
  <c r="R52" i="5"/>
  <c r="Q52" i="5"/>
  <c r="M52" i="5"/>
  <c r="L52" i="5"/>
  <c r="S319" i="5"/>
  <c r="R319" i="5"/>
  <c r="Q319" i="5"/>
  <c r="P319" i="5" s="1"/>
  <c r="M319" i="5"/>
  <c r="L319" i="5"/>
  <c r="X319" i="5" s="1"/>
  <c r="S311" i="5"/>
  <c r="R311" i="5"/>
  <c r="Q311" i="5"/>
  <c r="P311" i="5" s="1"/>
  <c r="M311" i="5"/>
  <c r="L311" i="5"/>
  <c r="S284" i="5"/>
  <c r="R284" i="5"/>
  <c r="Q284" i="5"/>
  <c r="M284" i="5"/>
  <c r="L284" i="5"/>
  <c r="S403" i="5"/>
  <c r="R403" i="5"/>
  <c r="Q403" i="5"/>
  <c r="M403" i="5"/>
  <c r="L403" i="5"/>
  <c r="X403" i="5" s="1"/>
  <c r="S465" i="5"/>
  <c r="R465" i="5"/>
  <c r="Q465" i="5"/>
  <c r="P465" i="5" s="1"/>
  <c r="M465" i="5"/>
  <c r="L465" i="5"/>
  <c r="X465" i="5" s="1"/>
  <c r="S290" i="5"/>
  <c r="R290" i="5"/>
  <c r="Q290" i="5"/>
  <c r="O290" i="5" s="1"/>
  <c r="M290" i="5"/>
  <c r="L290" i="5"/>
  <c r="S80" i="5"/>
  <c r="R80" i="5"/>
  <c r="Q80" i="5"/>
  <c r="N80" i="5" s="1"/>
  <c r="M80" i="5"/>
  <c r="L80" i="5"/>
  <c r="S303" i="5"/>
  <c r="R303" i="5"/>
  <c r="Q303" i="5"/>
  <c r="M303" i="5"/>
  <c r="L303" i="5"/>
  <c r="S393" i="5"/>
  <c r="R393" i="5"/>
  <c r="Q393" i="5"/>
  <c r="O393" i="5" s="1"/>
  <c r="M393" i="5"/>
  <c r="L393" i="5"/>
  <c r="S279" i="5"/>
  <c r="R279" i="5"/>
  <c r="Q279" i="5"/>
  <c r="O279" i="5" s="1"/>
  <c r="M279" i="5"/>
  <c r="L279" i="5"/>
  <c r="S287" i="5"/>
  <c r="R287" i="5"/>
  <c r="Q287" i="5"/>
  <c r="O287" i="5" s="1"/>
  <c r="M287" i="5"/>
  <c r="L287" i="5"/>
  <c r="S301" i="5"/>
  <c r="R301" i="5"/>
  <c r="Q301" i="5"/>
  <c r="M301" i="5"/>
  <c r="L301" i="5"/>
  <c r="S314" i="5"/>
  <c r="R314" i="5"/>
  <c r="Q314" i="5"/>
  <c r="M314" i="5"/>
  <c r="L314" i="5"/>
  <c r="S45" i="5"/>
  <c r="R45" i="5"/>
  <c r="Q45" i="5"/>
  <c r="O45" i="5" s="1"/>
  <c r="M45" i="5"/>
  <c r="L45" i="5"/>
  <c r="S15" i="5"/>
  <c r="R15" i="5"/>
  <c r="Q15" i="5"/>
  <c r="P15" i="5" s="1"/>
  <c r="M15" i="5"/>
  <c r="L15" i="5"/>
  <c r="S324" i="5"/>
  <c r="R324" i="5"/>
  <c r="Q324" i="5"/>
  <c r="P324" i="5" s="1"/>
  <c r="M324" i="5"/>
  <c r="L324" i="5"/>
  <c r="S510" i="5"/>
  <c r="R510" i="5"/>
  <c r="Q510" i="5"/>
  <c r="O510" i="5" s="1"/>
  <c r="M510" i="5"/>
  <c r="L510" i="5"/>
  <c r="S347" i="5"/>
  <c r="R347" i="5"/>
  <c r="Q347" i="5"/>
  <c r="M347" i="5"/>
  <c r="L347" i="5"/>
  <c r="S395" i="5"/>
  <c r="R395" i="5"/>
  <c r="Q395" i="5"/>
  <c r="O395" i="5" s="1"/>
  <c r="M395" i="5"/>
  <c r="L395" i="5"/>
  <c r="S330" i="5"/>
  <c r="R330" i="5"/>
  <c r="Q330" i="5"/>
  <c r="O330" i="5" s="1"/>
  <c r="M330" i="5"/>
  <c r="L330" i="5"/>
  <c r="S280" i="5"/>
  <c r="R280" i="5"/>
  <c r="Q280" i="5"/>
  <c r="O280" i="5" s="1"/>
  <c r="M280" i="5"/>
  <c r="L280" i="5"/>
  <c r="S360" i="5"/>
  <c r="R360" i="5"/>
  <c r="Q360" i="5"/>
  <c r="O360" i="5" s="1"/>
  <c r="M360" i="5"/>
  <c r="L360" i="5"/>
  <c r="S322" i="5"/>
  <c r="R322" i="5"/>
  <c r="Q322" i="5"/>
  <c r="N322" i="5" s="1"/>
  <c r="M322" i="5"/>
  <c r="L322" i="5"/>
  <c r="S481" i="5"/>
  <c r="R481" i="5"/>
  <c r="Q481" i="5"/>
  <c r="O481" i="5" s="1"/>
  <c r="M481" i="5"/>
  <c r="L481" i="5"/>
  <c r="S338" i="5"/>
  <c r="R338" i="5"/>
  <c r="Q338" i="5"/>
  <c r="O338" i="5" s="1"/>
  <c r="M338" i="5"/>
  <c r="L338" i="5"/>
  <c r="X338" i="5" s="1"/>
  <c r="S354" i="5"/>
  <c r="R354" i="5"/>
  <c r="Q354" i="5"/>
  <c r="N354" i="5" s="1"/>
  <c r="M354" i="5"/>
  <c r="L354" i="5"/>
  <c r="X354" i="5" s="1"/>
  <c r="S86" i="5"/>
  <c r="R86" i="5"/>
  <c r="Q86" i="5"/>
  <c r="M86" i="5"/>
  <c r="L86" i="5"/>
  <c r="S389" i="5"/>
  <c r="R389" i="5"/>
  <c r="Q389" i="5"/>
  <c r="O389" i="5" s="1"/>
  <c r="M389" i="5"/>
  <c r="L389" i="5"/>
  <c r="S342" i="5"/>
  <c r="R342" i="5"/>
  <c r="Q342" i="5"/>
  <c r="O342" i="5" s="1"/>
  <c r="M342" i="5"/>
  <c r="L342" i="5"/>
  <c r="S321" i="5"/>
  <c r="R321" i="5"/>
  <c r="Q321" i="5"/>
  <c r="N321" i="5" s="1"/>
  <c r="M321" i="5"/>
  <c r="L321" i="5"/>
  <c r="X321" i="5" s="1"/>
  <c r="S348" i="5"/>
  <c r="R348" i="5"/>
  <c r="Q348" i="5"/>
  <c r="O348" i="5" s="1"/>
  <c r="M348" i="5"/>
  <c r="L348" i="5"/>
  <c r="S292" i="5"/>
  <c r="R292" i="5"/>
  <c r="Q292" i="5"/>
  <c r="O292" i="5" s="1"/>
  <c r="M292" i="5"/>
  <c r="L292" i="5"/>
  <c r="X292" i="5" s="1"/>
  <c r="S390" i="5"/>
  <c r="R390" i="5"/>
  <c r="Q390" i="5"/>
  <c r="O390" i="5" s="1"/>
  <c r="AG447" i="3" s="1"/>
  <c r="M390" i="5"/>
  <c r="L390" i="5"/>
  <c r="S333" i="5"/>
  <c r="R333" i="5"/>
  <c r="Q333" i="5"/>
  <c r="M333" i="5"/>
  <c r="L333" i="5"/>
  <c r="S313" i="5"/>
  <c r="R313" i="5"/>
  <c r="Q313" i="5"/>
  <c r="O313" i="5" s="1"/>
  <c r="M313" i="5"/>
  <c r="L313" i="5"/>
  <c r="S463" i="5"/>
  <c r="R463" i="5"/>
  <c r="Q463" i="5"/>
  <c r="O463" i="5" s="1"/>
  <c r="M463" i="5"/>
  <c r="L463" i="5"/>
  <c r="S29" i="5"/>
  <c r="R29" i="5"/>
  <c r="Q29" i="5"/>
  <c r="O29" i="5" s="1"/>
  <c r="M29" i="5"/>
  <c r="L29" i="5"/>
  <c r="S22" i="5"/>
  <c r="R22" i="5"/>
  <c r="Q22" i="5"/>
  <c r="O22" i="5" s="1"/>
  <c r="M22" i="5"/>
  <c r="L22" i="5"/>
  <c r="S486" i="5"/>
  <c r="R486" i="5"/>
  <c r="Q486" i="5"/>
  <c r="P486" i="5" s="1"/>
  <c r="M486" i="5"/>
  <c r="L486" i="5"/>
  <c r="X486" i="5" s="1"/>
  <c r="S350" i="5"/>
  <c r="R350" i="5"/>
  <c r="Q350" i="5"/>
  <c r="O350" i="5" s="1"/>
  <c r="M350" i="5"/>
  <c r="L350" i="5"/>
  <c r="S325" i="5"/>
  <c r="R325" i="5"/>
  <c r="Q325" i="5"/>
  <c r="O325" i="5" s="1"/>
  <c r="M325" i="5"/>
  <c r="L325" i="5"/>
  <c r="S415" i="5"/>
  <c r="R415" i="5"/>
  <c r="Q415" i="5"/>
  <c r="N415" i="5" s="1"/>
  <c r="M415" i="5"/>
  <c r="L415" i="5"/>
  <c r="S300" i="5"/>
  <c r="R300" i="5"/>
  <c r="Q300" i="5"/>
  <c r="N300" i="5" s="1"/>
  <c r="M300" i="5"/>
  <c r="L300" i="5"/>
  <c r="X300" i="5" s="1"/>
  <c r="S73" i="5"/>
  <c r="R73" i="5"/>
  <c r="Q73" i="5"/>
  <c r="O73" i="5" s="1"/>
  <c r="M73" i="5"/>
  <c r="L73" i="5"/>
  <c r="X73" i="5" s="1"/>
  <c r="S349" i="5"/>
  <c r="R349" i="5"/>
  <c r="Q349" i="5"/>
  <c r="O349" i="5" s="1"/>
  <c r="M349" i="5"/>
  <c r="L349" i="5"/>
  <c r="X349" i="5" s="1"/>
  <c r="S98" i="5"/>
  <c r="R98" i="5"/>
  <c r="Q98" i="5"/>
  <c r="O98" i="5" s="1"/>
  <c r="M98" i="5"/>
  <c r="L98" i="5"/>
  <c r="X98" i="5" s="1"/>
  <c r="S358" i="5"/>
  <c r="R358" i="5"/>
  <c r="Q358" i="5"/>
  <c r="O358" i="5" s="1"/>
  <c r="M358" i="5"/>
  <c r="L358" i="5"/>
  <c r="X358" i="5" s="1"/>
  <c r="S87" i="5"/>
  <c r="R87" i="5"/>
  <c r="Q87" i="5"/>
  <c r="M87" i="5"/>
  <c r="L87" i="5"/>
  <c r="X87" i="5" s="1"/>
  <c r="S405" i="5"/>
  <c r="R405" i="5"/>
  <c r="Q405" i="5"/>
  <c r="O405" i="5" s="1"/>
  <c r="M405" i="5"/>
  <c r="L405" i="5"/>
  <c r="S470" i="5"/>
  <c r="R470" i="5"/>
  <c r="Q470" i="5"/>
  <c r="M470" i="5"/>
  <c r="L470" i="5"/>
  <c r="S385" i="5"/>
  <c r="R385" i="5"/>
  <c r="Q385" i="5"/>
  <c r="N385" i="5" s="1"/>
  <c r="M385" i="5"/>
  <c r="L385" i="5"/>
  <c r="X385" i="5" s="1"/>
  <c r="S320" i="5"/>
  <c r="R320" i="5"/>
  <c r="Q320" i="5"/>
  <c r="O320" i="5" s="1"/>
  <c r="M320" i="5"/>
  <c r="L320" i="5"/>
  <c r="X320" i="5" s="1"/>
  <c r="S397" i="5"/>
  <c r="R397" i="5"/>
  <c r="Q397" i="5"/>
  <c r="O397" i="5" s="1"/>
  <c r="M397" i="5"/>
  <c r="L397" i="5"/>
  <c r="X397" i="5" s="1"/>
  <c r="S27" i="5"/>
  <c r="R27" i="5"/>
  <c r="Q27" i="5"/>
  <c r="O27" i="5" s="1"/>
  <c r="M27" i="5"/>
  <c r="L27" i="5"/>
  <c r="S476" i="5"/>
  <c r="R476" i="5"/>
  <c r="Q476" i="5"/>
  <c r="N476" i="5" s="1"/>
  <c r="M476" i="5"/>
  <c r="L476" i="5"/>
  <c r="S12" i="5"/>
  <c r="R12" i="5"/>
  <c r="Q12" i="5"/>
  <c r="O12" i="5" s="1"/>
  <c r="M12" i="5"/>
  <c r="L12" i="5"/>
  <c r="S410" i="5"/>
  <c r="R410" i="5"/>
  <c r="Q410" i="5"/>
  <c r="O410" i="5" s="1"/>
  <c r="M410" i="5"/>
  <c r="L410" i="5"/>
  <c r="X410" i="5" s="1"/>
  <c r="S427" i="5"/>
  <c r="R427" i="5"/>
  <c r="Q427" i="5"/>
  <c r="P427" i="5" s="1"/>
  <c r="M427" i="5"/>
  <c r="L427" i="5"/>
  <c r="X427" i="5" s="1"/>
  <c r="S468" i="5"/>
  <c r="R468" i="5"/>
  <c r="Q468" i="5"/>
  <c r="O468" i="5" s="1"/>
  <c r="M468" i="5"/>
  <c r="L468" i="5"/>
  <c r="S394" i="5"/>
  <c r="R394" i="5"/>
  <c r="Q394" i="5"/>
  <c r="M394" i="5"/>
  <c r="L394" i="5"/>
  <c r="S316" i="5"/>
  <c r="R316" i="5"/>
  <c r="Q316" i="5"/>
  <c r="O316" i="5" s="1"/>
  <c r="M316" i="5"/>
  <c r="L316" i="5"/>
  <c r="S464" i="5"/>
  <c r="R464" i="5"/>
  <c r="Q464" i="5"/>
  <c r="N464" i="5" s="1"/>
  <c r="M464" i="5"/>
  <c r="L464" i="5"/>
  <c r="S306" i="5"/>
  <c r="R306" i="5"/>
  <c r="Q306" i="5"/>
  <c r="P306" i="5" s="1"/>
  <c r="M306" i="5"/>
  <c r="L306" i="5"/>
  <c r="S298" i="5"/>
  <c r="R298" i="5"/>
  <c r="Q298" i="5"/>
  <c r="O298" i="5" s="1"/>
  <c r="M298" i="5"/>
  <c r="L298" i="5"/>
  <c r="X298" i="5" s="1"/>
  <c r="S282" i="5"/>
  <c r="R282" i="5"/>
  <c r="Q282" i="5"/>
  <c r="O282" i="5" s="1"/>
  <c r="M282" i="5"/>
  <c r="L282" i="5"/>
  <c r="X282" i="5" s="1"/>
  <c r="S380" i="5"/>
  <c r="R380" i="5"/>
  <c r="Q380" i="5"/>
  <c r="N380" i="5" s="1"/>
  <c r="M380" i="5"/>
  <c r="L380" i="5"/>
  <c r="S339" i="5"/>
  <c r="R339" i="5"/>
  <c r="Q339" i="5"/>
  <c r="O339" i="5" s="1"/>
  <c r="M339" i="5"/>
  <c r="L339" i="5"/>
  <c r="S371" i="5"/>
  <c r="R371" i="5"/>
  <c r="Q371" i="5"/>
  <c r="O371" i="5" s="1"/>
  <c r="M371" i="5"/>
  <c r="L371" i="5"/>
  <c r="S318" i="5"/>
  <c r="R318" i="5"/>
  <c r="Q318" i="5"/>
  <c r="O318" i="5" s="1"/>
  <c r="M318" i="5"/>
  <c r="L318" i="5"/>
  <c r="X318" i="5" s="1"/>
  <c r="S323" i="5"/>
  <c r="R323" i="5"/>
  <c r="Q323" i="5"/>
  <c r="O323" i="5" s="1"/>
  <c r="M323" i="5"/>
  <c r="L323" i="5"/>
  <c r="S466" i="5"/>
  <c r="R466" i="5"/>
  <c r="Q466" i="5"/>
  <c r="O466" i="5" s="1"/>
  <c r="M466" i="5"/>
  <c r="L466" i="5"/>
  <c r="S428" i="5"/>
  <c r="R428" i="5"/>
  <c r="Q428" i="5"/>
  <c r="M428" i="5"/>
  <c r="L428" i="5"/>
  <c r="S364" i="5"/>
  <c r="R364" i="5"/>
  <c r="Q364" i="5"/>
  <c r="O364" i="5" s="1"/>
  <c r="M364" i="5"/>
  <c r="L364" i="5"/>
  <c r="X364" i="5" s="1"/>
  <c r="S482" i="5"/>
  <c r="R482" i="5"/>
  <c r="Q482" i="5"/>
  <c r="P482" i="5" s="1"/>
  <c r="M482" i="5"/>
  <c r="L482" i="5"/>
  <c r="X482" i="5" s="1"/>
  <c r="S363" i="5"/>
  <c r="R363" i="5"/>
  <c r="Q363" i="5"/>
  <c r="O363" i="5" s="1"/>
  <c r="M363" i="5"/>
  <c r="L363" i="5"/>
  <c r="S411" i="5"/>
  <c r="R411" i="5"/>
  <c r="Q411" i="5"/>
  <c r="M411" i="5"/>
  <c r="L411" i="5"/>
  <c r="X411" i="5" s="1"/>
  <c r="S336" i="5"/>
  <c r="R336" i="5"/>
  <c r="Q336" i="5"/>
  <c r="O336" i="5" s="1"/>
  <c r="M336" i="5"/>
  <c r="L336" i="5"/>
  <c r="S346" i="5"/>
  <c r="R346" i="5"/>
  <c r="Q346" i="5"/>
  <c r="M346" i="5"/>
  <c r="L346" i="5"/>
  <c r="X346" i="5" s="1"/>
  <c r="S462" i="5"/>
  <c r="R462" i="5"/>
  <c r="Q462" i="5"/>
  <c r="P462" i="5" s="1"/>
  <c r="M462" i="5"/>
  <c r="L462" i="5"/>
  <c r="S337" i="5"/>
  <c r="R337" i="5"/>
  <c r="Q337" i="5"/>
  <c r="M337" i="5"/>
  <c r="L337" i="5"/>
  <c r="S387" i="5"/>
  <c r="R387" i="5"/>
  <c r="Q387" i="5"/>
  <c r="O387" i="5" s="1"/>
  <c r="M387" i="5"/>
  <c r="L387" i="5"/>
  <c r="S285" i="5"/>
  <c r="R285" i="5"/>
  <c r="Q285" i="5"/>
  <c r="P285" i="5" s="1"/>
  <c r="M285" i="5"/>
  <c r="L285" i="5"/>
  <c r="S361" i="5"/>
  <c r="R361" i="5"/>
  <c r="Q361" i="5"/>
  <c r="N361" i="5" s="1"/>
  <c r="M361" i="5"/>
  <c r="L361" i="5"/>
  <c r="S388" i="5"/>
  <c r="R388" i="5"/>
  <c r="Q388" i="5"/>
  <c r="O388" i="5" s="1"/>
  <c r="M388" i="5"/>
  <c r="L388" i="5"/>
  <c r="S95" i="5"/>
  <c r="R95" i="5"/>
  <c r="Q95" i="5"/>
  <c r="O95" i="5" s="1"/>
  <c r="M95" i="5"/>
  <c r="L95" i="5"/>
  <c r="X95" i="5" s="1"/>
  <c r="S450" i="5"/>
  <c r="R450" i="5"/>
  <c r="Q450" i="5"/>
  <c r="O450" i="5" s="1"/>
  <c r="M450" i="5"/>
  <c r="L450" i="5"/>
  <c r="S359" i="5"/>
  <c r="R359" i="5"/>
  <c r="Q359" i="5"/>
  <c r="N359" i="5" s="1"/>
  <c r="M359" i="5"/>
  <c r="L359" i="5"/>
  <c r="S312" i="5"/>
  <c r="R312" i="5"/>
  <c r="Q312" i="5"/>
  <c r="O312" i="5" s="1"/>
  <c r="M312" i="5"/>
  <c r="L312" i="5"/>
  <c r="S329" i="5"/>
  <c r="R329" i="5"/>
  <c r="Q329" i="5"/>
  <c r="O329" i="5" s="1"/>
  <c r="M329" i="5"/>
  <c r="L329" i="5"/>
  <c r="S294" i="5"/>
  <c r="R294" i="5"/>
  <c r="Q294" i="5"/>
  <c r="P294" i="5" s="1"/>
  <c r="M294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S408" i="5"/>
  <c r="R408" i="5"/>
  <c r="Q408" i="5"/>
  <c r="M408" i="5"/>
  <c r="L408" i="5"/>
  <c r="X408" i="5" s="1"/>
  <c r="S419" i="5"/>
  <c r="R419" i="5"/>
  <c r="Q419" i="5"/>
  <c r="O419" i="5" s="1"/>
  <c r="M419" i="5"/>
  <c r="L419" i="5"/>
  <c r="S344" i="5"/>
  <c r="R344" i="5"/>
  <c r="Q344" i="5"/>
  <c r="O344" i="5" s="1"/>
  <c r="M344" i="5"/>
  <c r="L344" i="5"/>
  <c r="X344" i="5" s="1"/>
  <c r="S376" i="5"/>
  <c r="R376" i="5"/>
  <c r="Q376" i="5"/>
  <c r="O376" i="5" s="1"/>
  <c r="M376" i="5"/>
  <c r="L376" i="5"/>
  <c r="S362" i="5"/>
  <c r="R362" i="5"/>
  <c r="Q362" i="5"/>
  <c r="P362" i="5" s="1"/>
  <c r="M362" i="5"/>
  <c r="L362" i="5"/>
  <c r="S352" i="5"/>
  <c r="R352" i="5"/>
  <c r="Q352" i="5"/>
  <c r="O352" i="5" s="1"/>
  <c r="M352" i="5"/>
  <c r="L352" i="5"/>
  <c r="S432" i="5"/>
  <c r="R432" i="5"/>
  <c r="Q432" i="5"/>
  <c r="O432" i="5" s="1"/>
  <c r="M432" i="5"/>
  <c r="L432" i="5"/>
  <c r="S31" i="5"/>
  <c r="R31" i="5"/>
  <c r="Q31" i="5"/>
  <c r="O31" i="5" s="1"/>
  <c r="M31" i="5"/>
  <c r="L31" i="5"/>
  <c r="X31" i="5" s="1"/>
  <c r="S118" i="5"/>
  <c r="R118" i="5"/>
  <c r="Q118" i="5"/>
  <c r="M118" i="5"/>
  <c r="L118" i="5"/>
  <c r="S286" i="5"/>
  <c r="R286" i="5"/>
  <c r="Q286" i="5"/>
  <c r="P286" i="5" s="1"/>
  <c r="M286" i="5"/>
  <c r="L286" i="5"/>
  <c r="S341" i="5"/>
  <c r="R341" i="5"/>
  <c r="Q341" i="5"/>
  <c r="O341" i="5" s="1"/>
  <c r="M341" i="5"/>
  <c r="L341" i="5"/>
  <c r="X341" i="5" s="1"/>
  <c r="S488" i="5"/>
  <c r="R488" i="5"/>
  <c r="Q488" i="5"/>
  <c r="O488" i="5" s="1"/>
  <c r="M488" i="5"/>
  <c r="L488" i="5"/>
  <c r="X488" i="5" s="1"/>
  <c r="S431" i="5"/>
  <c r="R431" i="5"/>
  <c r="Q431" i="5"/>
  <c r="P431" i="5" s="1"/>
  <c r="M431" i="5"/>
  <c r="L431" i="5"/>
  <c r="S44" i="5"/>
  <c r="R44" i="5"/>
  <c r="Q44" i="5"/>
  <c r="O44" i="5" s="1"/>
  <c r="M44" i="5"/>
  <c r="L44" i="5"/>
  <c r="S417" i="5"/>
  <c r="R417" i="5"/>
  <c r="Q417" i="5"/>
  <c r="M417" i="5"/>
  <c r="L417" i="5"/>
  <c r="X417" i="5" s="1"/>
  <c r="S377" i="5"/>
  <c r="R377" i="5"/>
  <c r="Q377" i="5"/>
  <c r="O377" i="5" s="1"/>
  <c r="M377" i="5"/>
  <c r="L377" i="5"/>
  <c r="S426" i="5"/>
  <c r="R426" i="5"/>
  <c r="Q426" i="5"/>
  <c r="O426" i="5" s="1"/>
  <c r="M426" i="5"/>
  <c r="L426" i="5"/>
  <c r="S345" i="5"/>
  <c r="R345" i="5"/>
  <c r="Q345" i="5"/>
  <c r="O345" i="5" s="1"/>
  <c r="M345" i="5"/>
  <c r="L345" i="5"/>
  <c r="S386" i="5"/>
  <c r="R386" i="5"/>
  <c r="Q386" i="5"/>
  <c r="O386" i="5" s="1"/>
  <c r="M386" i="5"/>
  <c r="L386" i="5"/>
  <c r="S375" i="5"/>
  <c r="R375" i="5"/>
  <c r="Q375" i="5"/>
  <c r="O375" i="5" s="1"/>
  <c r="M375" i="5"/>
  <c r="L375" i="5"/>
  <c r="X375" i="5" s="1"/>
  <c r="S461" i="5"/>
  <c r="R461" i="5"/>
  <c r="Q461" i="5"/>
  <c r="O461" i="5" s="1"/>
  <c r="M461" i="5"/>
  <c r="L461" i="5"/>
  <c r="S357" i="5"/>
  <c r="R357" i="5"/>
  <c r="Q357" i="5"/>
  <c r="O357" i="5" s="1"/>
  <c r="M357" i="5"/>
  <c r="L357" i="5"/>
  <c r="S275" i="5"/>
  <c r="R275" i="5"/>
  <c r="Q275" i="5"/>
  <c r="O275" i="5" s="1"/>
  <c r="M275" i="5"/>
  <c r="L275" i="5"/>
  <c r="S485" i="5"/>
  <c r="R485" i="5"/>
  <c r="Q485" i="5"/>
  <c r="O485" i="5" s="1"/>
  <c r="M485" i="5"/>
  <c r="L485" i="5"/>
  <c r="S343" i="5"/>
  <c r="R343" i="5"/>
  <c r="Q343" i="5"/>
  <c r="N343" i="5" s="1"/>
  <c r="M343" i="5"/>
  <c r="L343" i="5"/>
  <c r="X343" i="5" s="1"/>
  <c r="S414" i="5"/>
  <c r="R414" i="5"/>
  <c r="Q414" i="5"/>
  <c r="P414" i="5" s="1"/>
  <c r="M414" i="5"/>
  <c r="L414" i="5"/>
  <c r="S302" i="5"/>
  <c r="R302" i="5"/>
  <c r="Q302" i="5"/>
  <c r="O302" i="5" s="1"/>
  <c r="M302" i="5"/>
  <c r="L302" i="5"/>
  <c r="S467" i="5"/>
  <c r="R467" i="5"/>
  <c r="Q467" i="5"/>
  <c r="O467" i="5" s="1"/>
  <c r="M467" i="5"/>
  <c r="L467" i="5"/>
  <c r="X467" i="5" s="1"/>
  <c r="S374" i="5"/>
  <c r="R374" i="5"/>
  <c r="Q374" i="5"/>
  <c r="P374" i="5" s="1"/>
  <c r="M374" i="5"/>
  <c r="L374" i="5"/>
  <c r="S489" i="5"/>
  <c r="R489" i="5"/>
  <c r="Q489" i="5"/>
  <c r="O489" i="5" s="1"/>
  <c r="M489" i="5"/>
  <c r="L489" i="5"/>
  <c r="S384" i="5"/>
  <c r="R384" i="5"/>
  <c r="Q384" i="5"/>
  <c r="M384" i="5"/>
  <c r="L384" i="5"/>
  <c r="X384" i="5" s="1"/>
  <c r="S418" i="5"/>
  <c r="R418" i="5"/>
  <c r="Q418" i="5"/>
  <c r="O418" i="5" s="1"/>
  <c r="M418" i="5"/>
  <c r="L418" i="5"/>
  <c r="W418" i="5" s="1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S297" i="5"/>
  <c r="R297" i="5"/>
  <c r="Q297" i="5"/>
  <c r="M297" i="5"/>
  <c r="L297" i="5"/>
  <c r="S334" i="5"/>
  <c r="R334" i="5"/>
  <c r="Q334" i="5"/>
  <c r="O334" i="5" s="1"/>
  <c r="M334" i="5"/>
  <c r="L334" i="5"/>
  <c r="X334" i="5" s="1"/>
  <c r="S416" i="5"/>
  <c r="R416" i="5"/>
  <c r="Q416" i="5"/>
  <c r="N416" i="5" s="1"/>
  <c r="M416" i="5"/>
  <c r="L416" i="5"/>
  <c r="S409" i="5"/>
  <c r="R409" i="5"/>
  <c r="Q409" i="5"/>
  <c r="M409" i="5"/>
  <c r="L409" i="5"/>
  <c r="S400" i="5"/>
  <c r="R400" i="5"/>
  <c r="Q400" i="5"/>
  <c r="O400" i="5" s="1"/>
  <c r="M400" i="5"/>
  <c r="L400" i="5"/>
  <c r="S437" i="5"/>
  <c r="R437" i="5"/>
  <c r="Q437" i="5"/>
  <c r="O437" i="5" s="1"/>
  <c r="M437" i="5"/>
  <c r="L437" i="5"/>
  <c r="S446" i="5"/>
  <c r="R446" i="5"/>
  <c r="Q446" i="5"/>
  <c r="M446" i="5"/>
  <c r="L446" i="5"/>
  <c r="S328" i="5"/>
  <c r="R328" i="5"/>
  <c r="Q328" i="5"/>
  <c r="P328" i="5" s="1"/>
  <c r="M328" i="5"/>
  <c r="L328" i="5"/>
  <c r="S335" i="5"/>
  <c r="R335" i="5"/>
  <c r="Q335" i="5"/>
  <c r="M335" i="5"/>
  <c r="L335" i="5"/>
  <c r="S382" i="5"/>
  <c r="R382" i="5"/>
  <c r="Q382" i="5"/>
  <c r="O382" i="5" s="1"/>
  <c r="M382" i="5"/>
  <c r="L382" i="5"/>
  <c r="X382" i="5" s="1"/>
  <c r="S507" i="5"/>
  <c r="R507" i="5"/>
  <c r="Q507" i="5"/>
  <c r="O507" i="5" s="1"/>
  <c r="M507" i="5"/>
  <c r="L507" i="5"/>
  <c r="X507" i="5" s="1"/>
  <c r="S369" i="5"/>
  <c r="R369" i="5"/>
  <c r="Q369" i="5"/>
  <c r="P369" i="5" s="1"/>
  <c r="M369" i="5"/>
  <c r="L369" i="5"/>
  <c r="S424" i="5"/>
  <c r="R424" i="5"/>
  <c r="Q424" i="5"/>
  <c r="O424" i="5" s="1"/>
  <c r="M424" i="5"/>
  <c r="L424" i="5"/>
  <c r="X424" i="5" s="1"/>
  <c r="S477" i="5"/>
  <c r="R477" i="5"/>
  <c r="Q477" i="5"/>
  <c r="M477" i="5"/>
  <c r="L477" i="5"/>
  <c r="S407" i="5"/>
  <c r="R407" i="5"/>
  <c r="Q407" i="5"/>
  <c r="P407" i="5" s="1"/>
  <c r="M407" i="5"/>
  <c r="L407" i="5"/>
  <c r="X407" i="5" s="1"/>
  <c r="S406" i="5"/>
  <c r="R406" i="5"/>
  <c r="Q406" i="5"/>
  <c r="N406" i="5" s="1"/>
  <c r="M406" i="5"/>
  <c r="L406" i="5"/>
  <c r="X406" i="5" s="1"/>
  <c r="S36" i="5"/>
  <c r="R36" i="5"/>
  <c r="Q36" i="5"/>
  <c r="O36" i="5" s="1"/>
  <c r="M36" i="5"/>
  <c r="L36" i="5"/>
  <c r="S429" i="5"/>
  <c r="R429" i="5"/>
  <c r="Q429" i="5"/>
  <c r="O429" i="5" s="1"/>
  <c r="M429" i="5"/>
  <c r="L429" i="5"/>
  <c r="S413" i="5"/>
  <c r="R413" i="5"/>
  <c r="Q413" i="5"/>
  <c r="P413" i="5" s="1"/>
  <c r="M413" i="5"/>
  <c r="L413" i="5"/>
  <c r="X413" i="5" s="1"/>
  <c r="S443" i="5"/>
  <c r="R443" i="5"/>
  <c r="Q443" i="5"/>
  <c r="M443" i="5"/>
  <c r="L443" i="5"/>
  <c r="S454" i="5"/>
  <c r="R454" i="5"/>
  <c r="Q454" i="5"/>
  <c r="O454" i="5" s="1"/>
  <c r="M454" i="5"/>
  <c r="L454" i="5"/>
  <c r="S379" i="5"/>
  <c r="R379" i="5"/>
  <c r="Q379" i="5"/>
  <c r="O379" i="5" s="1"/>
  <c r="M379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S204" i="5"/>
  <c r="R204" i="5"/>
  <c r="Q204" i="5"/>
  <c r="O204" i="5" s="1"/>
  <c r="M204" i="5"/>
  <c r="L204" i="5"/>
  <c r="S420" i="5"/>
  <c r="R420" i="5"/>
  <c r="Q420" i="5"/>
  <c r="O420" i="5" s="1"/>
  <c r="M420" i="5"/>
  <c r="L420" i="5"/>
  <c r="S425" i="5"/>
  <c r="R425" i="5"/>
  <c r="Q425" i="5"/>
  <c r="P425" i="5" s="1"/>
  <c r="M425" i="5"/>
  <c r="L425" i="5"/>
  <c r="S17" i="5"/>
  <c r="R17" i="5"/>
  <c r="Q17" i="5"/>
  <c r="M17" i="5"/>
  <c r="L17" i="5"/>
  <c r="X17" i="5" s="1"/>
  <c r="S383" i="5"/>
  <c r="R383" i="5"/>
  <c r="Q383" i="5"/>
  <c r="O383" i="5" s="1"/>
  <c r="M383" i="5"/>
  <c r="L383" i="5"/>
  <c r="X383" i="5" s="1"/>
  <c r="S269" i="5"/>
  <c r="R269" i="5"/>
  <c r="Q269" i="5"/>
  <c r="O269" i="5" s="1"/>
  <c r="M269" i="5"/>
  <c r="L269" i="5"/>
  <c r="S83" i="5"/>
  <c r="R83" i="5"/>
  <c r="Q83" i="5"/>
  <c r="M83" i="5"/>
  <c r="L83" i="5"/>
  <c r="S381" i="5"/>
  <c r="R381" i="5"/>
  <c r="Q381" i="5"/>
  <c r="O381" i="5" s="1"/>
  <c r="M381" i="5"/>
  <c r="L381" i="5"/>
  <c r="S452" i="5"/>
  <c r="R452" i="5"/>
  <c r="Q452" i="5"/>
  <c r="O452" i="5" s="1"/>
  <c r="M452" i="5"/>
  <c r="L452" i="5"/>
  <c r="S351" i="5"/>
  <c r="R351" i="5"/>
  <c r="Q351" i="5"/>
  <c r="O351" i="5" s="1"/>
  <c r="M351" i="5"/>
  <c r="L351" i="5"/>
  <c r="S475" i="5"/>
  <c r="R475" i="5"/>
  <c r="Q475" i="5"/>
  <c r="M475" i="5"/>
  <c r="L475" i="5"/>
  <c r="S404" i="5"/>
  <c r="R404" i="5"/>
  <c r="Q404" i="5"/>
  <c r="O404" i="5" s="1"/>
  <c r="M404" i="5"/>
  <c r="L404" i="5"/>
  <c r="S331" i="5"/>
  <c r="R331" i="5"/>
  <c r="Q331" i="5"/>
  <c r="O331" i="5" s="1"/>
  <c r="M331" i="5"/>
  <c r="L331" i="5"/>
  <c r="S396" i="5"/>
  <c r="R396" i="5"/>
  <c r="Q396" i="5"/>
  <c r="O396" i="5" s="1"/>
  <c r="M396" i="5"/>
  <c r="L396" i="5"/>
  <c r="X396" i="5" s="1"/>
  <c r="S412" i="5"/>
  <c r="R412" i="5"/>
  <c r="Q412" i="5"/>
  <c r="P412" i="5" s="1"/>
  <c r="M412" i="5"/>
  <c r="L412" i="5"/>
  <c r="S40" i="5"/>
  <c r="R40" i="5"/>
  <c r="Q40" i="5"/>
  <c r="P40" i="5" s="1"/>
  <c r="M40" i="5"/>
  <c r="L40" i="5"/>
  <c r="S449" i="5"/>
  <c r="R449" i="5"/>
  <c r="Q449" i="5"/>
  <c r="N449" i="5" s="1"/>
  <c r="M449" i="5"/>
  <c r="L449" i="5"/>
  <c r="S372" i="5"/>
  <c r="R372" i="5"/>
  <c r="Q372" i="5"/>
  <c r="O372" i="5" s="1"/>
  <c r="M372" i="5"/>
  <c r="L372" i="5"/>
  <c r="X372" i="5" s="1"/>
  <c r="S108" i="5"/>
  <c r="R108" i="5"/>
  <c r="Q108" i="5"/>
  <c r="P108" i="5" s="1"/>
  <c r="M108" i="5"/>
  <c r="L108" i="5"/>
  <c r="X108" i="5" s="1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S373" i="5"/>
  <c r="R373" i="5"/>
  <c r="Q373" i="5"/>
  <c r="N373" i="5" s="1"/>
  <c r="M373" i="5"/>
  <c r="L373" i="5"/>
  <c r="X373" i="5" s="1"/>
  <c r="S451" i="5"/>
  <c r="R451" i="5"/>
  <c r="Q451" i="5"/>
  <c r="M451" i="5"/>
  <c r="L451" i="5"/>
  <c r="S442" i="5"/>
  <c r="R442" i="5"/>
  <c r="Q442" i="5"/>
  <c r="N442" i="5" s="1"/>
  <c r="M442" i="5"/>
  <c r="L442" i="5"/>
  <c r="S28" i="5"/>
  <c r="R28" i="5"/>
  <c r="Q28" i="5"/>
  <c r="O28" i="5" s="1"/>
  <c r="M28" i="5"/>
  <c r="L28" i="5"/>
  <c r="S441" i="5"/>
  <c r="R441" i="5"/>
  <c r="Q441" i="5"/>
  <c r="N441" i="5" s="1"/>
  <c r="M441" i="5"/>
  <c r="L441" i="5"/>
  <c r="S430" i="5"/>
  <c r="R430" i="5"/>
  <c r="Q430" i="5"/>
  <c r="P430" i="5" s="1"/>
  <c r="M430" i="5"/>
  <c r="L430" i="5"/>
  <c r="S370" i="5"/>
  <c r="R370" i="5"/>
  <c r="Q370" i="5"/>
  <c r="N370" i="5" s="1"/>
  <c r="M370" i="5"/>
  <c r="L370" i="5"/>
  <c r="X370" i="5" s="1"/>
  <c r="S99" i="5"/>
  <c r="R99" i="5"/>
  <c r="Q99" i="5"/>
  <c r="O99" i="5" s="1"/>
  <c r="M99" i="5"/>
  <c r="L99" i="5"/>
  <c r="X99" i="5" s="1"/>
  <c r="S438" i="5"/>
  <c r="R438" i="5"/>
  <c r="Q438" i="5"/>
  <c r="O438" i="5" s="1"/>
  <c r="M438" i="5"/>
  <c r="L438" i="5"/>
  <c r="X438" i="5" s="1"/>
  <c r="S469" i="5"/>
  <c r="R469" i="5"/>
  <c r="Q469" i="5"/>
  <c r="N469" i="5" s="1"/>
  <c r="M469" i="5"/>
  <c r="L469" i="5"/>
  <c r="X469" i="5" s="1"/>
  <c r="S54" i="5"/>
  <c r="R54" i="5"/>
  <c r="Q54" i="5"/>
  <c r="M54" i="5"/>
  <c r="L54" i="5"/>
  <c r="X54" i="5" s="1"/>
  <c r="S327" i="5"/>
  <c r="R327" i="5"/>
  <c r="Q327" i="5"/>
  <c r="M327" i="5"/>
  <c r="L327" i="5"/>
  <c r="X327" i="5" s="1"/>
  <c r="S55" i="5"/>
  <c r="R55" i="5"/>
  <c r="Q55" i="5"/>
  <c r="P55" i="5" s="1"/>
  <c r="M55" i="5"/>
  <c r="L55" i="5"/>
  <c r="S473" i="5"/>
  <c r="R473" i="5"/>
  <c r="Q473" i="5"/>
  <c r="N473" i="5" s="1"/>
  <c r="M473" i="5"/>
  <c r="L473" i="5"/>
  <c r="S402" i="5"/>
  <c r="R402" i="5"/>
  <c r="Q402" i="5"/>
  <c r="N402" i="5" s="1"/>
  <c r="M402" i="5"/>
  <c r="L402" i="5"/>
  <c r="S63" i="5"/>
  <c r="R63" i="5"/>
  <c r="Q63" i="5"/>
  <c r="N63" i="5" s="1"/>
  <c r="M63" i="5"/>
  <c r="L63" i="5"/>
  <c r="S68" i="5"/>
  <c r="R68" i="5"/>
  <c r="Q68" i="5"/>
  <c r="O68" i="5" s="1"/>
  <c r="M68" i="5"/>
  <c r="L68" i="5"/>
  <c r="S278" i="5"/>
  <c r="R278" i="5"/>
  <c r="Q278" i="5"/>
  <c r="P278" i="5" s="1"/>
  <c r="M278" i="5"/>
  <c r="L278" i="5"/>
  <c r="S366" i="5"/>
  <c r="R366" i="5"/>
  <c r="Q366" i="5"/>
  <c r="P366" i="5" s="1"/>
  <c r="M366" i="5"/>
  <c r="L366" i="5"/>
  <c r="X366" i="5" s="1"/>
  <c r="S368" i="5"/>
  <c r="R368" i="5"/>
  <c r="Q368" i="5"/>
  <c r="M368" i="5"/>
  <c r="L368" i="5"/>
  <c r="S434" i="5"/>
  <c r="R434" i="5"/>
  <c r="Q434" i="5"/>
  <c r="P434" i="5" s="1"/>
  <c r="M434" i="5"/>
  <c r="L434" i="5"/>
  <c r="S436" i="5"/>
  <c r="R436" i="5"/>
  <c r="Q436" i="5"/>
  <c r="P436" i="5" s="1"/>
  <c r="M436" i="5"/>
  <c r="L436" i="5"/>
  <c r="S422" i="5"/>
  <c r="R422" i="5"/>
  <c r="Q422" i="5"/>
  <c r="P422" i="5" s="1"/>
  <c r="M422" i="5"/>
  <c r="L422" i="5"/>
  <c r="S243" i="5"/>
  <c r="R243" i="5"/>
  <c r="Q243" i="5"/>
  <c r="P243" i="5" s="1"/>
  <c r="M243" i="5"/>
  <c r="L243" i="5"/>
  <c r="S241" i="5"/>
  <c r="R241" i="5"/>
  <c r="Q241" i="5"/>
  <c r="M241" i="5"/>
  <c r="L241" i="5"/>
  <c r="X241" i="5" s="1"/>
  <c r="S239" i="5"/>
  <c r="R239" i="5"/>
  <c r="Q239" i="5"/>
  <c r="M239" i="5"/>
  <c r="L239" i="5"/>
  <c r="X239" i="5" s="1"/>
  <c r="S237" i="5"/>
  <c r="R237" i="5"/>
  <c r="Q237" i="5"/>
  <c r="P237" i="5" s="1"/>
  <c r="M237" i="5"/>
  <c r="L237" i="5"/>
  <c r="X237" i="5" s="1"/>
  <c r="S235" i="5"/>
  <c r="R235" i="5"/>
  <c r="Q235" i="5"/>
  <c r="O235" i="5" s="1"/>
  <c r="M235" i="5"/>
  <c r="L235" i="5"/>
  <c r="X235" i="5" s="1"/>
  <c r="S233" i="5"/>
  <c r="R233" i="5"/>
  <c r="Q233" i="5"/>
  <c r="O233" i="5" s="1"/>
  <c r="M233" i="5"/>
  <c r="L233" i="5"/>
  <c r="X233" i="5" s="1"/>
  <c r="S231" i="5"/>
  <c r="R231" i="5"/>
  <c r="Q231" i="5"/>
  <c r="N231" i="5" s="1"/>
  <c r="M231" i="5"/>
  <c r="L231" i="5"/>
  <c r="X231" i="5" s="1"/>
  <c r="S229" i="5"/>
  <c r="R229" i="5"/>
  <c r="Q229" i="5"/>
  <c r="M229" i="5"/>
  <c r="L229" i="5"/>
  <c r="X229" i="5" s="1"/>
  <c r="S226" i="5"/>
  <c r="R226" i="5"/>
  <c r="Q226" i="5"/>
  <c r="P226" i="5" s="1"/>
  <c r="M226" i="5"/>
  <c r="L226" i="5"/>
  <c r="X226" i="5" s="1"/>
  <c r="S224" i="5"/>
  <c r="R224" i="5"/>
  <c r="Q224" i="5"/>
  <c r="O224" i="5" s="1"/>
  <c r="M224" i="5"/>
  <c r="L224" i="5"/>
  <c r="X224" i="5" s="1"/>
  <c r="S221" i="5"/>
  <c r="R221" i="5"/>
  <c r="Q221" i="5"/>
  <c r="M221" i="5"/>
  <c r="L221" i="5"/>
  <c r="X221" i="5" s="1"/>
  <c r="S219" i="5"/>
  <c r="R219" i="5"/>
  <c r="Q219" i="5"/>
  <c r="P219" i="5" s="1"/>
  <c r="M219" i="5"/>
  <c r="L219" i="5"/>
  <c r="X219" i="5" s="1"/>
  <c r="S217" i="5"/>
  <c r="R217" i="5"/>
  <c r="Q217" i="5"/>
  <c r="M217" i="5"/>
  <c r="L217" i="5"/>
  <c r="S215" i="5"/>
  <c r="R215" i="5"/>
  <c r="Q215" i="5"/>
  <c r="P215" i="5" s="1"/>
  <c r="M215" i="5"/>
  <c r="L215" i="5"/>
  <c r="S213" i="5"/>
  <c r="R213" i="5"/>
  <c r="Q213" i="5"/>
  <c r="P213" i="5" s="1"/>
  <c r="M213" i="5"/>
  <c r="L213" i="5"/>
  <c r="S211" i="5"/>
  <c r="R211" i="5"/>
  <c r="Q211" i="5"/>
  <c r="O211" i="5" s="1"/>
  <c r="M211" i="5"/>
  <c r="L211" i="5"/>
  <c r="S209" i="5"/>
  <c r="R209" i="5"/>
  <c r="Q209" i="5"/>
  <c r="M209" i="5"/>
  <c r="L209" i="5"/>
  <c r="S207" i="5"/>
  <c r="R207" i="5"/>
  <c r="Q207" i="5"/>
  <c r="N207" i="5" s="1"/>
  <c r="M207" i="5"/>
  <c r="L207" i="5"/>
  <c r="S205" i="5"/>
  <c r="R205" i="5"/>
  <c r="Q205" i="5"/>
  <c r="P205" i="5" s="1"/>
  <c r="M205" i="5"/>
  <c r="L205" i="5"/>
  <c r="S203" i="5"/>
  <c r="R203" i="5"/>
  <c r="Q203" i="5"/>
  <c r="P203" i="5" s="1"/>
  <c r="M203" i="5"/>
  <c r="L203" i="5"/>
  <c r="S201" i="5"/>
  <c r="R201" i="5"/>
  <c r="Q201" i="5"/>
  <c r="O201" i="5" s="1"/>
  <c r="M201" i="5"/>
  <c r="L201" i="5"/>
  <c r="X201" i="5" s="1"/>
  <c r="S199" i="5"/>
  <c r="R199" i="5"/>
  <c r="Q199" i="5"/>
  <c r="P199" i="5" s="1"/>
  <c r="M199" i="5"/>
  <c r="L199" i="5"/>
  <c r="S197" i="5"/>
  <c r="R197" i="5"/>
  <c r="Q197" i="5"/>
  <c r="N197" i="5" s="1"/>
  <c r="M197" i="5"/>
  <c r="L197" i="5"/>
  <c r="S193" i="5"/>
  <c r="R193" i="5"/>
  <c r="Q193" i="5"/>
  <c r="N193" i="5" s="1"/>
  <c r="M193" i="5"/>
  <c r="L193" i="5"/>
  <c r="S190" i="5"/>
  <c r="R190" i="5"/>
  <c r="Q190" i="5"/>
  <c r="P190" i="5" s="1"/>
  <c r="M190" i="5"/>
  <c r="L190" i="5"/>
  <c r="S181" i="5"/>
  <c r="R181" i="5"/>
  <c r="Q181" i="5"/>
  <c r="O181" i="5" s="1"/>
  <c r="M181" i="5"/>
  <c r="L181" i="5"/>
  <c r="X181" i="5" s="1"/>
  <c r="S178" i="5"/>
  <c r="R178" i="5"/>
  <c r="Q178" i="5"/>
  <c r="P178" i="5" s="1"/>
  <c r="M178" i="5"/>
  <c r="L178" i="5"/>
  <c r="S176" i="5"/>
  <c r="R176" i="5"/>
  <c r="Q176" i="5"/>
  <c r="O176" i="5" s="1"/>
  <c r="M176" i="5"/>
  <c r="L176" i="5"/>
  <c r="S174" i="5"/>
  <c r="R174" i="5"/>
  <c r="Q174" i="5"/>
  <c r="M174" i="5"/>
  <c r="L174" i="5"/>
  <c r="S172" i="5"/>
  <c r="R172" i="5"/>
  <c r="Q172" i="5"/>
  <c r="P172" i="5" s="1"/>
  <c r="M172" i="5"/>
  <c r="L172" i="5"/>
  <c r="X172" i="5" s="1"/>
  <c r="S170" i="5"/>
  <c r="R170" i="5"/>
  <c r="Q170" i="5"/>
  <c r="P170" i="5" s="1"/>
  <c r="M170" i="5"/>
  <c r="L170" i="5"/>
  <c r="S168" i="5"/>
  <c r="R168" i="5"/>
  <c r="Q168" i="5"/>
  <c r="O168" i="5" s="1"/>
  <c r="M168" i="5"/>
  <c r="L168" i="5"/>
  <c r="S166" i="5"/>
  <c r="R166" i="5"/>
  <c r="Q166" i="5"/>
  <c r="P166" i="5" s="1"/>
  <c r="M166" i="5"/>
  <c r="L166" i="5"/>
  <c r="S164" i="5"/>
  <c r="R164" i="5"/>
  <c r="Q164" i="5"/>
  <c r="M164" i="5"/>
  <c r="L164" i="5"/>
  <c r="S162" i="5"/>
  <c r="R162" i="5"/>
  <c r="Q162" i="5"/>
  <c r="P162" i="5" s="1"/>
  <c r="M162" i="5"/>
  <c r="L162" i="5"/>
  <c r="S160" i="5"/>
  <c r="R160" i="5"/>
  <c r="Q160" i="5"/>
  <c r="P160" i="5" s="1"/>
  <c r="M160" i="5"/>
  <c r="L160" i="5"/>
  <c r="S157" i="5"/>
  <c r="R157" i="5"/>
  <c r="Q157" i="5"/>
  <c r="O157" i="5" s="1"/>
  <c r="M157" i="5"/>
  <c r="L157" i="5"/>
  <c r="S155" i="5"/>
  <c r="R155" i="5"/>
  <c r="Q155" i="5"/>
  <c r="P155" i="5" s="1"/>
  <c r="M155" i="5"/>
  <c r="L155" i="5"/>
  <c r="S153" i="5"/>
  <c r="R153" i="5"/>
  <c r="Q153" i="5"/>
  <c r="N153" i="5" s="1"/>
  <c r="M153" i="5"/>
  <c r="L153" i="5"/>
  <c r="S151" i="5"/>
  <c r="R151" i="5"/>
  <c r="Q151" i="5"/>
  <c r="P151" i="5" s="1"/>
  <c r="M151" i="5"/>
  <c r="L151" i="5"/>
  <c r="S149" i="5"/>
  <c r="R149" i="5"/>
  <c r="Q149" i="5"/>
  <c r="O149" i="5" s="1"/>
  <c r="M149" i="5"/>
  <c r="L149" i="5"/>
  <c r="S24" i="5"/>
  <c r="R24" i="5"/>
  <c r="Q24" i="5"/>
  <c r="P24" i="5" s="1"/>
  <c r="M24" i="5"/>
  <c r="L24" i="5"/>
  <c r="S20" i="5"/>
  <c r="R20" i="5"/>
  <c r="Q20" i="5"/>
  <c r="M20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S435" i="5"/>
  <c r="R435" i="5"/>
  <c r="Q435" i="5"/>
  <c r="P435" i="5" s="1"/>
  <c r="M435" i="5"/>
  <c r="L435" i="5"/>
  <c r="S399" i="5"/>
  <c r="R399" i="5"/>
  <c r="Q399" i="5"/>
  <c r="O399" i="5" s="1"/>
  <c r="M399" i="5"/>
  <c r="L399" i="5"/>
  <c r="S378" i="5"/>
  <c r="R378" i="5"/>
  <c r="Q378" i="5"/>
  <c r="P378" i="5" s="1"/>
  <c r="M378" i="5"/>
  <c r="L378" i="5"/>
  <c r="X378" i="5" s="1"/>
  <c r="S367" i="5"/>
  <c r="R367" i="5"/>
  <c r="Q367" i="5"/>
  <c r="N367" i="5" s="1"/>
  <c r="M367" i="5"/>
  <c r="L367" i="5"/>
  <c r="S340" i="5"/>
  <c r="R340" i="5"/>
  <c r="Q340" i="5"/>
  <c r="P340" i="5" s="1"/>
  <c r="M340" i="5"/>
  <c r="L340" i="5"/>
  <c r="S307" i="5"/>
  <c r="R307" i="5"/>
  <c r="Q307" i="5"/>
  <c r="N307" i="5" s="1"/>
  <c r="M307" i="5"/>
  <c r="L307" i="5"/>
  <c r="X307" i="5" s="1"/>
  <c r="S299" i="5"/>
  <c r="R299" i="5"/>
  <c r="Q299" i="5"/>
  <c r="M299" i="5"/>
  <c r="L299" i="5"/>
  <c r="X299" i="5" s="1"/>
  <c r="S270" i="5"/>
  <c r="R270" i="5"/>
  <c r="Q270" i="5"/>
  <c r="N270" i="5" s="1"/>
  <c r="M270" i="5"/>
  <c r="L270" i="5"/>
  <c r="S261" i="5"/>
  <c r="R261" i="5"/>
  <c r="Q261" i="5"/>
  <c r="P261" i="5" s="1"/>
  <c r="M261" i="5"/>
  <c r="L261" i="5"/>
  <c r="S255" i="5"/>
  <c r="R255" i="5"/>
  <c r="Q255" i="5"/>
  <c r="N255" i="5" s="1"/>
  <c r="M255" i="5"/>
  <c r="L255" i="5"/>
  <c r="S254" i="5"/>
  <c r="R254" i="5"/>
  <c r="Q254" i="5"/>
  <c r="P254" i="5" s="1"/>
  <c r="M254" i="5"/>
  <c r="L254" i="5"/>
  <c r="S251" i="5"/>
  <c r="R251" i="5"/>
  <c r="Q251" i="5"/>
  <c r="N251" i="5" s="1"/>
  <c r="M251" i="5"/>
  <c r="L251" i="5"/>
  <c r="S249" i="5"/>
  <c r="R249" i="5"/>
  <c r="Q249" i="5"/>
  <c r="M249" i="5"/>
  <c r="L249" i="5"/>
  <c r="S248" i="5"/>
  <c r="R248" i="5"/>
  <c r="Q248" i="5"/>
  <c r="N248" i="5" s="1"/>
  <c r="M248" i="5"/>
  <c r="L248" i="5"/>
  <c r="S230" i="5"/>
  <c r="R230" i="5"/>
  <c r="Q230" i="5"/>
  <c r="P230" i="5" s="1"/>
  <c r="M230" i="5"/>
  <c r="L230" i="5"/>
  <c r="S180" i="5"/>
  <c r="R180" i="5"/>
  <c r="Q180" i="5"/>
  <c r="N180" i="5" s="1"/>
  <c r="M180" i="5"/>
  <c r="L180" i="5"/>
  <c r="S173" i="5"/>
  <c r="R173" i="5"/>
  <c r="Q173" i="5"/>
  <c r="P173" i="5" s="1"/>
  <c r="M173" i="5"/>
  <c r="L173" i="5"/>
  <c r="S163" i="5"/>
  <c r="R163" i="5"/>
  <c r="Q163" i="5"/>
  <c r="N163" i="5" s="1"/>
  <c r="M163" i="5"/>
  <c r="L163" i="5"/>
  <c r="S161" i="5"/>
  <c r="R161" i="5"/>
  <c r="Q161" i="5"/>
  <c r="P161" i="5" s="1"/>
  <c r="M161" i="5"/>
  <c r="L161" i="5"/>
  <c r="S156" i="5"/>
  <c r="R156" i="5"/>
  <c r="Q156" i="5"/>
  <c r="N156" i="5" s="1"/>
  <c r="M156" i="5"/>
  <c r="L156" i="5"/>
  <c r="S152" i="5"/>
  <c r="R152" i="5"/>
  <c r="Q152" i="5"/>
  <c r="M152" i="5"/>
  <c r="L152" i="5"/>
  <c r="X152" i="5" s="1"/>
  <c r="S150" i="5"/>
  <c r="R150" i="5"/>
  <c r="Q150" i="5"/>
  <c r="N150" i="5" s="1"/>
  <c r="M150" i="5"/>
  <c r="L150" i="5"/>
  <c r="X150" i="5" s="1"/>
  <c r="S132" i="5"/>
  <c r="R132" i="5"/>
  <c r="Q132" i="5"/>
  <c r="M132" i="5"/>
  <c r="L132" i="5"/>
  <c r="S124" i="5"/>
  <c r="R124" i="5"/>
  <c r="Q124" i="5"/>
  <c r="N124" i="5" s="1"/>
  <c r="M124" i="5"/>
  <c r="L124" i="5"/>
  <c r="S123" i="5"/>
  <c r="R123" i="5"/>
  <c r="Q123" i="5"/>
  <c r="P123" i="5" s="1"/>
  <c r="M123" i="5"/>
  <c r="L123" i="5"/>
  <c r="S122" i="5"/>
  <c r="R122" i="5"/>
  <c r="Q122" i="5"/>
  <c r="N122" i="5" s="1"/>
  <c r="M122" i="5"/>
  <c r="L122" i="5"/>
  <c r="X122" i="5" s="1"/>
  <c r="S111" i="5"/>
  <c r="R111" i="5"/>
  <c r="Q111" i="5"/>
  <c r="P111" i="5" s="1"/>
  <c r="M111" i="5"/>
  <c r="L111" i="5"/>
  <c r="S92" i="5"/>
  <c r="R92" i="5"/>
  <c r="Q92" i="5"/>
  <c r="N92" i="5" s="1"/>
  <c r="M92" i="5"/>
  <c r="L92" i="5"/>
  <c r="X92" i="5" s="1"/>
  <c r="S77" i="5"/>
  <c r="R77" i="5"/>
  <c r="Q77" i="5"/>
  <c r="P77" i="5" s="1"/>
  <c r="M77" i="5"/>
  <c r="L77" i="5"/>
  <c r="S72" i="5"/>
  <c r="R72" i="5"/>
  <c r="Q72" i="5"/>
  <c r="N72" i="5" s="1"/>
  <c r="M72" i="5"/>
  <c r="L72" i="5"/>
  <c r="X72" i="5" s="1"/>
  <c r="S70" i="5"/>
  <c r="R70" i="5"/>
  <c r="Q70" i="5"/>
  <c r="P70" i="5" s="1"/>
  <c r="M70" i="5"/>
  <c r="L70" i="5"/>
  <c r="S67" i="5"/>
  <c r="R67" i="5"/>
  <c r="Q67" i="5"/>
  <c r="N67" i="5" s="1"/>
  <c r="M67" i="5"/>
  <c r="L67" i="5"/>
  <c r="S66" i="5"/>
  <c r="R66" i="5"/>
  <c r="Q66" i="5"/>
  <c r="M66" i="5"/>
  <c r="L66" i="5"/>
  <c r="S64" i="5"/>
  <c r="R64" i="5"/>
  <c r="Q64" i="5"/>
  <c r="N64" i="5" s="1"/>
  <c r="M64" i="5"/>
  <c r="L64" i="5"/>
  <c r="S62" i="5"/>
  <c r="R62" i="5"/>
  <c r="Q62" i="5"/>
  <c r="P62" i="5" s="1"/>
  <c r="M62" i="5"/>
  <c r="L62" i="5"/>
  <c r="S60" i="5"/>
  <c r="R60" i="5"/>
  <c r="Q60" i="5"/>
  <c r="N60" i="5" s="1"/>
  <c r="M60" i="5"/>
  <c r="L60" i="5"/>
  <c r="S58" i="5"/>
  <c r="R58" i="5"/>
  <c r="Q58" i="5"/>
  <c r="O58" i="5" s="1"/>
  <c r="M58" i="5"/>
  <c r="L58" i="5"/>
  <c r="X58" i="5" s="1"/>
  <c r="S56" i="5"/>
  <c r="R56" i="5"/>
  <c r="Q56" i="5"/>
  <c r="N56" i="5" s="1"/>
  <c r="M56" i="5"/>
  <c r="L56" i="5"/>
  <c r="X56" i="5" s="1"/>
  <c r="S43" i="5"/>
  <c r="R43" i="5"/>
  <c r="Q43" i="5"/>
  <c r="O43" i="5" s="1"/>
  <c r="M43" i="5"/>
  <c r="L43" i="5"/>
  <c r="S38" i="5"/>
  <c r="R38" i="5"/>
  <c r="Q38" i="5"/>
  <c r="N38" i="5" s="1"/>
  <c r="M38" i="5"/>
  <c r="L38" i="5"/>
  <c r="S35" i="5"/>
  <c r="R35" i="5"/>
  <c r="Q35" i="5"/>
  <c r="M35" i="5"/>
  <c r="L35" i="5"/>
  <c r="X35" i="5" s="1"/>
  <c r="S7" i="5"/>
  <c r="R7" i="5"/>
  <c r="Q7" i="5"/>
  <c r="N7" i="5" s="1"/>
  <c r="M7" i="5"/>
  <c r="L7" i="5"/>
  <c r="X7" i="5" s="1"/>
  <c r="S6" i="5"/>
  <c r="R6" i="5"/>
  <c r="Q6" i="5"/>
  <c r="M6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S439" i="5"/>
  <c r="R439" i="5"/>
  <c r="Q439" i="5"/>
  <c r="N439" i="5" s="1"/>
  <c r="M439" i="5"/>
  <c r="L439" i="5"/>
  <c r="S433" i="5"/>
  <c r="R433" i="5"/>
  <c r="Q433" i="5"/>
  <c r="P433" i="5" s="1"/>
  <c r="M433" i="5"/>
  <c r="L433" i="5"/>
  <c r="S423" i="5"/>
  <c r="R423" i="5"/>
  <c r="Q423" i="5"/>
  <c r="N423" i="5" s="1"/>
  <c r="M423" i="5"/>
  <c r="L423" i="5"/>
  <c r="S421" i="5"/>
  <c r="R421" i="5"/>
  <c r="Q421" i="5"/>
  <c r="P421" i="5" s="1"/>
  <c r="M421" i="5"/>
  <c r="L421" i="5"/>
  <c r="S398" i="5"/>
  <c r="R398" i="5"/>
  <c r="Q398" i="5"/>
  <c r="N398" i="5" s="1"/>
  <c r="M398" i="5"/>
  <c r="L398" i="5"/>
  <c r="S365" i="5"/>
  <c r="R365" i="5"/>
  <c r="Q365" i="5"/>
  <c r="P365" i="5" s="1"/>
  <c r="M365" i="5"/>
  <c r="L365" i="5"/>
  <c r="S356" i="5"/>
  <c r="R356" i="5"/>
  <c r="Q356" i="5"/>
  <c r="N356" i="5" s="1"/>
  <c r="M356" i="5"/>
  <c r="L356" i="5"/>
  <c r="S353" i="5"/>
  <c r="R353" i="5"/>
  <c r="Q353" i="5"/>
  <c r="O353" i="5" s="1"/>
  <c r="M353" i="5"/>
  <c r="L353" i="5"/>
  <c r="S332" i="5"/>
  <c r="R332" i="5"/>
  <c r="Q332" i="5"/>
  <c r="M332" i="5"/>
  <c r="L332" i="5"/>
  <c r="X332" i="5" s="1"/>
  <c r="S326" i="5"/>
  <c r="R326" i="5"/>
  <c r="Q326" i="5"/>
  <c r="O326" i="5" s="1"/>
  <c r="M326" i="5"/>
  <c r="L326" i="5"/>
  <c r="S289" i="5"/>
  <c r="R289" i="5"/>
  <c r="Q289" i="5"/>
  <c r="N289" i="5" s="1"/>
  <c r="M289" i="5"/>
  <c r="L289" i="5"/>
  <c r="X289" i="5" s="1"/>
  <c r="S288" i="5"/>
  <c r="R288" i="5"/>
  <c r="Q288" i="5"/>
  <c r="N288" i="5" s="1"/>
  <c r="M288" i="5"/>
  <c r="L288" i="5"/>
  <c r="X288" i="5" s="1"/>
  <c r="S283" i="5"/>
  <c r="R283" i="5"/>
  <c r="Q283" i="5"/>
  <c r="M283" i="5"/>
  <c r="L283" i="5"/>
  <c r="X283" i="5" s="1"/>
  <c r="S281" i="5"/>
  <c r="R281" i="5"/>
  <c r="Q281" i="5"/>
  <c r="N281" i="5" s="1"/>
  <c r="M281" i="5"/>
  <c r="L281" i="5"/>
  <c r="S273" i="5"/>
  <c r="R273" i="5"/>
  <c r="Q273" i="5"/>
  <c r="N273" i="5" s="1"/>
  <c r="M273" i="5"/>
  <c r="L273" i="5"/>
  <c r="S272" i="5"/>
  <c r="R272" i="5"/>
  <c r="Q272" i="5"/>
  <c r="P272" i="5" s="1"/>
  <c r="M272" i="5"/>
  <c r="L272" i="5"/>
  <c r="S271" i="5"/>
  <c r="R271" i="5"/>
  <c r="Q271" i="5"/>
  <c r="M271" i="5"/>
  <c r="L271" i="5"/>
  <c r="S268" i="5"/>
  <c r="R268" i="5"/>
  <c r="Q268" i="5"/>
  <c r="P268" i="5" s="1"/>
  <c r="M268" i="5"/>
  <c r="L268" i="5"/>
  <c r="S265" i="5"/>
  <c r="R265" i="5"/>
  <c r="Q265" i="5"/>
  <c r="N265" i="5" s="1"/>
  <c r="M265" i="5"/>
  <c r="L265" i="5"/>
  <c r="X265" i="5" s="1"/>
  <c r="S264" i="5"/>
  <c r="R264" i="5"/>
  <c r="Q264" i="5"/>
  <c r="M264" i="5"/>
  <c r="L264" i="5"/>
  <c r="X264" i="5" s="1"/>
  <c r="S263" i="5"/>
  <c r="R263" i="5"/>
  <c r="Q263" i="5"/>
  <c r="M263" i="5"/>
  <c r="L263" i="5"/>
  <c r="S257" i="5"/>
  <c r="R257" i="5"/>
  <c r="Q257" i="5"/>
  <c r="O257" i="5" s="1"/>
  <c r="M257" i="5"/>
  <c r="L257" i="5"/>
  <c r="S252" i="5"/>
  <c r="R252" i="5"/>
  <c r="Q252" i="5"/>
  <c r="N252" i="5" s="1"/>
  <c r="M252" i="5"/>
  <c r="L252" i="5"/>
  <c r="S246" i="5"/>
  <c r="R246" i="5"/>
  <c r="Q246" i="5"/>
  <c r="N246" i="5" s="1"/>
  <c r="M246" i="5"/>
  <c r="L246" i="5"/>
  <c r="S195" i="5"/>
  <c r="R195" i="5"/>
  <c r="Q195" i="5"/>
  <c r="M195" i="5"/>
  <c r="L195" i="5"/>
  <c r="S194" i="5"/>
  <c r="R194" i="5"/>
  <c r="Q194" i="5"/>
  <c r="N194" i="5" s="1"/>
  <c r="M194" i="5"/>
  <c r="L194" i="5"/>
  <c r="X194" i="5" s="1"/>
  <c r="S191" i="5"/>
  <c r="R191" i="5"/>
  <c r="Q191" i="5"/>
  <c r="N191" i="5" s="1"/>
  <c r="M191" i="5"/>
  <c r="L191" i="5"/>
  <c r="S188" i="5"/>
  <c r="R188" i="5"/>
  <c r="Q188" i="5"/>
  <c r="M188" i="5"/>
  <c r="L188" i="5"/>
  <c r="S187" i="5"/>
  <c r="R187" i="5"/>
  <c r="Q187" i="5"/>
  <c r="M187" i="5"/>
  <c r="L187" i="5"/>
  <c r="S186" i="5"/>
  <c r="R186" i="5"/>
  <c r="Q186" i="5"/>
  <c r="P186" i="5" s="1"/>
  <c r="M186" i="5"/>
  <c r="L186" i="5"/>
  <c r="S185" i="5"/>
  <c r="R185" i="5"/>
  <c r="Q185" i="5"/>
  <c r="M185" i="5"/>
  <c r="L185" i="5"/>
  <c r="S184" i="5"/>
  <c r="R184" i="5"/>
  <c r="Q184" i="5"/>
  <c r="M184" i="5"/>
  <c r="L184" i="5"/>
  <c r="S183" i="5"/>
  <c r="R183" i="5"/>
  <c r="Q183" i="5"/>
  <c r="M183" i="5"/>
  <c r="L183" i="5"/>
  <c r="S182" i="5"/>
  <c r="R182" i="5"/>
  <c r="Q182" i="5"/>
  <c r="P182" i="5" s="1"/>
  <c r="M182" i="5"/>
  <c r="L182" i="5"/>
  <c r="S179" i="5"/>
  <c r="R179" i="5"/>
  <c r="Q179" i="5"/>
  <c r="M179" i="5"/>
  <c r="L179" i="5"/>
  <c r="S158" i="5"/>
  <c r="R158" i="5"/>
  <c r="Q158" i="5"/>
  <c r="P158" i="5" s="1"/>
  <c r="M158" i="5"/>
  <c r="L158" i="5"/>
  <c r="S147" i="5"/>
  <c r="R147" i="5"/>
  <c r="Q147" i="5"/>
  <c r="M147" i="5"/>
  <c r="L147" i="5"/>
  <c r="X147" i="5" s="1"/>
  <c r="S146" i="5"/>
  <c r="R146" i="5"/>
  <c r="Q146" i="5"/>
  <c r="P146" i="5" s="1"/>
  <c r="M146" i="5"/>
  <c r="L146" i="5"/>
  <c r="S145" i="5"/>
  <c r="R145" i="5"/>
  <c r="Q145" i="5"/>
  <c r="M145" i="5"/>
  <c r="L145" i="5"/>
  <c r="S144" i="5"/>
  <c r="R144" i="5"/>
  <c r="Q144" i="5"/>
  <c r="O144" i="5" s="1"/>
  <c r="M144" i="5"/>
  <c r="L144" i="5"/>
  <c r="S143" i="5"/>
  <c r="R143" i="5"/>
  <c r="Q143" i="5"/>
  <c r="M143" i="5"/>
  <c r="L143" i="5"/>
  <c r="S142" i="5"/>
  <c r="R142" i="5"/>
  <c r="Q142" i="5"/>
  <c r="O142" i="5" s="1"/>
  <c r="M142" i="5"/>
  <c r="L142" i="5"/>
  <c r="S141" i="5"/>
  <c r="R141" i="5"/>
  <c r="Q141" i="5"/>
  <c r="M141" i="5"/>
  <c r="L141" i="5"/>
  <c r="S140" i="5"/>
  <c r="R140" i="5"/>
  <c r="Q140" i="5"/>
  <c r="N140" i="5" s="1"/>
  <c r="M140" i="5"/>
  <c r="L140" i="5"/>
  <c r="S139" i="5"/>
  <c r="R139" i="5"/>
  <c r="Q139" i="5"/>
  <c r="M139" i="5"/>
  <c r="L139" i="5"/>
  <c r="S138" i="5"/>
  <c r="R138" i="5"/>
  <c r="Q138" i="5"/>
  <c r="N138" i="5" s="1"/>
  <c r="M138" i="5"/>
  <c r="L138" i="5"/>
  <c r="S136" i="5"/>
  <c r="R136" i="5"/>
  <c r="Q136" i="5"/>
  <c r="M136" i="5"/>
  <c r="L136" i="5"/>
  <c r="S135" i="5"/>
  <c r="R135" i="5"/>
  <c r="Q135" i="5"/>
  <c r="P135" i="5" s="1"/>
  <c r="M135" i="5"/>
  <c r="L135" i="5"/>
  <c r="S134" i="5"/>
  <c r="R134" i="5"/>
  <c r="Q134" i="5"/>
  <c r="M134" i="5"/>
  <c r="L134" i="5"/>
  <c r="S133" i="5"/>
  <c r="R133" i="5"/>
  <c r="Q133" i="5"/>
  <c r="P133" i="5" s="1"/>
  <c r="M133" i="5"/>
  <c r="L133" i="5"/>
  <c r="S131" i="5"/>
  <c r="R131" i="5"/>
  <c r="Q131" i="5"/>
  <c r="M131" i="5"/>
  <c r="L131" i="5"/>
  <c r="X131" i="5" s="1"/>
  <c r="S130" i="5"/>
  <c r="R130" i="5"/>
  <c r="Q130" i="5"/>
  <c r="O130" i="5" s="1"/>
  <c r="M130" i="5"/>
  <c r="L130" i="5"/>
  <c r="X130" i="5" s="1"/>
  <c r="S129" i="5"/>
  <c r="R129" i="5"/>
  <c r="Q129" i="5"/>
  <c r="M129" i="5"/>
  <c r="L129" i="5"/>
  <c r="S128" i="5"/>
  <c r="R128" i="5"/>
  <c r="Q128" i="5"/>
  <c r="O128" i="5" s="1"/>
  <c r="M128" i="5"/>
  <c r="L128" i="5"/>
  <c r="S127" i="5"/>
  <c r="R127" i="5"/>
  <c r="Q127" i="5"/>
  <c r="M127" i="5"/>
  <c r="L127" i="5"/>
  <c r="X127" i="5" s="1"/>
  <c r="S126" i="5"/>
  <c r="R126" i="5"/>
  <c r="Q126" i="5"/>
  <c r="N126" i="5" s="1"/>
  <c r="M126" i="5"/>
  <c r="L126" i="5"/>
  <c r="X126" i="5" s="1"/>
  <c r="S125" i="5"/>
  <c r="R125" i="5"/>
  <c r="Q125" i="5"/>
  <c r="M125" i="5"/>
  <c r="L125" i="5"/>
  <c r="S121" i="5"/>
  <c r="R121" i="5"/>
  <c r="Q121" i="5"/>
  <c r="N121" i="5" s="1"/>
  <c r="M121" i="5"/>
  <c r="L121" i="5"/>
  <c r="S117" i="5"/>
  <c r="R117" i="5"/>
  <c r="Q117" i="5"/>
  <c r="M117" i="5"/>
  <c r="L117" i="5"/>
  <c r="S116" i="5"/>
  <c r="R116" i="5"/>
  <c r="Q116" i="5"/>
  <c r="P116" i="5" s="1"/>
  <c r="M116" i="5"/>
  <c r="L116" i="5"/>
  <c r="S115" i="5"/>
  <c r="R115" i="5"/>
  <c r="Q115" i="5"/>
  <c r="M115" i="5"/>
  <c r="L115" i="5"/>
  <c r="S114" i="5"/>
  <c r="R114" i="5"/>
  <c r="Q114" i="5"/>
  <c r="P114" i="5" s="1"/>
  <c r="M114" i="5"/>
  <c r="L114" i="5"/>
  <c r="S107" i="5"/>
  <c r="R107" i="5"/>
  <c r="Q107" i="5"/>
  <c r="M107" i="5"/>
  <c r="L107" i="5"/>
  <c r="S106" i="5"/>
  <c r="R106" i="5"/>
  <c r="Q106" i="5"/>
  <c r="M106" i="5"/>
  <c r="L106" i="5"/>
  <c r="S105" i="5"/>
  <c r="R105" i="5"/>
  <c r="Q105" i="5"/>
  <c r="M105" i="5"/>
  <c r="L105" i="5"/>
  <c r="X105" i="5" s="1"/>
  <c r="S104" i="5"/>
  <c r="R104" i="5"/>
  <c r="Q104" i="5"/>
  <c r="N104" i="5" s="1"/>
  <c r="M104" i="5"/>
  <c r="L104" i="5"/>
  <c r="S102" i="5"/>
  <c r="R102" i="5"/>
  <c r="Q102" i="5"/>
  <c r="N102" i="5" s="1"/>
  <c r="M102" i="5"/>
  <c r="L102" i="5"/>
  <c r="S101" i="5"/>
  <c r="R101" i="5"/>
  <c r="Q101" i="5"/>
  <c r="M101" i="5"/>
  <c r="L101" i="5"/>
  <c r="S97" i="5"/>
  <c r="R97" i="5"/>
  <c r="Q97" i="5"/>
  <c r="M97" i="5"/>
  <c r="L97" i="5"/>
  <c r="S94" i="5"/>
  <c r="R94" i="5"/>
  <c r="Q94" i="5"/>
  <c r="O94" i="5" s="1"/>
  <c r="M94" i="5"/>
  <c r="L94" i="5"/>
  <c r="X94" i="5" s="1"/>
  <c r="S88" i="5"/>
  <c r="R88" i="5"/>
  <c r="Q88" i="5"/>
  <c r="N88" i="5" s="1"/>
  <c r="M88" i="5"/>
  <c r="L88" i="5"/>
  <c r="S4" i="5"/>
  <c r="R4" i="5"/>
  <c r="Q4" i="5"/>
  <c r="P4" i="5" s="1"/>
  <c r="M4" i="5"/>
  <c r="L4" i="5"/>
  <c r="S3" i="5"/>
  <c r="R3" i="5"/>
  <c r="Q3" i="5"/>
  <c r="M3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S309" i="5"/>
  <c r="R309" i="5"/>
  <c r="Q309" i="5"/>
  <c r="M309" i="5"/>
  <c r="L309" i="5"/>
  <c r="S245" i="5"/>
  <c r="R245" i="5"/>
  <c r="Q245" i="5"/>
  <c r="O245" i="5" s="1"/>
  <c r="M245" i="5"/>
  <c r="L245" i="5"/>
  <c r="X245" i="5" s="1"/>
  <c r="S137" i="5"/>
  <c r="R137" i="5"/>
  <c r="Q137" i="5"/>
  <c r="N137" i="5" s="1"/>
  <c r="M137" i="5"/>
  <c r="L137" i="5"/>
  <c r="S120" i="5"/>
  <c r="R120" i="5"/>
  <c r="Q120" i="5"/>
  <c r="M120" i="5"/>
  <c r="L120" i="5"/>
  <c r="S74" i="5"/>
  <c r="R74" i="5"/>
  <c r="Q74" i="5"/>
  <c r="M74" i="5"/>
  <c r="L74" i="5"/>
  <c r="S2" i="5"/>
  <c r="R2" i="5"/>
  <c r="Q2" i="5"/>
  <c r="N2" i="5" s="1"/>
  <c r="M2" i="5"/>
  <c r="L2" i="5"/>
  <c r="S78" i="5"/>
  <c r="R78" i="5"/>
  <c r="Q78" i="5"/>
  <c r="N78" i="5" s="1"/>
  <c r="M78" i="5"/>
  <c r="L78" i="5"/>
  <c r="S46" i="5"/>
  <c r="R46" i="5"/>
  <c r="Q46" i="5"/>
  <c r="M46" i="5"/>
  <c r="L46" i="5"/>
  <c r="S42" i="5"/>
  <c r="R42" i="5"/>
  <c r="Q42" i="5"/>
  <c r="P42" i="5" s="1"/>
  <c r="M42" i="5"/>
  <c r="L42" i="5"/>
  <c r="S61" i="5"/>
  <c r="R61" i="5"/>
  <c r="Q61" i="5"/>
  <c r="P61" i="5" s="1"/>
  <c r="M61" i="5"/>
  <c r="L61" i="5"/>
  <c r="X61" i="5" s="1"/>
  <c r="S71" i="5"/>
  <c r="R71" i="5"/>
  <c r="Q71" i="5"/>
  <c r="N71" i="5" s="1"/>
  <c r="M71" i="5"/>
  <c r="L71" i="5"/>
  <c r="S103" i="5"/>
  <c r="R103" i="5"/>
  <c r="Q103" i="5"/>
  <c r="N103" i="5" s="1"/>
  <c r="M103" i="5"/>
  <c r="L103" i="5"/>
  <c r="S198" i="5"/>
  <c r="R198" i="5"/>
  <c r="Q198" i="5"/>
  <c r="P198" i="5" s="1"/>
  <c r="M198" i="5"/>
  <c r="L198" i="5"/>
  <c r="S119" i="5"/>
  <c r="R119" i="5"/>
  <c r="Q119" i="5"/>
  <c r="N119" i="5" s="1"/>
  <c r="M119" i="5"/>
  <c r="L119" i="5"/>
  <c r="S113" i="5"/>
  <c r="R113" i="5"/>
  <c r="Q113" i="5"/>
  <c r="N113" i="5" s="1"/>
  <c r="M113" i="5"/>
  <c r="L113" i="5"/>
  <c r="S47" i="5"/>
  <c r="R47" i="5"/>
  <c r="Q47" i="5"/>
  <c r="N47" i="5" s="1"/>
  <c r="M47" i="5"/>
  <c r="L47" i="5"/>
  <c r="X47" i="5" s="1"/>
  <c r="S100" i="5"/>
  <c r="R100" i="5"/>
  <c r="Q100" i="5"/>
  <c r="P100" i="5" s="1"/>
  <c r="M100" i="5"/>
  <c r="L100" i="5"/>
  <c r="S8" i="5"/>
  <c r="R8" i="5"/>
  <c r="Q8" i="5"/>
  <c r="P8" i="5" s="1"/>
  <c r="M8" i="5"/>
  <c r="L8" i="5"/>
  <c r="S41" i="5"/>
  <c r="R41" i="5"/>
  <c r="Q41" i="5"/>
  <c r="N41" i="5" s="1"/>
  <c r="M41" i="5"/>
  <c r="L41" i="5"/>
  <c r="S500" i="5"/>
  <c r="R500" i="5"/>
  <c r="Q500" i="5"/>
  <c r="N500" i="5" s="1"/>
  <c r="M500" i="5"/>
  <c r="L500" i="5"/>
  <c r="S51" i="5"/>
  <c r="R51" i="5"/>
  <c r="Q51" i="5"/>
  <c r="P51" i="5" s="1"/>
  <c r="M51" i="5"/>
  <c r="L51" i="5"/>
  <c r="X51" i="5" s="1"/>
  <c r="S508" i="5"/>
  <c r="R508" i="5"/>
  <c r="Q508" i="5"/>
  <c r="P508" i="5" s="1"/>
  <c r="M508" i="5"/>
  <c r="L508" i="5"/>
  <c r="S85" i="5"/>
  <c r="R85" i="5"/>
  <c r="Q85" i="5"/>
  <c r="P85" i="5" s="1"/>
  <c r="M85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S227" i="5"/>
  <c r="R227" i="5"/>
  <c r="Q227" i="5"/>
  <c r="P227" i="5" s="1"/>
  <c r="M227" i="5"/>
  <c r="L227" i="5"/>
  <c r="X227" i="5" s="1"/>
  <c r="S210" i="5"/>
  <c r="R210" i="5"/>
  <c r="Q210" i="5"/>
  <c r="N210" i="5" s="1"/>
  <c r="M210" i="5"/>
  <c r="L210" i="5"/>
  <c r="S236" i="5"/>
  <c r="R236" i="5"/>
  <c r="Q236" i="5"/>
  <c r="N236" i="5" s="1"/>
  <c r="M236" i="5"/>
  <c r="L236" i="5"/>
  <c r="S65" i="5"/>
  <c r="R65" i="5"/>
  <c r="Q65" i="5"/>
  <c r="P65" i="5" s="1"/>
  <c r="M65" i="5"/>
  <c r="L65" i="5"/>
  <c r="X65" i="5" s="1"/>
  <c r="S96" i="5"/>
  <c r="R96" i="5"/>
  <c r="Q96" i="5"/>
  <c r="N96" i="5" s="1"/>
  <c r="M96" i="5"/>
  <c r="L96" i="5"/>
  <c r="S401" i="5"/>
  <c r="R401" i="5"/>
  <c r="Q401" i="5"/>
  <c r="N401" i="5" s="1"/>
  <c r="M401" i="5"/>
  <c r="L401" i="5"/>
  <c r="S57" i="5"/>
  <c r="R57" i="5"/>
  <c r="Q57" i="5"/>
  <c r="N57" i="5" s="1"/>
  <c r="M57" i="5"/>
  <c r="L57" i="5"/>
  <c r="S69" i="5"/>
  <c r="R69" i="5"/>
  <c r="Q69" i="5"/>
  <c r="P69" i="5" s="1"/>
  <c r="M69" i="5"/>
  <c r="L69" i="5"/>
  <c r="S37" i="5"/>
  <c r="R37" i="5"/>
  <c r="Q37" i="5"/>
  <c r="O37" i="5" s="1"/>
  <c r="M37" i="5"/>
  <c r="L37" i="5"/>
  <c r="S222" i="5"/>
  <c r="R222" i="5"/>
  <c r="Q222" i="5"/>
  <c r="N222" i="5" s="1"/>
  <c r="M222" i="5"/>
  <c r="L222" i="5"/>
  <c r="S355" i="5"/>
  <c r="R355" i="5"/>
  <c r="Q355" i="5"/>
  <c r="N355" i="5" s="1"/>
  <c r="M355" i="5"/>
  <c r="L355" i="5"/>
  <c r="S93" i="5"/>
  <c r="R93" i="5"/>
  <c r="Q93" i="5"/>
  <c r="P93" i="5" s="1"/>
  <c r="M93" i="5"/>
  <c r="L93" i="5"/>
  <c r="X93" i="5" s="1"/>
  <c r="S208" i="5"/>
  <c r="R208" i="5"/>
  <c r="Q208" i="5"/>
  <c r="N208" i="5" s="1"/>
  <c r="M208" i="5"/>
  <c r="L208" i="5"/>
  <c r="S50" i="5"/>
  <c r="R50" i="5"/>
  <c r="Q50" i="5"/>
  <c r="M50" i="5"/>
  <c r="L50" i="5"/>
  <c r="S30" i="5"/>
  <c r="R30" i="5"/>
  <c r="Q30" i="5"/>
  <c r="N30" i="5" s="1"/>
  <c r="M30" i="5"/>
  <c r="L30" i="5"/>
  <c r="S495" i="5"/>
  <c r="R495" i="5"/>
  <c r="Q495" i="5"/>
  <c r="P495" i="5" s="1"/>
  <c r="M495" i="5"/>
  <c r="L495" i="5"/>
  <c r="S308" i="5"/>
  <c r="R308" i="5"/>
  <c r="Q308" i="5"/>
  <c r="P308" i="5" s="1"/>
  <c r="M308" i="5"/>
  <c r="L308" i="5"/>
  <c r="X308" i="5" s="1"/>
  <c r="S91" i="5"/>
  <c r="R91" i="5"/>
  <c r="Q91" i="5"/>
  <c r="N91" i="5" s="1"/>
  <c r="M91" i="5"/>
  <c r="L91" i="5"/>
  <c r="S33" i="5"/>
  <c r="R33" i="5"/>
  <c r="Q33" i="5"/>
  <c r="N33" i="5" s="1"/>
  <c r="M33" i="5"/>
  <c r="L33" i="5"/>
  <c r="S53" i="5"/>
  <c r="R53" i="5"/>
  <c r="Q53" i="5"/>
  <c r="P53" i="5" s="1"/>
  <c r="M53" i="5"/>
  <c r="L53" i="5"/>
  <c r="S59" i="5"/>
  <c r="R59" i="5"/>
  <c r="Q59" i="5"/>
  <c r="O59" i="5" s="1"/>
  <c r="M59" i="5"/>
  <c r="L59" i="5"/>
  <c r="S39" i="5"/>
  <c r="R39" i="5"/>
  <c r="Q39" i="5"/>
  <c r="O39" i="5" s="1"/>
  <c r="M39" i="5"/>
  <c r="L39" i="5"/>
  <c r="S48" i="5"/>
  <c r="R48" i="5"/>
  <c r="Q48" i="5"/>
  <c r="N48" i="5" s="1"/>
  <c r="M48" i="5"/>
  <c r="L48" i="5"/>
  <c r="S244" i="5"/>
  <c r="R244" i="5"/>
  <c r="Q244" i="5"/>
  <c r="P244" i="5" s="1"/>
  <c r="M244" i="5"/>
  <c r="L244" i="5"/>
  <c r="S21" i="5"/>
  <c r="R21" i="5"/>
  <c r="Q21" i="5"/>
  <c r="P21" i="5" s="1"/>
  <c r="M21" i="5"/>
  <c r="L21" i="5"/>
  <c r="S49" i="5"/>
  <c r="R49" i="5"/>
  <c r="Q49" i="5"/>
  <c r="N49" i="5" s="1"/>
  <c r="M49" i="5"/>
  <c r="L49" i="5"/>
  <c r="S228" i="5"/>
  <c r="R228" i="5"/>
  <c r="Q228" i="5"/>
  <c r="N228" i="5" s="1"/>
  <c r="M228" i="5"/>
  <c r="L228" i="5"/>
  <c r="S317" i="5"/>
  <c r="R317" i="5"/>
  <c r="Q317" i="5"/>
  <c r="P317" i="5" s="1"/>
  <c r="M317" i="5"/>
  <c r="L317" i="5"/>
  <c r="X317" i="5" s="1"/>
  <c r="S19" i="5"/>
  <c r="R19" i="5"/>
  <c r="Q19" i="5"/>
  <c r="N19" i="5" s="1"/>
  <c r="M19" i="5"/>
  <c r="L19" i="5"/>
  <c r="S232" i="5"/>
  <c r="R232" i="5"/>
  <c r="Q232" i="5"/>
  <c r="M232" i="5"/>
  <c r="L232" i="5"/>
  <c r="S32" i="5"/>
  <c r="R32" i="5"/>
  <c r="Q32" i="5"/>
  <c r="N32" i="5" s="1"/>
  <c r="M32" i="5"/>
  <c r="L32" i="5"/>
  <c r="X32" i="5" s="1"/>
  <c r="S11" i="5"/>
  <c r="R11" i="5"/>
  <c r="Q11" i="5"/>
  <c r="P11" i="5" s="1"/>
  <c r="M11" i="5"/>
  <c r="L11" i="5"/>
  <c r="X11" i="5" s="1"/>
  <c r="S218" i="5"/>
  <c r="R218" i="5"/>
  <c r="Q218" i="5"/>
  <c r="N218" i="5" s="1"/>
  <c r="M218" i="5"/>
  <c r="L218" i="5"/>
  <c r="X218" i="5" s="1"/>
  <c r="S110" i="5"/>
  <c r="R110" i="5"/>
  <c r="Q110" i="5"/>
  <c r="N110" i="5" s="1"/>
  <c r="M110" i="5"/>
  <c r="L110" i="5"/>
  <c r="S504" i="5"/>
  <c r="R504" i="5"/>
  <c r="Q504" i="5"/>
  <c r="N504" i="5" s="1"/>
  <c r="M504" i="5"/>
  <c r="L504" i="5"/>
  <c r="X504" i="5" s="1"/>
  <c r="S112" i="5"/>
  <c r="R112" i="5"/>
  <c r="Q112" i="5"/>
  <c r="P112" i="5" s="1"/>
  <c r="M112" i="5"/>
  <c r="L112" i="5"/>
  <c r="X112" i="5" s="1"/>
  <c r="S501" i="5"/>
  <c r="R501" i="5"/>
  <c r="Q501" i="5"/>
  <c r="P501" i="5" s="1"/>
  <c r="M501" i="5"/>
  <c r="L501" i="5"/>
  <c r="X501" i="5" s="1"/>
  <c r="S234" i="5"/>
  <c r="R234" i="5"/>
  <c r="Q234" i="5"/>
  <c r="M234" i="5"/>
  <c r="L234" i="5"/>
  <c r="X234" i="5" s="1"/>
  <c r="S503" i="5"/>
  <c r="R503" i="5"/>
  <c r="Q503" i="5"/>
  <c r="N503" i="5" s="1"/>
  <c r="M503" i="5"/>
  <c r="L503" i="5"/>
  <c r="X503" i="5" s="1"/>
  <c r="S212" i="5"/>
  <c r="R212" i="5"/>
  <c r="Q212" i="5"/>
  <c r="P212" i="5" s="1"/>
  <c r="M212" i="5"/>
  <c r="L212" i="5"/>
  <c r="X212" i="5" s="1"/>
  <c r="S498" i="5"/>
  <c r="R498" i="5"/>
  <c r="Q498" i="5"/>
  <c r="O498" i="5" s="1"/>
  <c r="M498" i="5"/>
  <c r="L498" i="5"/>
  <c r="S238" i="5"/>
  <c r="R238" i="5"/>
  <c r="Q238" i="5"/>
  <c r="N238" i="5" s="1"/>
  <c r="M238" i="5"/>
  <c r="L238" i="5"/>
  <c r="X238" i="5" s="1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S206" i="5"/>
  <c r="R206" i="5"/>
  <c r="Q206" i="5"/>
  <c r="N206" i="5" s="1"/>
  <c r="M206" i="5"/>
  <c r="L206" i="5"/>
  <c r="S214" i="5"/>
  <c r="R214" i="5"/>
  <c r="Q214" i="5"/>
  <c r="N214" i="5" s="1"/>
  <c r="M214" i="5"/>
  <c r="L214" i="5"/>
  <c r="S216" i="5"/>
  <c r="R216" i="5"/>
  <c r="Q216" i="5"/>
  <c r="P216" i="5" s="1"/>
  <c r="M216" i="5"/>
  <c r="L216" i="5"/>
  <c r="S82" i="5"/>
  <c r="R82" i="5"/>
  <c r="Q82" i="5"/>
  <c r="P82" i="5" s="1"/>
  <c r="M82" i="5"/>
  <c r="L82" i="5"/>
  <c r="X82" i="5" s="1"/>
  <c r="S506" i="5"/>
  <c r="R506" i="5"/>
  <c r="Q506" i="5"/>
  <c r="N506" i="5" s="1"/>
  <c r="M506" i="5"/>
  <c r="L506" i="5"/>
  <c r="X506" i="5" s="1"/>
  <c r="S14" i="5"/>
  <c r="R14" i="5"/>
  <c r="Q14" i="5"/>
  <c r="N14" i="5" s="1"/>
  <c r="M14" i="5"/>
  <c r="L14" i="5"/>
  <c r="S109" i="5"/>
  <c r="R109" i="5"/>
  <c r="Q109" i="5"/>
  <c r="P109" i="5" s="1"/>
  <c r="M109" i="5"/>
  <c r="L109" i="5"/>
  <c r="S79" i="5"/>
  <c r="R79" i="5"/>
  <c r="Q79" i="5"/>
  <c r="N79" i="5" s="1"/>
  <c r="M79" i="5"/>
  <c r="L79" i="5"/>
  <c r="S494" i="5"/>
  <c r="R494" i="5"/>
  <c r="Q494" i="5"/>
  <c r="N494" i="5" s="1"/>
  <c r="M494" i="5"/>
  <c r="L494" i="5"/>
  <c r="X494" i="5" s="1"/>
  <c r="S202" i="5"/>
  <c r="R202" i="5"/>
  <c r="Q202" i="5"/>
  <c r="N202" i="5" s="1"/>
  <c r="M202" i="5"/>
  <c r="L202" i="5"/>
  <c r="S90" i="5"/>
  <c r="R90" i="5"/>
  <c r="Q90" i="5"/>
  <c r="P90" i="5" s="1"/>
  <c r="M90" i="5"/>
  <c r="L90" i="5"/>
  <c r="S225" i="5"/>
  <c r="R225" i="5"/>
  <c r="Q225" i="5"/>
  <c r="N225" i="5" s="1"/>
  <c r="M225" i="5"/>
  <c r="L225" i="5"/>
  <c r="S240" i="5"/>
  <c r="R240" i="5"/>
  <c r="Q240" i="5"/>
  <c r="N240" i="5" s="1"/>
  <c r="M240" i="5"/>
  <c r="L240" i="5"/>
  <c r="X240" i="5" s="1"/>
  <c r="S223" i="5"/>
  <c r="R223" i="5"/>
  <c r="Q223" i="5"/>
  <c r="N223" i="5" s="1"/>
  <c r="M223" i="5"/>
  <c r="L223" i="5"/>
  <c r="S200" i="5"/>
  <c r="R200" i="5"/>
  <c r="Q200" i="5"/>
  <c r="P200" i="5" s="1"/>
  <c r="M200" i="5"/>
  <c r="L200" i="5"/>
  <c r="X200" i="5" s="1"/>
  <c r="S189" i="5"/>
  <c r="R189" i="5"/>
  <c r="Q189" i="5"/>
  <c r="N189" i="5" s="1"/>
  <c r="M189" i="5"/>
  <c r="L189" i="5"/>
  <c r="S76" i="5"/>
  <c r="R76" i="5"/>
  <c r="Q76" i="5"/>
  <c r="N76" i="5" s="1"/>
  <c r="M76" i="5"/>
  <c r="L76" i="5"/>
  <c r="S242" i="5"/>
  <c r="R242" i="5"/>
  <c r="Q242" i="5"/>
  <c r="N242" i="5" s="1"/>
  <c r="M242" i="5"/>
  <c r="L242" i="5"/>
  <c r="S25" i="5"/>
  <c r="R25" i="5"/>
  <c r="Q25" i="5"/>
  <c r="P25" i="5" s="1"/>
  <c r="M25" i="5"/>
  <c r="L25" i="5"/>
  <c r="X25" i="5" s="1"/>
  <c r="S167" i="5"/>
  <c r="R167" i="5"/>
  <c r="Q167" i="5"/>
  <c r="O167" i="5" s="1"/>
  <c r="M167" i="5"/>
  <c r="L167" i="5"/>
  <c r="X167" i="5" s="1"/>
  <c r="S171" i="5"/>
  <c r="R171" i="5"/>
  <c r="Q171" i="5"/>
  <c r="N171" i="5" s="1"/>
  <c r="M171" i="5"/>
  <c r="L171" i="5"/>
  <c r="S9" i="5"/>
  <c r="R9" i="5"/>
  <c r="Q9" i="5"/>
  <c r="N9" i="5" s="1"/>
  <c r="M9" i="5"/>
  <c r="L9" i="5"/>
  <c r="X9" i="5" s="1"/>
  <c r="S148" i="5"/>
  <c r="R148" i="5"/>
  <c r="Q148" i="5"/>
  <c r="P148" i="5" s="1"/>
  <c r="M148" i="5"/>
  <c r="L148" i="5"/>
  <c r="S220" i="5"/>
  <c r="R220" i="5"/>
  <c r="Q220" i="5"/>
  <c r="N220" i="5" s="1"/>
  <c r="M220" i="5"/>
  <c r="L220" i="5"/>
  <c r="S16" i="5"/>
  <c r="R16" i="5"/>
  <c r="Q16" i="5"/>
  <c r="N16" i="5" s="1"/>
  <c r="M16" i="5"/>
  <c r="L16" i="5"/>
  <c r="S154" i="5"/>
  <c r="R154" i="5"/>
  <c r="Q154" i="5"/>
  <c r="N154" i="5" s="1"/>
  <c r="M154" i="5"/>
  <c r="L154" i="5"/>
  <c r="S10" i="5"/>
  <c r="R10" i="5"/>
  <c r="Q10" i="5"/>
  <c r="P10" i="5" s="1"/>
  <c r="M10" i="5"/>
  <c r="L10" i="5"/>
  <c r="X10" i="5" s="1"/>
  <c r="S159" i="5"/>
  <c r="R159" i="5"/>
  <c r="Q159" i="5"/>
  <c r="O159" i="5" s="1"/>
  <c r="M159" i="5"/>
  <c r="L159" i="5"/>
  <c r="S196" i="5"/>
  <c r="R196" i="5"/>
  <c r="Q196" i="5"/>
  <c r="N196" i="5" s="1"/>
  <c r="M196" i="5"/>
  <c r="L196" i="5"/>
  <c r="S89" i="5"/>
  <c r="R89" i="5"/>
  <c r="Q89" i="5"/>
  <c r="N89" i="5" s="1"/>
  <c r="M89" i="5"/>
  <c r="L89" i="5"/>
  <c r="S192" i="5"/>
  <c r="R192" i="5"/>
  <c r="Q192" i="5"/>
  <c r="P192" i="5" s="1"/>
  <c r="M192" i="5"/>
  <c r="L192" i="5"/>
  <c r="X192" i="5" s="1"/>
  <c r="S175" i="5"/>
  <c r="R175" i="5"/>
  <c r="Q175" i="5"/>
  <c r="N175" i="5" s="1"/>
  <c r="M175" i="5"/>
  <c r="L175" i="5"/>
  <c r="S165" i="5"/>
  <c r="R165" i="5"/>
  <c r="Q165" i="5"/>
  <c r="N165" i="5" s="1"/>
  <c r="M165" i="5"/>
  <c r="L165" i="5"/>
  <c r="S177" i="5"/>
  <c r="R177" i="5"/>
  <c r="Q177" i="5"/>
  <c r="N177" i="5" s="1"/>
  <c r="M177" i="5"/>
  <c r="L177" i="5"/>
  <c r="R169" i="5"/>
  <c r="M169" i="5"/>
  <c r="L169" i="5"/>
  <c r="AO481" i="3"/>
  <c r="AO466" i="3"/>
  <c r="AI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L344" i="3" l="1"/>
  <c r="L68" i="3"/>
  <c r="L148" i="3"/>
  <c r="L280" i="3"/>
  <c r="L224" i="3"/>
  <c r="G40" i="10"/>
  <c r="G31" i="10"/>
  <c r="X169" i="5"/>
  <c r="W169" i="5"/>
  <c r="V169" i="5"/>
  <c r="U169" i="5"/>
  <c r="T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A42" i="3"/>
  <c r="Q42" i="3"/>
  <c r="A53" i="3"/>
  <c r="Q53" i="3"/>
  <c r="A61" i="3"/>
  <c r="Q61" i="3"/>
  <c r="A36" i="3"/>
  <c r="Q36" i="3"/>
  <c r="A32" i="3"/>
  <c r="Q32" i="3"/>
  <c r="A43" i="3"/>
  <c r="Q43" i="3"/>
  <c r="A62" i="3"/>
  <c r="Q62" i="3"/>
  <c r="A58" i="3"/>
  <c r="Q58" i="3"/>
  <c r="A17" i="3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O6" i="3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F21" i="3"/>
  <c r="F22" i="3"/>
  <c r="D22" i="3"/>
  <c r="E22" i="3" s="1"/>
  <c r="D17" i="3"/>
  <c r="F17" i="3"/>
  <c r="G653" i="10"/>
  <c r="G484" i="10"/>
  <c r="G155" i="10"/>
  <c r="G274" i="10"/>
  <c r="G350" i="10"/>
  <c r="G330" i="10"/>
  <c r="G307" i="10"/>
  <c r="G282" i="10"/>
  <c r="G246" i="10"/>
  <c r="G413" i="10"/>
  <c r="G430" i="10"/>
  <c r="G258" i="10"/>
  <c r="G465" i="10"/>
  <c r="G456" i="10"/>
  <c r="G460" i="10"/>
  <c r="G334" i="10"/>
  <c r="G439" i="10"/>
  <c r="G306" i="10"/>
  <c r="G360" i="10"/>
  <c r="G428" i="10"/>
  <c r="G397" i="10"/>
  <c r="G421" i="10"/>
  <c r="G680" i="10"/>
  <c r="G817" i="10"/>
  <c r="G766" i="10"/>
  <c r="G694" i="10"/>
  <c r="G672" i="10"/>
  <c r="G807" i="10"/>
  <c r="G709" i="10"/>
  <c r="G675" i="10"/>
  <c r="G855" i="10"/>
  <c r="G748" i="10"/>
  <c r="G668" i="10"/>
  <c r="G136" i="10"/>
  <c r="G19" i="10"/>
  <c r="G20" i="10"/>
  <c r="G99" i="10"/>
  <c r="G822" i="10"/>
  <c r="G797" i="10"/>
  <c r="G865" i="10"/>
  <c r="G52" i="10"/>
  <c r="G178" i="10"/>
  <c r="G733" i="10"/>
  <c r="G175" i="10"/>
  <c r="G168" i="10"/>
  <c r="G677" i="10"/>
  <c r="G785" i="10"/>
  <c r="G186" i="10"/>
  <c r="G690" i="10"/>
  <c r="G757" i="10"/>
  <c r="G821" i="10"/>
  <c r="G667" i="10"/>
  <c r="G727" i="10"/>
  <c r="G488" i="10"/>
  <c r="G554" i="10"/>
  <c r="G525" i="10"/>
  <c r="G491" i="10"/>
  <c r="G619" i="10"/>
  <c r="G577" i="10"/>
  <c r="G657" i="10"/>
  <c r="G571" i="10"/>
  <c r="G560" i="10"/>
  <c r="G534" i="10"/>
  <c r="G615" i="10"/>
  <c r="G519" i="10"/>
  <c r="G611" i="10"/>
  <c r="G654" i="10"/>
  <c r="G592" i="10"/>
  <c r="G551" i="10"/>
  <c r="G561" i="10"/>
  <c r="G499" i="10"/>
  <c r="G862" i="10"/>
  <c r="G126" i="10"/>
  <c r="G209" i="10"/>
  <c r="G50" i="10"/>
  <c r="G129" i="10"/>
  <c r="G132" i="10"/>
  <c r="G42" i="10"/>
  <c r="G125" i="10"/>
  <c r="G157" i="10"/>
  <c r="G264" i="10"/>
  <c r="G290" i="10"/>
  <c r="G268" i="10"/>
  <c r="G310" i="10"/>
  <c r="G240" i="10"/>
  <c r="G250" i="10"/>
  <c r="G319" i="10"/>
  <c r="G244" i="10"/>
  <c r="G408" i="10"/>
  <c r="G293" i="10"/>
  <c r="G463" i="10"/>
  <c r="G450" i="10"/>
  <c r="G349" i="10"/>
  <c r="G375" i="10"/>
  <c r="G420" i="10"/>
  <c r="G292" i="10"/>
  <c r="G326" i="10"/>
  <c r="G404" i="10"/>
  <c r="G284" i="10"/>
  <c r="G395" i="10"/>
  <c r="G717" i="10"/>
  <c r="G784" i="10"/>
  <c r="G832" i="10"/>
  <c r="G800" i="10"/>
  <c r="G741" i="10"/>
  <c r="G670" i="10"/>
  <c r="G743" i="10"/>
  <c r="G712" i="10"/>
  <c r="G859" i="10"/>
  <c r="G782" i="10"/>
  <c r="G700" i="10"/>
  <c r="G135" i="10"/>
  <c r="G32" i="10"/>
  <c r="G33" i="10"/>
  <c r="G120" i="10"/>
  <c r="G205" i="10"/>
  <c r="G689" i="10"/>
  <c r="G664" i="10"/>
  <c r="G857" i="10"/>
  <c r="G723" i="10"/>
  <c r="G769" i="10"/>
  <c r="G174" i="10"/>
  <c r="G171" i="10"/>
  <c r="G714" i="10"/>
  <c r="G818" i="10"/>
  <c r="G198" i="10"/>
  <c r="G688" i="10"/>
  <c r="G791" i="10"/>
  <c r="G173" i="10"/>
  <c r="G734" i="10"/>
  <c r="G763" i="10"/>
  <c r="G568" i="10"/>
  <c r="G600" i="10"/>
  <c r="G586" i="10"/>
  <c r="G501" i="10"/>
  <c r="G494" i="10"/>
  <c r="G655" i="10"/>
  <c r="G597" i="10"/>
  <c r="G594" i="10"/>
  <c r="G589" i="10"/>
  <c r="G631" i="10"/>
  <c r="G622" i="10"/>
  <c r="G569" i="10"/>
  <c r="G542" i="10"/>
  <c r="G575" i="10"/>
  <c r="G598" i="10"/>
  <c r="G566" i="10"/>
  <c r="G485" i="10"/>
  <c r="G643" i="10"/>
  <c r="G564" i="10"/>
  <c r="G550" i="10"/>
  <c r="G477" i="10"/>
  <c r="G540" i="10"/>
  <c r="G768" i="10"/>
  <c r="G127" i="10"/>
  <c r="G206" i="10"/>
  <c r="G156" i="10"/>
  <c r="G140" i="10"/>
  <c r="G56" i="10"/>
  <c r="G35" i="10"/>
  <c r="G63" i="10"/>
  <c r="G215" i="10"/>
  <c r="G254" i="10"/>
  <c r="G446" i="10"/>
  <c r="G367" i="10"/>
  <c r="G308" i="10"/>
  <c r="G280" i="10"/>
  <c r="G273" i="10"/>
  <c r="G435" i="10"/>
  <c r="G245" i="10"/>
  <c r="G324" i="10"/>
  <c r="G459" i="10"/>
  <c r="G469" i="10"/>
  <c r="G338" i="10"/>
  <c r="G354" i="10"/>
  <c r="G373" i="10"/>
  <c r="G426" i="10"/>
  <c r="G289" i="10"/>
  <c r="G243" i="10"/>
  <c r="G402" i="10"/>
  <c r="G359" i="10"/>
  <c r="G358" i="10"/>
  <c r="G786" i="10"/>
  <c r="G684" i="10"/>
  <c r="G799" i="10"/>
  <c r="G123" i="10"/>
  <c r="G776" i="10"/>
  <c r="G707" i="10"/>
  <c r="G740" i="10"/>
  <c r="G745" i="10"/>
  <c r="G846" i="10"/>
  <c r="G233" i="10"/>
  <c r="G662" i="10"/>
  <c r="G26" i="10"/>
  <c r="G29" i="10"/>
  <c r="G666" i="10"/>
  <c r="G103" i="10"/>
  <c r="G196" i="10"/>
  <c r="G726" i="10"/>
  <c r="G702" i="10"/>
  <c r="G853" i="10"/>
  <c r="G758" i="10"/>
  <c r="G835" i="10"/>
  <c r="G159" i="10"/>
  <c r="G167" i="10"/>
  <c r="G749" i="10"/>
  <c r="G746" i="10"/>
  <c r="G194" i="10"/>
  <c r="G725" i="10"/>
  <c r="G824" i="10"/>
  <c r="G674" i="10"/>
  <c r="G697" i="10"/>
  <c r="G829" i="10"/>
  <c r="G567" i="10"/>
  <c r="G651" i="10"/>
  <c r="G585" i="10"/>
  <c r="G502" i="10"/>
  <c r="G487" i="10"/>
  <c r="G520" i="10"/>
  <c r="G648" i="10"/>
  <c r="G645" i="10"/>
  <c r="G640" i="10"/>
  <c r="G630" i="10"/>
  <c r="G624" i="10"/>
  <c r="G481" i="10"/>
  <c r="G570" i="10"/>
  <c r="G546" i="10"/>
  <c r="G574" i="10"/>
  <c r="G602" i="10"/>
  <c r="G649" i="10"/>
  <c r="G596" i="10"/>
  <c r="G565" i="10"/>
  <c r="G609" i="10"/>
  <c r="G607" i="10"/>
  <c r="G563" i="10"/>
  <c r="G492" i="10"/>
  <c r="G603" i="10"/>
  <c r="G490" i="10"/>
  <c r="G732" i="10"/>
  <c r="G142" i="10"/>
  <c r="G45" i="10"/>
  <c r="G228" i="10"/>
  <c r="G131" i="10"/>
  <c r="G57" i="10"/>
  <c r="G36" i="10"/>
  <c r="G62" i="10"/>
  <c r="G837" i="10"/>
  <c r="G262" i="10"/>
  <c r="G442" i="10"/>
  <c r="G438" i="10"/>
  <c r="G361" i="10"/>
  <c r="G296" i="10"/>
  <c r="G277" i="10"/>
  <c r="G313" i="10"/>
  <c r="G304" i="10"/>
  <c r="G281" i="10"/>
  <c r="G462" i="10"/>
  <c r="G457" i="10"/>
  <c r="G336" i="10"/>
  <c r="G387" i="10"/>
  <c r="G369" i="10"/>
  <c r="G401" i="10"/>
  <c r="G433" i="10"/>
  <c r="G294" i="10"/>
  <c r="G317" i="10"/>
  <c r="G238" i="10"/>
  <c r="G236" i="10"/>
  <c r="G819" i="10"/>
  <c r="G721" i="10"/>
  <c r="G695" i="10"/>
  <c r="G687" i="10"/>
  <c r="G810" i="10"/>
  <c r="G739" i="10"/>
  <c r="G775" i="10"/>
  <c r="G780" i="10"/>
  <c r="G851" i="10"/>
  <c r="G97" i="10"/>
  <c r="G771" i="10"/>
  <c r="G22" i="10"/>
  <c r="G25" i="10"/>
  <c r="G704" i="10"/>
  <c r="G104" i="10"/>
  <c r="G192" i="10"/>
  <c r="G761" i="10"/>
  <c r="G864" i="10"/>
  <c r="G681" i="10"/>
  <c r="G825" i="10"/>
  <c r="G802" i="10"/>
  <c r="G160" i="10"/>
  <c r="G169" i="10"/>
  <c r="G783" i="10"/>
  <c r="G814" i="10"/>
  <c r="G188" i="10"/>
  <c r="G760" i="10"/>
  <c r="G863" i="10"/>
  <c r="G711" i="10"/>
  <c r="G770" i="10"/>
  <c r="G796" i="10"/>
  <c r="G614" i="10"/>
  <c r="G532" i="10"/>
  <c r="G584" i="10"/>
  <c r="G533" i="10"/>
  <c r="G578" i="10"/>
  <c r="G521" i="10"/>
  <c r="G513" i="10"/>
  <c r="G527" i="10"/>
  <c r="G483" i="10"/>
  <c r="G629" i="10"/>
  <c r="G620" i="10"/>
  <c r="G637" i="10"/>
  <c r="G558" i="10"/>
  <c r="G576" i="10"/>
  <c r="G572" i="10"/>
  <c r="G636" i="10"/>
  <c r="G514" i="10"/>
  <c r="G647" i="10"/>
  <c r="G553" i="10"/>
  <c r="G604" i="10"/>
  <c r="G493" i="10"/>
  <c r="G489" i="10"/>
  <c r="G839" i="10"/>
  <c r="G146" i="10"/>
  <c r="G44" i="10"/>
  <c r="G208" i="10"/>
  <c r="G133" i="10"/>
  <c r="G59" i="10"/>
  <c r="G38" i="10"/>
  <c r="G212" i="10"/>
  <c r="G164" i="10"/>
  <c r="G342" i="10"/>
  <c r="G260" i="10"/>
  <c r="G419" i="10"/>
  <c r="G393" i="10"/>
  <c r="G320" i="10"/>
  <c r="G241" i="10"/>
  <c r="G314" i="10"/>
  <c r="G302" i="10"/>
  <c r="G300" i="10"/>
  <c r="G451" i="10"/>
  <c r="G473" i="10"/>
  <c r="G471" i="10"/>
  <c r="G385" i="10"/>
  <c r="G380" i="10"/>
  <c r="G242" i="10"/>
  <c r="G411" i="10"/>
  <c r="G239" i="10"/>
  <c r="G298" i="10"/>
  <c r="G275" i="10"/>
  <c r="G283" i="10"/>
  <c r="G150" i="10"/>
  <c r="G756" i="10"/>
  <c r="G693" i="10"/>
  <c r="G724" i="10"/>
  <c r="G669" i="10"/>
  <c r="G774" i="10"/>
  <c r="G671" i="10"/>
  <c r="G813" i="10"/>
  <c r="G849" i="10"/>
  <c r="G762" i="10"/>
  <c r="G804" i="10"/>
  <c r="G18" i="10"/>
  <c r="G21" i="10"/>
  <c r="G737" i="10"/>
  <c r="G683" i="10"/>
  <c r="G691" i="10"/>
  <c r="G795" i="10"/>
  <c r="G54" i="10"/>
  <c r="G718" i="10"/>
  <c r="G686" i="10"/>
  <c r="G665" i="10"/>
  <c r="G161" i="10"/>
  <c r="G170" i="10"/>
  <c r="G816" i="10"/>
  <c r="G447" i="10"/>
  <c r="G200" i="10"/>
  <c r="G794" i="10"/>
  <c r="G682" i="10"/>
  <c r="G744" i="10"/>
  <c r="G803" i="10"/>
  <c r="G225" i="10"/>
  <c r="G531" i="10"/>
  <c r="G526" i="10"/>
  <c r="G498" i="10"/>
  <c r="G628" i="10"/>
  <c r="G539" i="10"/>
  <c r="G512" i="10"/>
  <c r="G497" i="10"/>
  <c r="G506" i="10"/>
  <c r="G632" i="10"/>
  <c r="G659" i="10"/>
  <c r="G536" i="10"/>
  <c r="G559" i="10"/>
  <c r="G583" i="10"/>
  <c r="G579" i="10"/>
  <c r="G606" i="10"/>
  <c r="G515" i="10"/>
  <c r="G522" i="10"/>
  <c r="G552" i="10"/>
  <c r="G593" i="10"/>
  <c r="G591" i="10"/>
  <c r="G658" i="10"/>
  <c r="G587" i="10"/>
  <c r="G504" i="10"/>
  <c r="G736" i="10"/>
  <c r="G230" i="10"/>
  <c r="G46" i="10"/>
  <c r="G137" i="10"/>
  <c r="G138" i="10"/>
  <c r="G214" i="10"/>
  <c r="G43" i="10"/>
  <c r="G231" i="10"/>
  <c r="G229" i="10"/>
  <c r="G256" i="10"/>
  <c r="G444" i="10"/>
  <c r="G436" i="10"/>
  <c r="G391" i="10"/>
  <c r="G286" i="10"/>
  <c r="G266" i="10"/>
  <c r="G341" i="10"/>
  <c r="G247" i="10"/>
  <c r="G325" i="10"/>
  <c r="G454" i="10"/>
  <c r="G382" i="10"/>
  <c r="G368" i="10"/>
  <c r="G383" i="10"/>
  <c r="G371" i="10"/>
  <c r="G312" i="10"/>
  <c r="G315" i="10"/>
  <c r="G278" i="10"/>
  <c r="G365" i="10"/>
  <c r="G237" i="10"/>
  <c r="G343" i="10"/>
  <c r="G678" i="10"/>
  <c r="G790" i="10"/>
  <c r="G731" i="10"/>
  <c r="G759" i="10"/>
  <c r="G706" i="10"/>
  <c r="G808" i="10"/>
  <c r="G708" i="10"/>
  <c r="G841" i="10"/>
  <c r="G844" i="10"/>
  <c r="G100" i="10"/>
  <c r="G735" i="10"/>
  <c r="G30" i="10"/>
  <c r="G34" i="10"/>
  <c r="G806" i="10"/>
  <c r="G720" i="10"/>
  <c r="G728" i="10"/>
  <c r="G828" i="10"/>
  <c r="G696" i="10"/>
  <c r="G753" i="10"/>
  <c r="G792" i="10"/>
  <c r="G703" i="10"/>
  <c r="G162" i="10"/>
  <c r="G166" i="10"/>
  <c r="G679" i="10"/>
  <c r="G443" i="10"/>
  <c r="G663" i="10"/>
  <c r="G827" i="10"/>
  <c r="G719" i="10"/>
  <c r="G779" i="10"/>
  <c r="G836" i="10"/>
  <c r="G486" i="10"/>
  <c r="G601" i="10"/>
  <c r="G518" i="10"/>
  <c r="G516" i="10"/>
  <c r="G479" i="10"/>
  <c r="G599" i="10"/>
  <c r="G538" i="10"/>
  <c r="G537" i="10"/>
  <c r="G528" i="10"/>
  <c r="G626" i="10"/>
  <c r="G625" i="10"/>
  <c r="G618" i="10"/>
  <c r="G535" i="10"/>
  <c r="G556" i="10"/>
  <c r="G582" i="10"/>
  <c r="G573" i="10"/>
  <c r="G505" i="10"/>
  <c r="G508" i="10"/>
  <c r="G529" i="10"/>
  <c r="G644" i="10"/>
  <c r="G642" i="10"/>
  <c r="G588" i="10"/>
  <c r="G616" i="10"/>
  <c r="G638" i="10"/>
  <c r="G51" i="10"/>
  <c r="G805" i="10"/>
  <c r="G61" i="10"/>
  <c r="G49" i="10"/>
  <c r="G219" i="10"/>
  <c r="G130" i="10"/>
  <c r="G37" i="10"/>
  <c r="G232" i="10"/>
  <c r="G153" i="10"/>
  <c r="G838" i="10"/>
  <c r="G432" i="10"/>
  <c r="G287" i="10"/>
  <c r="G424" i="10"/>
  <c r="G347" i="10"/>
  <c r="G429" i="10"/>
  <c r="G715" i="10"/>
  <c r="G738" i="10"/>
  <c r="G845" i="10"/>
  <c r="G28" i="10"/>
  <c r="G752" i="10"/>
  <c r="G866" i="10"/>
  <c r="G190" i="10"/>
  <c r="G812" i="10"/>
  <c r="G517" i="10"/>
  <c r="G480" i="10"/>
  <c r="G634" i="10"/>
  <c r="G581" i="10"/>
  <c r="G595" i="10"/>
  <c r="G639" i="10"/>
  <c r="G772" i="10"/>
  <c r="G139" i="10"/>
  <c r="G217" i="10"/>
  <c r="G111" i="10"/>
  <c r="G216" i="10"/>
  <c r="G235" i="10"/>
  <c r="G73" i="10"/>
  <c r="G68" i="10"/>
  <c r="G89" i="10"/>
  <c r="G115" i="10"/>
  <c r="G765" i="10"/>
  <c r="G183" i="10"/>
  <c r="G203" i="10"/>
  <c r="G13" i="10"/>
  <c r="G82" i="10"/>
  <c r="G303" i="10"/>
  <c r="G7" i="10"/>
  <c r="G357" i="10"/>
  <c r="G392" i="10"/>
  <c r="G253" i="10"/>
  <c r="G259" i="10"/>
  <c r="G474" i="10"/>
  <c r="G388" i="10"/>
  <c r="G381" i="10"/>
  <c r="G403" i="10"/>
  <c r="G291" i="10"/>
  <c r="G847" i="10"/>
  <c r="G147" i="10"/>
  <c r="G252" i="10"/>
  <c r="G809" i="10"/>
  <c r="G685" i="10"/>
  <c r="G633" i="10"/>
  <c r="G48" i="10"/>
  <c r="G145" i="10"/>
  <c r="G91" i="10"/>
  <c r="G185" i="10"/>
  <c r="G261" i="10"/>
  <c r="G409" i="10"/>
  <c r="G327" i="10"/>
  <c r="G854" i="10"/>
  <c r="G410" i="10"/>
  <c r="G332" i="10"/>
  <c r="G399" i="10"/>
  <c r="G475" i="10"/>
  <c r="G406" i="10"/>
  <c r="G750" i="10"/>
  <c r="G773" i="10"/>
  <c r="G843" i="10"/>
  <c r="G24" i="10"/>
  <c r="G148" i="10"/>
  <c r="G861" i="10"/>
  <c r="G184" i="10"/>
  <c r="G705" i="10"/>
  <c r="G555" i="10"/>
  <c r="G612" i="10"/>
  <c r="G580" i="10"/>
  <c r="G635" i="10"/>
  <c r="G646" i="10"/>
  <c r="G500" i="10"/>
  <c r="G122" i="10"/>
  <c r="G204" i="10"/>
  <c r="G211" i="10"/>
  <c r="G112" i="10"/>
  <c r="G227" i="10"/>
  <c r="G141" i="10"/>
  <c r="G75" i="10"/>
  <c r="G69" i="10"/>
  <c r="G90" i="10"/>
  <c r="G118" i="10"/>
  <c r="G831" i="10"/>
  <c r="G180" i="10"/>
  <c r="G181" i="10"/>
  <c r="G9" i="10"/>
  <c r="G84" i="10"/>
  <c r="G265" i="10"/>
  <c r="G3" i="10"/>
  <c r="G351" i="10"/>
  <c r="G390" i="10"/>
  <c r="G414" i="10"/>
  <c r="G452" i="10"/>
  <c r="G339" i="10"/>
  <c r="G386" i="10"/>
  <c r="G335" i="10"/>
  <c r="G318" i="10"/>
  <c r="G344" i="10"/>
  <c r="G852" i="10"/>
  <c r="G377" i="10"/>
  <c r="G134" i="10"/>
  <c r="G176" i="10"/>
  <c r="G249" i="10"/>
  <c r="G608" i="10"/>
  <c r="G95" i="10"/>
  <c r="G71" i="10"/>
  <c r="G778" i="10"/>
  <c r="G6" i="10"/>
  <c r="G476" i="10"/>
  <c r="G440" i="10"/>
  <c r="G379" i="10"/>
  <c r="G448" i="10"/>
  <c r="G352" i="10"/>
  <c r="G427" i="10"/>
  <c r="G823" i="10"/>
  <c r="G742" i="10"/>
  <c r="G661" i="10"/>
  <c r="G154" i="10"/>
  <c r="G55" i="10"/>
  <c r="G165" i="10"/>
  <c r="G701" i="10"/>
  <c r="G660" i="10"/>
  <c r="G496" i="10"/>
  <c r="G541" i="10"/>
  <c r="G545" i="10"/>
  <c r="G507" i="10"/>
  <c r="G656" i="10"/>
  <c r="G60" i="10"/>
  <c r="G39" i="10"/>
  <c r="G94" i="10"/>
  <c r="G114" i="10"/>
  <c r="G222" i="10"/>
  <c r="G221" i="10"/>
  <c r="G79" i="10"/>
  <c r="G70" i="10"/>
  <c r="G92" i="10"/>
  <c r="G676" i="10"/>
  <c r="G798" i="10"/>
  <c r="G182" i="10"/>
  <c r="G811" i="10"/>
  <c r="G5" i="10"/>
  <c r="G85" i="10"/>
  <c r="G263" i="10"/>
  <c r="G15" i="10"/>
  <c r="G269" i="10"/>
  <c r="G323" i="10"/>
  <c r="G346" i="10"/>
  <c r="G455" i="10"/>
  <c r="G337" i="10"/>
  <c r="G384" i="10"/>
  <c r="G412" i="10"/>
  <c r="G299" i="10"/>
  <c r="G272" i="10"/>
  <c r="G850" i="10"/>
  <c r="G415" i="10"/>
  <c r="G364" i="10"/>
  <c r="G787" i="10"/>
  <c r="G547" i="10"/>
  <c r="G590" i="10"/>
  <c r="G220" i="10"/>
  <c r="G234" i="10"/>
  <c r="G197" i="10"/>
  <c r="G80" i="10"/>
  <c r="G321" i="10"/>
  <c r="G353" i="10"/>
  <c r="G151" i="10"/>
  <c r="G356" i="10"/>
  <c r="G416" i="10"/>
  <c r="G467" i="10"/>
  <c r="G328" i="10"/>
  <c r="G423" i="10"/>
  <c r="G730" i="10"/>
  <c r="G777" i="10"/>
  <c r="G699" i="10"/>
  <c r="G109" i="10"/>
  <c r="G53" i="10"/>
  <c r="G172" i="10"/>
  <c r="G202" i="10"/>
  <c r="G698" i="10"/>
  <c r="G509" i="10"/>
  <c r="G610" i="10"/>
  <c r="G617" i="10"/>
  <c r="G530" i="10"/>
  <c r="G495" i="10"/>
  <c r="G562" i="10"/>
  <c r="G207" i="10"/>
  <c r="G41" i="10"/>
  <c r="G93" i="10"/>
  <c r="G110" i="10"/>
  <c r="G224" i="10"/>
  <c r="G124" i="10"/>
  <c r="G77" i="10"/>
  <c r="G67" i="10"/>
  <c r="G88" i="10"/>
  <c r="G713" i="10"/>
  <c r="G692" i="10"/>
  <c r="G193" i="10"/>
  <c r="G710" i="10"/>
  <c r="G17" i="10"/>
  <c r="G86" i="10"/>
  <c r="G257" i="10"/>
  <c r="G10" i="10"/>
  <c r="G437" i="10"/>
  <c r="G297" i="10"/>
  <c r="G431" i="10"/>
  <c r="G449" i="10"/>
  <c r="G329" i="10"/>
  <c r="G348" i="10"/>
  <c r="G316" i="10"/>
  <c r="G398" i="10"/>
  <c r="G149" i="10"/>
  <c r="G858" i="10"/>
  <c r="G417" i="10"/>
  <c r="G767" i="10"/>
  <c r="G755" i="10"/>
  <c r="G511" i="10"/>
  <c r="G549" i="10"/>
  <c r="G113" i="10"/>
  <c r="G78" i="10"/>
  <c r="G747" i="10"/>
  <c r="G12" i="10"/>
  <c r="G418" i="10"/>
  <c r="G468" i="10"/>
  <c r="G285" i="10"/>
  <c r="G389" i="10"/>
  <c r="G340" i="10"/>
  <c r="G362" i="10"/>
  <c r="G295" i="10"/>
  <c r="G271" i="10"/>
  <c r="G793" i="10"/>
  <c r="G848" i="10"/>
  <c r="G27" i="10"/>
  <c r="G764" i="10"/>
  <c r="G177" i="10"/>
  <c r="G716" i="10"/>
  <c r="G754" i="10"/>
  <c r="G652" i="10"/>
  <c r="G650" i="10"/>
  <c r="G623" i="10"/>
  <c r="G557" i="10"/>
  <c r="G503" i="10"/>
  <c r="G523" i="10"/>
  <c r="G801" i="10"/>
  <c r="G218" i="10"/>
  <c r="G152" i="10"/>
  <c r="G102" i="10"/>
  <c r="G210" i="10"/>
  <c r="G840" i="10"/>
  <c r="G76" i="10"/>
  <c r="G65" i="10"/>
  <c r="G107" i="10"/>
  <c r="G117" i="10"/>
  <c r="G815" i="10"/>
  <c r="G189" i="10"/>
  <c r="G191" i="10"/>
  <c r="G445" i="10"/>
  <c r="G4" i="10"/>
  <c r="G83" i="10"/>
  <c r="G98" i="10"/>
  <c r="G14" i="10"/>
  <c r="G309" i="10"/>
  <c r="G251" i="10"/>
  <c r="G425" i="10"/>
  <c r="G464" i="10"/>
  <c r="G461" i="10"/>
  <c r="G374" i="10"/>
  <c r="G407" i="10"/>
  <c r="G422" i="10"/>
  <c r="G860" i="10"/>
  <c r="G378" i="10"/>
  <c r="G322" i="10"/>
  <c r="G345" i="10"/>
  <c r="G363" i="10"/>
  <c r="G366" i="10"/>
  <c r="G270" i="10"/>
  <c r="G826" i="10"/>
  <c r="G842" i="10"/>
  <c r="G23" i="10"/>
  <c r="G830" i="10"/>
  <c r="G179" i="10"/>
  <c r="G751" i="10"/>
  <c r="G788" i="10"/>
  <c r="G331" i="10"/>
  <c r="G789" i="10"/>
  <c r="G605" i="10"/>
  <c r="G548" i="10"/>
  <c r="G226" i="10"/>
  <c r="G106" i="10"/>
  <c r="G187" i="10"/>
  <c r="G108" i="10"/>
  <c r="G301" i="10"/>
  <c r="G279" i="10"/>
  <c r="G213" i="10"/>
  <c r="G613" i="10"/>
  <c r="G16" i="10"/>
  <c r="G434" i="10"/>
  <c r="G820" i="10"/>
  <c r="G621" i="10"/>
  <c r="G834" i="10"/>
  <c r="G128" i="10"/>
  <c r="G105" i="10"/>
  <c r="G199" i="10"/>
  <c r="G11" i="10"/>
  <c r="G400" i="10"/>
  <c r="G405" i="10"/>
  <c r="G641" i="10"/>
  <c r="G8" i="10"/>
  <c r="G372" i="10"/>
  <c r="G482" i="10"/>
  <c r="G729" i="10"/>
  <c r="G355" i="10"/>
  <c r="G453" i="10"/>
  <c r="G163" i="10"/>
  <c r="G544" i="10"/>
  <c r="G47" i="10"/>
  <c r="G144" i="10"/>
  <c r="G116" i="10"/>
  <c r="G673" i="10"/>
  <c r="G2" i="10"/>
  <c r="G466" i="10"/>
  <c r="G276" i="10"/>
  <c r="G543" i="10"/>
  <c r="G781" i="10"/>
  <c r="G311" i="10"/>
  <c r="G833" i="10"/>
  <c r="G72" i="10"/>
  <c r="G856" i="10"/>
  <c r="G143" i="10"/>
  <c r="G305" i="10"/>
  <c r="G722" i="10"/>
  <c r="G627" i="10"/>
  <c r="G223" i="10"/>
  <c r="G121" i="10"/>
  <c r="G119" i="10"/>
  <c r="G441" i="10"/>
  <c r="G255" i="10"/>
  <c r="G470" i="10"/>
  <c r="G396" i="10"/>
  <c r="G248" i="10"/>
  <c r="G74" i="10"/>
  <c r="G472" i="10"/>
  <c r="G158" i="10"/>
  <c r="G394" i="10"/>
  <c r="G288" i="10"/>
  <c r="G478" i="10"/>
  <c r="G96" i="10"/>
  <c r="G64" i="10"/>
  <c r="G195" i="10"/>
  <c r="G81" i="10"/>
  <c r="G333" i="10"/>
  <c r="G376" i="10"/>
  <c r="G458" i="10"/>
  <c r="G58" i="10"/>
  <c r="G524" i="10"/>
  <c r="G510" i="10"/>
  <c r="G101" i="10"/>
  <c r="G66" i="10"/>
  <c r="G201" i="10"/>
  <c r="G87" i="10"/>
  <c r="G267" i="10"/>
  <c r="G370" i="10"/>
  <c r="AC465" i="3"/>
  <c r="M361" i="3"/>
  <c r="AJ455" i="3"/>
  <c r="S362" i="3"/>
  <c r="F249" i="3"/>
  <c r="F104" i="3"/>
  <c r="F241" i="3"/>
  <c r="E284" i="3"/>
  <c r="F175" i="3"/>
  <c r="E184" i="3"/>
  <c r="E193" i="3" s="1"/>
  <c r="F376" i="3"/>
  <c r="F162" i="3"/>
  <c r="F184" i="3"/>
  <c r="F303" i="3"/>
  <c r="F308" i="3" s="1"/>
  <c r="F313" i="3" s="1"/>
  <c r="E348" i="3" s="1"/>
  <c r="Z465" i="3"/>
  <c r="F152" i="3"/>
  <c r="F228" i="3"/>
  <c r="F96" i="3"/>
  <c r="E96" i="3" s="1"/>
  <c r="F178" i="3"/>
  <c r="E249" i="3"/>
  <c r="F394" i="3"/>
  <c r="F265" i="3"/>
  <c r="F286" i="3" s="1"/>
  <c r="V411" i="5"/>
  <c r="V232" i="5"/>
  <c r="X232" i="5"/>
  <c r="T423" i="5"/>
  <c r="X423" i="5"/>
  <c r="T60" i="5"/>
  <c r="X60" i="5"/>
  <c r="T156" i="5"/>
  <c r="X156" i="5"/>
  <c r="T199" i="5"/>
  <c r="X199" i="5"/>
  <c r="T215" i="5"/>
  <c r="X215" i="5"/>
  <c r="T434" i="5"/>
  <c r="X434" i="5"/>
  <c r="T55" i="5"/>
  <c r="X55" i="5"/>
  <c r="T441" i="5"/>
  <c r="X441" i="5"/>
  <c r="T475" i="5"/>
  <c r="X475" i="5"/>
  <c r="T425" i="5"/>
  <c r="X425" i="5"/>
  <c r="T416" i="5"/>
  <c r="X416" i="5"/>
  <c r="V374" i="5"/>
  <c r="X374" i="5"/>
  <c r="W461" i="5"/>
  <c r="X461" i="5"/>
  <c r="T431" i="5"/>
  <c r="X431" i="5"/>
  <c r="T362" i="5"/>
  <c r="X362" i="5"/>
  <c r="T294" i="5"/>
  <c r="X294" i="5"/>
  <c r="U285" i="5"/>
  <c r="X285" i="5"/>
  <c r="W466" i="5"/>
  <c r="X466" i="5"/>
  <c r="U306" i="5"/>
  <c r="X306" i="5"/>
  <c r="V476" i="5"/>
  <c r="X476" i="5"/>
  <c r="V348" i="5"/>
  <c r="X348" i="5"/>
  <c r="W322" i="5"/>
  <c r="X322" i="5"/>
  <c r="V15" i="5"/>
  <c r="X15" i="5"/>
  <c r="U80" i="5"/>
  <c r="X80" i="5"/>
  <c r="V315" i="5"/>
  <c r="X315" i="5"/>
  <c r="U295" i="5"/>
  <c r="X295" i="5"/>
  <c r="V277" i="5"/>
  <c r="X277" i="5"/>
  <c r="U253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V206" i="5"/>
  <c r="X206" i="5"/>
  <c r="V39" i="5"/>
  <c r="X39" i="5"/>
  <c r="T251" i="5"/>
  <c r="X251" i="5"/>
  <c r="T367" i="5"/>
  <c r="X367" i="5"/>
  <c r="U472" i="5"/>
  <c r="X472" i="5"/>
  <c r="T155" i="5"/>
  <c r="X155" i="5"/>
  <c r="W159" i="5"/>
  <c r="X159" i="5"/>
  <c r="W225" i="5"/>
  <c r="X225" i="5"/>
  <c r="W498" i="5"/>
  <c r="X498" i="5"/>
  <c r="W21" i="5"/>
  <c r="X21" i="5"/>
  <c r="W37" i="5"/>
  <c r="X37" i="5"/>
  <c r="W8" i="5"/>
  <c r="X8" i="5"/>
  <c r="W114" i="5"/>
  <c r="X114" i="5"/>
  <c r="V128" i="5"/>
  <c r="X128" i="5"/>
  <c r="V138" i="5"/>
  <c r="X138" i="5"/>
  <c r="V146" i="5"/>
  <c r="X146" i="5"/>
  <c r="W186" i="5"/>
  <c r="X186" i="5"/>
  <c r="V257" i="5"/>
  <c r="X257" i="5"/>
  <c r="V281" i="5"/>
  <c r="X281" i="5"/>
  <c r="V365" i="5"/>
  <c r="X365" i="5"/>
  <c r="W456" i="5"/>
  <c r="X456" i="5"/>
  <c r="V43" i="5"/>
  <c r="X43" i="5"/>
  <c r="V70" i="5"/>
  <c r="X70" i="5"/>
  <c r="V132" i="5"/>
  <c r="X132" i="5"/>
  <c r="W230" i="5"/>
  <c r="X230" i="5"/>
  <c r="T447" i="5"/>
  <c r="X447" i="5"/>
  <c r="T149" i="5"/>
  <c r="X149" i="5"/>
  <c r="W166" i="5"/>
  <c r="X166" i="5"/>
  <c r="U190" i="5"/>
  <c r="X190" i="5"/>
  <c r="W209" i="5"/>
  <c r="X209" i="5"/>
  <c r="W243" i="5"/>
  <c r="X243" i="5"/>
  <c r="U63" i="5"/>
  <c r="X63" i="5"/>
  <c r="W453" i="5"/>
  <c r="X453" i="5"/>
  <c r="W269" i="5"/>
  <c r="X269" i="5"/>
  <c r="W379" i="5"/>
  <c r="X379" i="5"/>
  <c r="W477" i="5"/>
  <c r="X477" i="5"/>
  <c r="W437" i="5"/>
  <c r="X437" i="5"/>
  <c r="X418" i="5"/>
  <c r="W485" i="5"/>
  <c r="X485" i="5"/>
  <c r="W377" i="5"/>
  <c r="X377" i="5"/>
  <c r="W336" i="5"/>
  <c r="X336" i="5"/>
  <c r="W380" i="5"/>
  <c r="X380" i="5"/>
  <c r="V470" i="5"/>
  <c r="X470" i="5"/>
  <c r="V415" i="5"/>
  <c r="X415" i="5"/>
  <c r="W333" i="5"/>
  <c r="X333" i="5"/>
  <c r="T347" i="5"/>
  <c r="X347" i="5"/>
  <c r="T279" i="5"/>
  <c r="X279" i="5"/>
  <c r="T311" i="5"/>
  <c r="X311" i="5"/>
  <c r="T392" i="5"/>
  <c r="X392" i="5"/>
  <c r="T260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V102" i="5"/>
  <c r="X102" i="5"/>
  <c r="W117" i="5"/>
  <c r="X117" i="5"/>
  <c r="T148" i="5"/>
  <c r="X148" i="5"/>
  <c r="T109" i="5"/>
  <c r="X109" i="5"/>
  <c r="T53" i="5"/>
  <c r="X53" i="5"/>
  <c r="T198" i="5"/>
  <c r="X198" i="5"/>
  <c r="U74" i="5"/>
  <c r="X74" i="5"/>
  <c r="U3" i="5"/>
  <c r="X3" i="5"/>
  <c r="W125" i="5"/>
  <c r="X125" i="5"/>
  <c r="T134" i="5"/>
  <c r="X134" i="5"/>
  <c r="U143" i="5"/>
  <c r="X143" i="5"/>
  <c r="T183" i="5"/>
  <c r="X183" i="5"/>
  <c r="W195" i="5"/>
  <c r="X195" i="5"/>
  <c r="T271" i="5"/>
  <c r="X271" i="5"/>
  <c r="T439" i="5"/>
  <c r="X439" i="5"/>
  <c r="T64" i="5"/>
  <c r="X64" i="5"/>
  <c r="T163" i="5"/>
  <c r="X163" i="5"/>
  <c r="T255" i="5"/>
  <c r="X255" i="5"/>
  <c r="U399" i="5"/>
  <c r="X399" i="5"/>
  <c r="U483" i="5"/>
  <c r="X483" i="5"/>
  <c r="T160" i="5"/>
  <c r="X160" i="5"/>
  <c r="T176" i="5"/>
  <c r="X176" i="5"/>
  <c r="U203" i="5"/>
  <c r="X203" i="5"/>
  <c r="T442" i="5"/>
  <c r="X442" i="5"/>
  <c r="T449" i="5"/>
  <c r="X449" i="5"/>
  <c r="T452" i="5"/>
  <c r="X452" i="5"/>
  <c r="T204" i="5"/>
  <c r="X204" i="5"/>
  <c r="T36" i="5"/>
  <c r="X36" i="5"/>
  <c r="U335" i="5"/>
  <c r="X335" i="5"/>
  <c r="W297" i="5"/>
  <c r="X297" i="5"/>
  <c r="U302" i="5"/>
  <c r="X302" i="5"/>
  <c r="U386" i="5"/>
  <c r="X386" i="5"/>
  <c r="U312" i="5"/>
  <c r="X312" i="5"/>
  <c r="V337" i="5"/>
  <c r="X337" i="5"/>
  <c r="W316" i="5"/>
  <c r="X316" i="5"/>
  <c r="W29" i="5"/>
  <c r="X29" i="5"/>
  <c r="W342" i="5"/>
  <c r="X342" i="5"/>
  <c r="U280" i="5"/>
  <c r="X280" i="5"/>
  <c r="U314" i="5"/>
  <c r="X314" i="5"/>
  <c r="V34" i="5"/>
  <c r="X34" i="5"/>
  <c r="W84" i="5"/>
  <c r="X84" i="5"/>
  <c r="W293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V16" i="5"/>
  <c r="X16" i="5"/>
  <c r="V76" i="5"/>
  <c r="X76" i="5"/>
  <c r="V113" i="5"/>
  <c r="X113" i="5"/>
  <c r="V78" i="5"/>
  <c r="X78" i="5"/>
  <c r="T48" i="5"/>
  <c r="X48" i="5"/>
  <c r="V116" i="5"/>
  <c r="X116" i="5"/>
  <c r="T421" i="5"/>
  <c r="X421" i="5"/>
  <c r="U77" i="5"/>
  <c r="X77" i="5"/>
  <c r="U249" i="5"/>
  <c r="X249" i="5"/>
  <c r="U443" i="5"/>
  <c r="X443" i="5"/>
  <c r="V369" i="5"/>
  <c r="X369" i="5"/>
  <c r="U409" i="5"/>
  <c r="X409" i="5"/>
  <c r="T489" i="5"/>
  <c r="X489" i="5"/>
  <c r="U357" i="5"/>
  <c r="X357" i="5"/>
  <c r="U44" i="5"/>
  <c r="X44" i="5"/>
  <c r="T428" i="5"/>
  <c r="X428" i="5"/>
  <c r="T350" i="5"/>
  <c r="X350" i="5"/>
  <c r="U481" i="5"/>
  <c r="X481" i="5"/>
  <c r="V324" i="5"/>
  <c r="X324" i="5"/>
  <c r="T303" i="5"/>
  <c r="X303" i="5"/>
  <c r="T52" i="5"/>
  <c r="X52" i="5"/>
  <c r="T81" i="5"/>
  <c r="X81" i="5"/>
  <c r="T274" i="5"/>
  <c r="X274" i="5"/>
  <c r="T250" i="5"/>
  <c r="X250" i="5"/>
  <c r="T259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V165" i="5"/>
  <c r="X165" i="5"/>
  <c r="V50" i="5"/>
  <c r="X50" i="5"/>
  <c r="T491" i="5"/>
  <c r="X491" i="5"/>
  <c r="T101" i="5"/>
  <c r="X101" i="5"/>
  <c r="U140" i="5"/>
  <c r="X140" i="5"/>
  <c r="T158" i="5"/>
  <c r="X158" i="5"/>
  <c r="V188" i="5"/>
  <c r="X188" i="5"/>
  <c r="U404" i="5"/>
  <c r="X404" i="5"/>
  <c r="W352" i="5"/>
  <c r="X352" i="5"/>
  <c r="U479" i="5"/>
  <c r="X479" i="5"/>
  <c r="W12" i="5"/>
  <c r="X12" i="5"/>
  <c r="T145" i="5"/>
  <c r="X145" i="5"/>
  <c r="U185" i="5"/>
  <c r="X185" i="5"/>
  <c r="T252" i="5"/>
  <c r="X252" i="5"/>
  <c r="U273" i="5"/>
  <c r="X273" i="5"/>
  <c r="T356" i="5"/>
  <c r="X356" i="5"/>
  <c r="U455" i="5"/>
  <c r="X455" i="5"/>
  <c r="T38" i="5"/>
  <c r="X38" i="5"/>
  <c r="U67" i="5"/>
  <c r="X67" i="5"/>
  <c r="T124" i="5"/>
  <c r="X124" i="5"/>
  <c r="T180" i="5"/>
  <c r="X180" i="5"/>
  <c r="T270" i="5"/>
  <c r="X270" i="5"/>
  <c r="W444" i="5"/>
  <c r="X444" i="5"/>
  <c r="W24" i="5"/>
  <c r="X24" i="5"/>
  <c r="T164" i="5"/>
  <c r="X164" i="5"/>
  <c r="T207" i="5"/>
  <c r="X207" i="5"/>
  <c r="V68" i="5"/>
  <c r="X68" i="5"/>
  <c r="T412" i="5"/>
  <c r="X412" i="5"/>
  <c r="T83" i="5"/>
  <c r="X83" i="5"/>
  <c r="T474" i="5"/>
  <c r="X474" i="5"/>
  <c r="T446" i="5"/>
  <c r="X446" i="5"/>
  <c r="T445" i="5"/>
  <c r="X445" i="5"/>
  <c r="T426" i="5"/>
  <c r="X426" i="5"/>
  <c r="V118" i="5"/>
  <c r="X118" i="5"/>
  <c r="U450" i="5"/>
  <c r="X450" i="5"/>
  <c r="U363" i="5"/>
  <c r="X363" i="5"/>
  <c r="W339" i="5"/>
  <c r="X339" i="5"/>
  <c r="U468" i="5"/>
  <c r="X468" i="5"/>
  <c r="T313" i="5"/>
  <c r="X313" i="5"/>
  <c r="U86" i="5"/>
  <c r="X86" i="5"/>
  <c r="U395" i="5"/>
  <c r="X395" i="5"/>
  <c r="T287" i="5"/>
  <c r="X287" i="5"/>
  <c r="W284" i="5"/>
  <c r="X284" i="5"/>
  <c r="V310" i="5"/>
  <c r="X310" i="5"/>
  <c r="U18" i="5"/>
  <c r="X18" i="5"/>
  <c r="W258" i="5"/>
  <c r="X258" i="5"/>
  <c r="U256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V401" i="5"/>
  <c r="X401" i="5"/>
  <c r="V85" i="5"/>
  <c r="X85" i="5"/>
  <c r="U141" i="5"/>
  <c r="X141" i="5"/>
  <c r="T179" i="5"/>
  <c r="X179" i="5"/>
  <c r="W191" i="5"/>
  <c r="X191" i="5"/>
  <c r="T177" i="5"/>
  <c r="X177" i="5"/>
  <c r="T154" i="5"/>
  <c r="X154" i="5"/>
  <c r="T242" i="5"/>
  <c r="X242" i="5"/>
  <c r="T202" i="5"/>
  <c r="X202" i="5"/>
  <c r="T214" i="5"/>
  <c r="X214" i="5"/>
  <c r="T30" i="5"/>
  <c r="X30" i="5"/>
  <c r="T57" i="5"/>
  <c r="X57" i="5"/>
  <c r="T499" i="5"/>
  <c r="X499" i="5"/>
  <c r="T46" i="5"/>
  <c r="X46" i="5"/>
  <c r="U340" i="5"/>
  <c r="X340" i="5"/>
  <c r="T460" i="5"/>
  <c r="X460" i="5"/>
  <c r="U153" i="5"/>
  <c r="X153" i="5"/>
  <c r="U170" i="5"/>
  <c r="X170" i="5"/>
  <c r="U197" i="5"/>
  <c r="X197" i="5"/>
  <c r="U213" i="5"/>
  <c r="X213" i="5"/>
  <c r="U436" i="5"/>
  <c r="X436" i="5"/>
  <c r="U473" i="5"/>
  <c r="X473" i="5"/>
  <c r="U430" i="5"/>
  <c r="X430" i="5"/>
  <c r="U361" i="5"/>
  <c r="X361" i="5"/>
  <c r="V196" i="5"/>
  <c r="X196" i="5"/>
  <c r="V171" i="5"/>
  <c r="X171" i="5"/>
  <c r="W110" i="5"/>
  <c r="X110" i="5"/>
  <c r="V49" i="5"/>
  <c r="X49" i="5"/>
  <c r="T91" i="5"/>
  <c r="X91" i="5"/>
  <c r="W222" i="5"/>
  <c r="X222" i="5"/>
  <c r="V210" i="5"/>
  <c r="X210" i="5"/>
  <c r="T41" i="5"/>
  <c r="X41" i="5"/>
  <c r="V71" i="5"/>
  <c r="X71" i="5"/>
  <c r="W137" i="5"/>
  <c r="X137" i="5"/>
  <c r="V88" i="5"/>
  <c r="X88" i="5"/>
  <c r="U107" i="5"/>
  <c r="X107" i="5"/>
  <c r="W136" i="5"/>
  <c r="X136" i="5"/>
  <c r="T175" i="5"/>
  <c r="X175" i="5"/>
  <c r="T220" i="5"/>
  <c r="X220" i="5"/>
  <c r="T189" i="5"/>
  <c r="X189" i="5"/>
  <c r="T79" i="5"/>
  <c r="X79" i="5"/>
  <c r="T502" i="5"/>
  <c r="X502" i="5"/>
  <c r="T19" i="5"/>
  <c r="X19" i="5"/>
  <c r="T59" i="5"/>
  <c r="X59" i="5"/>
  <c r="T208" i="5"/>
  <c r="X208" i="5"/>
  <c r="T96" i="5"/>
  <c r="X96" i="5"/>
  <c r="T508" i="5"/>
  <c r="X508" i="5"/>
  <c r="T119" i="5"/>
  <c r="X119" i="5"/>
  <c r="T2" i="5"/>
  <c r="X2" i="5"/>
  <c r="T493" i="5"/>
  <c r="X493" i="5"/>
  <c r="T104" i="5"/>
  <c r="X104" i="5"/>
  <c r="V121" i="5"/>
  <c r="X121" i="5"/>
  <c r="V133" i="5"/>
  <c r="X133" i="5"/>
  <c r="W142" i="5"/>
  <c r="X142" i="5"/>
  <c r="V182" i="5"/>
  <c r="X182" i="5"/>
  <c r="V268" i="5"/>
  <c r="X268" i="5"/>
  <c r="W326" i="5"/>
  <c r="X326" i="5"/>
  <c r="V433" i="5"/>
  <c r="X433" i="5"/>
  <c r="W6" i="5"/>
  <c r="X6" i="5"/>
  <c r="V62" i="5"/>
  <c r="X62" i="5"/>
  <c r="W111" i="5"/>
  <c r="X111" i="5"/>
  <c r="V161" i="5"/>
  <c r="X161" i="5"/>
  <c r="W254" i="5"/>
  <c r="X254" i="5"/>
  <c r="U480" i="5"/>
  <c r="X480" i="5"/>
  <c r="U157" i="5"/>
  <c r="X157" i="5"/>
  <c r="W174" i="5"/>
  <c r="X174" i="5"/>
  <c r="W217" i="5"/>
  <c r="X217" i="5"/>
  <c r="T368" i="5"/>
  <c r="X368" i="5"/>
  <c r="V28" i="5"/>
  <c r="X28" i="5"/>
  <c r="W351" i="5"/>
  <c r="X351" i="5"/>
  <c r="W420" i="5"/>
  <c r="X420" i="5"/>
  <c r="W429" i="5"/>
  <c r="X429" i="5"/>
  <c r="W376" i="5"/>
  <c r="X376" i="5"/>
  <c r="W329" i="5"/>
  <c r="X329" i="5"/>
  <c r="W387" i="5"/>
  <c r="X387" i="5"/>
  <c r="W323" i="5"/>
  <c r="X323" i="5"/>
  <c r="T464" i="5"/>
  <c r="X464" i="5"/>
  <c r="U27" i="5"/>
  <c r="X27" i="5"/>
  <c r="V22" i="5"/>
  <c r="X22" i="5"/>
  <c r="W360" i="5"/>
  <c r="X360" i="5"/>
  <c r="T45" i="5"/>
  <c r="X45" i="5"/>
  <c r="W290" i="5"/>
  <c r="X290" i="5"/>
  <c r="T391" i="5"/>
  <c r="X391" i="5"/>
  <c r="W304" i="5"/>
  <c r="X304" i="5"/>
  <c r="T267" i="5"/>
  <c r="X267" i="5"/>
  <c r="U75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W168" i="5"/>
  <c r="X168" i="5"/>
  <c r="T422" i="5"/>
  <c r="X422" i="5"/>
  <c r="W331" i="5"/>
  <c r="X331" i="5"/>
  <c r="T454" i="5"/>
  <c r="X454" i="5"/>
  <c r="T400" i="5"/>
  <c r="X400" i="5"/>
  <c r="T275" i="5"/>
  <c r="X275" i="5"/>
  <c r="W432" i="5"/>
  <c r="X432" i="5"/>
  <c r="T490" i="5"/>
  <c r="X490" i="5"/>
  <c r="U388" i="5"/>
  <c r="X388" i="5"/>
  <c r="W405" i="5"/>
  <c r="X405" i="5"/>
  <c r="W325" i="5"/>
  <c r="X325" i="5"/>
  <c r="U390" i="5"/>
  <c r="X390" i="5"/>
  <c r="W510" i="5"/>
  <c r="X510" i="5"/>
  <c r="V393" i="5"/>
  <c r="X393" i="5"/>
  <c r="T296" i="5"/>
  <c r="X296" i="5"/>
  <c r="W23" i="5"/>
  <c r="X23" i="5"/>
  <c r="V247" i="5"/>
  <c r="X247" i="5"/>
  <c r="W5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U90" i="5"/>
  <c r="X90" i="5"/>
  <c r="U216" i="5"/>
  <c r="X216" i="5"/>
  <c r="T244" i="5"/>
  <c r="X244" i="5"/>
  <c r="U495" i="5"/>
  <c r="X495" i="5"/>
  <c r="T69" i="5"/>
  <c r="X69" i="5"/>
  <c r="U497" i="5"/>
  <c r="X497" i="5"/>
  <c r="T100" i="5"/>
  <c r="X100" i="5"/>
  <c r="U42" i="5"/>
  <c r="X42" i="5"/>
  <c r="U309" i="5"/>
  <c r="X309" i="5"/>
  <c r="U97" i="5"/>
  <c r="X97" i="5"/>
  <c r="U115" i="5"/>
  <c r="X115" i="5"/>
  <c r="T129" i="5"/>
  <c r="X129" i="5"/>
  <c r="T139" i="5"/>
  <c r="X139" i="5"/>
  <c r="U187" i="5"/>
  <c r="X187" i="5"/>
  <c r="T263" i="5"/>
  <c r="X263" i="5"/>
  <c r="T398" i="5"/>
  <c r="X398" i="5"/>
  <c r="U457" i="5"/>
  <c r="X457" i="5"/>
  <c r="T248" i="5"/>
  <c r="X248" i="5"/>
  <c r="V459" i="5"/>
  <c r="X459" i="5"/>
  <c r="U151" i="5"/>
  <c r="X151" i="5"/>
  <c r="T193" i="5"/>
  <c r="X193" i="5"/>
  <c r="T211" i="5"/>
  <c r="X211" i="5"/>
  <c r="T402" i="5"/>
  <c r="X402" i="5"/>
  <c r="T89" i="5"/>
  <c r="X89" i="5"/>
  <c r="T223" i="5"/>
  <c r="X223" i="5"/>
  <c r="T14" i="5"/>
  <c r="X14" i="5"/>
  <c r="T505" i="5"/>
  <c r="X505" i="5"/>
  <c r="T228" i="5"/>
  <c r="X228" i="5"/>
  <c r="U33" i="5"/>
  <c r="X33" i="5"/>
  <c r="V355" i="5"/>
  <c r="X355" i="5"/>
  <c r="T236" i="5"/>
  <c r="X236" i="5"/>
  <c r="U500" i="5"/>
  <c r="X500" i="5"/>
  <c r="T103" i="5"/>
  <c r="X103" i="5"/>
  <c r="V120" i="5"/>
  <c r="X120" i="5"/>
  <c r="T4" i="5"/>
  <c r="X4" i="5"/>
  <c r="U106" i="5"/>
  <c r="X106" i="5"/>
  <c r="T135" i="5"/>
  <c r="X135" i="5"/>
  <c r="W144" i="5"/>
  <c r="X144" i="5"/>
  <c r="U184" i="5"/>
  <c r="X184" i="5"/>
  <c r="U246" i="5"/>
  <c r="X246" i="5"/>
  <c r="U272" i="5"/>
  <c r="X272" i="5"/>
  <c r="V353" i="5"/>
  <c r="X353" i="5"/>
  <c r="U448" i="5"/>
  <c r="X448" i="5"/>
  <c r="U66" i="5"/>
  <c r="X66" i="5"/>
  <c r="W123" i="5"/>
  <c r="X123" i="5"/>
  <c r="U173" i="5"/>
  <c r="X173" i="5"/>
  <c r="W261" i="5"/>
  <c r="X261" i="5"/>
  <c r="T435" i="5"/>
  <c r="X435" i="5"/>
  <c r="T20" i="5"/>
  <c r="X20" i="5"/>
  <c r="U162" i="5"/>
  <c r="X162" i="5"/>
  <c r="U178" i="5"/>
  <c r="X178" i="5"/>
  <c r="U205" i="5"/>
  <c r="X205" i="5"/>
  <c r="V278" i="5"/>
  <c r="X278" i="5"/>
  <c r="U451" i="5"/>
  <c r="X451" i="5"/>
  <c r="U40" i="5"/>
  <c r="X40" i="5"/>
  <c r="U381" i="5"/>
  <c r="X381" i="5"/>
  <c r="T328" i="5"/>
  <c r="X328" i="5"/>
  <c r="T487" i="5"/>
  <c r="X487" i="5"/>
  <c r="W414" i="5"/>
  <c r="X414" i="5"/>
  <c r="U345" i="5"/>
  <c r="X345" i="5"/>
  <c r="T286" i="5"/>
  <c r="X286" i="5"/>
  <c r="U419" i="5"/>
  <c r="X419" i="5"/>
  <c r="T359" i="5"/>
  <c r="X359" i="5"/>
  <c r="T462" i="5"/>
  <c r="X462" i="5"/>
  <c r="T371" i="5"/>
  <c r="X371" i="5"/>
  <c r="W394" i="5"/>
  <c r="X394" i="5"/>
  <c r="T463" i="5"/>
  <c r="X463" i="5"/>
  <c r="T389" i="5"/>
  <c r="X389" i="5"/>
  <c r="W330" i="5"/>
  <c r="X330" i="5"/>
  <c r="W301" i="5"/>
  <c r="X301" i="5"/>
  <c r="U291" i="5"/>
  <c r="X291" i="5"/>
  <c r="T305" i="5"/>
  <c r="X305" i="5"/>
  <c r="T13" i="5"/>
  <c r="X13" i="5"/>
  <c r="W262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233" i="5"/>
  <c r="U226" i="5"/>
  <c r="V99" i="5"/>
  <c r="T237" i="5"/>
  <c r="T503" i="5"/>
  <c r="T32" i="5"/>
  <c r="V231" i="5"/>
  <c r="T241" i="5"/>
  <c r="U438" i="5"/>
  <c r="T501" i="5"/>
  <c r="V494" i="5"/>
  <c r="V238" i="5"/>
  <c r="U10" i="5"/>
  <c r="W10" i="5"/>
  <c r="U212" i="5"/>
  <c r="U11" i="5"/>
  <c r="W229" i="5"/>
  <c r="W370" i="5"/>
  <c r="V234" i="5"/>
  <c r="V221" i="5"/>
  <c r="V906" i="5"/>
  <c r="V352" i="5"/>
  <c r="P225" i="5"/>
  <c r="U454" i="5"/>
  <c r="P507" i="5"/>
  <c r="W238" i="5"/>
  <c r="W912" i="5"/>
  <c r="O806" i="5"/>
  <c r="O88" i="5"/>
  <c r="W787" i="5"/>
  <c r="V361" i="5"/>
  <c r="U337" i="5"/>
  <c r="W476" i="5"/>
  <c r="O676" i="5"/>
  <c r="W101" i="5"/>
  <c r="T345" i="5"/>
  <c r="P498" i="5"/>
  <c r="P764" i="5"/>
  <c r="U179" i="5"/>
  <c r="T174" i="5"/>
  <c r="U405" i="5"/>
  <c r="O884" i="5"/>
  <c r="P878" i="5"/>
  <c r="U14" i="5"/>
  <c r="P480" i="5"/>
  <c r="W489" i="5"/>
  <c r="U377" i="5"/>
  <c r="W431" i="5"/>
  <c r="U329" i="5"/>
  <c r="T839" i="5"/>
  <c r="N884" i="5"/>
  <c r="O79" i="5"/>
  <c r="V101" i="5"/>
  <c r="U389" i="5"/>
  <c r="V237" i="5"/>
  <c r="U269" i="5"/>
  <c r="T563" i="5"/>
  <c r="U574" i="5"/>
  <c r="N320" i="5"/>
  <c r="V574" i="5"/>
  <c r="O444" i="5"/>
  <c r="N460" i="5"/>
  <c r="N691" i="5"/>
  <c r="N866" i="5"/>
  <c r="P259" i="5"/>
  <c r="V1050" i="5"/>
  <c r="T238" i="5"/>
  <c r="T268" i="5"/>
  <c r="V475" i="5"/>
  <c r="N371" i="5"/>
  <c r="V575" i="5"/>
  <c r="O697" i="5"/>
  <c r="O866" i="5"/>
  <c r="W813" i="5"/>
  <c r="W876" i="5"/>
  <c r="V938" i="5"/>
  <c r="W852" i="5"/>
  <c r="T875" i="5"/>
  <c r="T140" i="5"/>
  <c r="W257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W270" i="5"/>
  <c r="O474" i="5"/>
  <c r="P830" i="5"/>
  <c r="W851" i="5"/>
  <c r="T866" i="5"/>
  <c r="U1021" i="5"/>
  <c r="P218" i="5"/>
  <c r="U139" i="5"/>
  <c r="T173" i="5"/>
  <c r="U248" i="5"/>
  <c r="O480" i="5"/>
  <c r="O369" i="5"/>
  <c r="V590" i="5"/>
  <c r="W639" i="5"/>
  <c r="O841" i="5"/>
  <c r="N659" i="5"/>
  <c r="O802" i="5"/>
  <c r="N892" i="5"/>
  <c r="U1023" i="5"/>
  <c r="O206" i="5"/>
  <c r="W139" i="5"/>
  <c r="O479" i="5"/>
  <c r="U274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P159" i="5"/>
  <c r="O110" i="5"/>
  <c r="T257" i="5"/>
  <c r="O161" i="5"/>
  <c r="W178" i="5"/>
  <c r="U193" i="5"/>
  <c r="V434" i="5"/>
  <c r="T278" i="5"/>
  <c r="V357" i="5"/>
  <c r="W386" i="5"/>
  <c r="U432" i="5"/>
  <c r="W388" i="5"/>
  <c r="V303" i="5"/>
  <c r="T253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V193" i="5"/>
  <c r="W303" i="5"/>
  <c r="O777" i="5"/>
  <c r="O871" i="5"/>
  <c r="U1018" i="5"/>
  <c r="O196" i="5"/>
  <c r="O225" i="5"/>
  <c r="P79" i="5"/>
  <c r="P37" i="5"/>
  <c r="W210" i="5"/>
  <c r="U499" i="5"/>
  <c r="V144" i="5"/>
  <c r="V416" i="5"/>
  <c r="N306" i="5"/>
  <c r="U316" i="5"/>
  <c r="N463" i="5"/>
  <c r="T295" i="5"/>
  <c r="V267" i="5"/>
  <c r="U250" i="5"/>
  <c r="U585" i="5"/>
  <c r="U600" i="5"/>
  <c r="N657" i="5"/>
  <c r="O685" i="5"/>
  <c r="U69" i="5"/>
  <c r="W499" i="5"/>
  <c r="T66" i="5"/>
  <c r="U99" i="5"/>
  <c r="V83" i="5"/>
  <c r="N507" i="5"/>
  <c r="W335" i="5"/>
  <c r="U464" i="5"/>
  <c r="W267" i="5"/>
  <c r="V564" i="5"/>
  <c r="V591" i="5"/>
  <c r="U762" i="5"/>
  <c r="U838" i="5"/>
  <c r="W177" i="5"/>
  <c r="T43" i="5"/>
  <c r="V249" i="5"/>
  <c r="N444" i="5"/>
  <c r="V199" i="5"/>
  <c r="N369" i="5"/>
  <c r="U490" i="5"/>
  <c r="N298" i="5"/>
  <c r="V464" i="5"/>
  <c r="W564" i="5"/>
  <c r="U590" i="5"/>
  <c r="W627" i="5"/>
  <c r="W651" i="5"/>
  <c r="U654" i="5"/>
  <c r="P656" i="5"/>
  <c r="W753" i="5"/>
  <c r="V773" i="5"/>
  <c r="P814" i="5"/>
  <c r="V878" i="5"/>
  <c r="O218" i="5"/>
  <c r="W32" i="5"/>
  <c r="N37" i="5"/>
  <c r="W85" i="5"/>
  <c r="N4" i="5"/>
  <c r="W271" i="5"/>
  <c r="W156" i="5"/>
  <c r="P207" i="5"/>
  <c r="N213" i="5"/>
  <c r="V370" i="5"/>
  <c r="P416" i="5"/>
  <c r="V428" i="5"/>
  <c r="N323" i="5"/>
  <c r="U350" i="5"/>
  <c r="N22" i="5"/>
  <c r="W566" i="5"/>
  <c r="N603" i="5"/>
  <c r="O612" i="5"/>
  <c r="O711" i="5"/>
  <c r="P750" i="5"/>
  <c r="N813" i="5"/>
  <c r="T843" i="5"/>
  <c r="W910" i="5"/>
  <c r="W942" i="5"/>
  <c r="O71" i="5"/>
  <c r="N491" i="5"/>
  <c r="W140" i="5"/>
  <c r="N272" i="5"/>
  <c r="N161" i="5"/>
  <c r="W248" i="5"/>
  <c r="U176" i="5"/>
  <c r="W250" i="5"/>
  <c r="O519" i="5"/>
  <c r="N528" i="5"/>
  <c r="W574" i="5"/>
  <c r="W590" i="5"/>
  <c r="W600" i="5"/>
  <c r="O924" i="5"/>
  <c r="N1004" i="5"/>
  <c r="N1016" i="5"/>
  <c r="U1024" i="5"/>
  <c r="U650" i="5"/>
  <c r="W232" i="5"/>
  <c r="W179" i="5"/>
  <c r="T184" i="5"/>
  <c r="N186" i="5"/>
  <c r="U149" i="5"/>
  <c r="N176" i="5"/>
  <c r="T381" i="5"/>
  <c r="U259" i="5"/>
  <c r="W695" i="5"/>
  <c r="P754" i="5"/>
  <c r="O760" i="5"/>
  <c r="W773" i="5"/>
  <c r="P876" i="5"/>
  <c r="W936" i="5"/>
  <c r="P941" i="5"/>
  <c r="O964" i="5"/>
  <c r="U998" i="5"/>
  <c r="V1007" i="5"/>
  <c r="V1037" i="5"/>
  <c r="V32" i="5"/>
  <c r="O135" i="5"/>
  <c r="O186" i="5"/>
  <c r="U38" i="5"/>
  <c r="U156" i="5"/>
  <c r="P176" i="5"/>
  <c r="T404" i="5"/>
  <c r="U418" i="5"/>
  <c r="T86" i="5"/>
  <c r="W392" i="5"/>
  <c r="V293" i="5"/>
  <c r="W260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P106" i="5"/>
  <c r="O106" i="5"/>
  <c r="N106" i="5"/>
  <c r="U288" i="5"/>
  <c r="T288" i="5"/>
  <c r="T58" i="5"/>
  <c r="V58" i="5"/>
  <c r="T366" i="5"/>
  <c r="U366" i="5"/>
  <c r="T413" i="5"/>
  <c r="V413" i="5"/>
  <c r="U126" i="5"/>
  <c r="T126" i="5"/>
  <c r="P83" i="5"/>
  <c r="N83" i="5"/>
  <c r="U223" i="5"/>
  <c r="N232" i="5"/>
  <c r="P232" i="5"/>
  <c r="U177" i="5"/>
  <c r="W165" i="5"/>
  <c r="N159" i="5"/>
  <c r="P120" i="5"/>
  <c r="N120" i="5"/>
  <c r="O493" i="5"/>
  <c r="U4" i="5"/>
  <c r="T88" i="5"/>
  <c r="N133" i="5"/>
  <c r="T265" i="5"/>
  <c r="W265" i="5"/>
  <c r="U265" i="5"/>
  <c r="W372" i="5"/>
  <c r="U372" i="5"/>
  <c r="V506" i="5"/>
  <c r="T506" i="5"/>
  <c r="W113" i="5"/>
  <c r="U103" i="5"/>
  <c r="V240" i="5"/>
  <c r="T240" i="5"/>
  <c r="V177" i="5"/>
  <c r="P220" i="5"/>
  <c r="U25" i="5"/>
  <c r="T25" i="5"/>
  <c r="N234" i="5"/>
  <c r="P234" i="5"/>
  <c r="O234" i="5"/>
  <c r="N21" i="5"/>
  <c r="P493" i="5"/>
  <c r="V4" i="5"/>
  <c r="W88" i="5"/>
  <c r="W102" i="5"/>
  <c r="O114" i="5"/>
  <c r="T131" i="5"/>
  <c r="W131" i="5"/>
  <c r="U131" i="5"/>
  <c r="O133" i="5"/>
  <c r="T136" i="5"/>
  <c r="U136" i="5"/>
  <c r="T56" i="5"/>
  <c r="W56" i="5"/>
  <c r="U56" i="5"/>
  <c r="V201" i="5"/>
  <c r="U201" i="5"/>
  <c r="P381" i="5"/>
  <c r="N381" i="5"/>
  <c r="P188" i="5"/>
  <c r="N188" i="5"/>
  <c r="V194" i="5"/>
  <c r="T194" i="5"/>
  <c r="P404" i="5"/>
  <c r="N404" i="5"/>
  <c r="T9" i="5"/>
  <c r="U9" i="5"/>
  <c r="T112" i="5"/>
  <c r="U112" i="5"/>
  <c r="W506" i="5"/>
  <c r="U130" i="5"/>
  <c r="V130" i="5"/>
  <c r="T130" i="5"/>
  <c r="P184" i="5"/>
  <c r="O184" i="5"/>
  <c r="U264" i="5"/>
  <c r="V264" i="5"/>
  <c r="P456" i="5"/>
  <c r="N456" i="5"/>
  <c r="U458" i="5"/>
  <c r="W458" i="5"/>
  <c r="T150" i="5"/>
  <c r="W150" i="5"/>
  <c r="W378" i="5"/>
  <c r="T378" i="5"/>
  <c r="N50" i="5"/>
  <c r="P50" i="5"/>
  <c r="V47" i="5"/>
  <c r="W47" i="5"/>
  <c r="O2" i="5"/>
  <c r="T127" i="5"/>
  <c r="U127" i="5"/>
  <c r="W288" i="5"/>
  <c r="P66" i="5"/>
  <c r="N66" i="5"/>
  <c r="T172" i="5"/>
  <c r="V172" i="5"/>
  <c r="W396" i="5"/>
  <c r="U396" i="5"/>
  <c r="T424" i="5"/>
  <c r="V424" i="5"/>
  <c r="U424" i="5"/>
  <c r="W440" i="5"/>
  <c r="U440" i="5"/>
  <c r="P2" i="5"/>
  <c r="T147" i="5"/>
  <c r="W147" i="5"/>
  <c r="P458" i="5"/>
  <c r="N458" i="5"/>
  <c r="N278" i="5"/>
  <c r="W344" i="5"/>
  <c r="V344" i="5"/>
  <c r="V389" i="5"/>
  <c r="W86" i="5"/>
  <c r="T80" i="5"/>
  <c r="U52" i="5"/>
  <c r="P13" i="5"/>
  <c r="V5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V149" i="5"/>
  <c r="N166" i="5"/>
  <c r="O441" i="5"/>
  <c r="T40" i="5"/>
  <c r="V275" i="5"/>
  <c r="W362" i="5"/>
  <c r="V294" i="5"/>
  <c r="W389" i="5"/>
  <c r="V80" i="5"/>
  <c r="T84" i="5"/>
  <c r="U305" i="5"/>
  <c r="T18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N378" i="5"/>
  <c r="O166" i="5"/>
  <c r="P441" i="5"/>
  <c r="N400" i="5"/>
  <c r="V84" i="5"/>
  <c r="V305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U174" i="5"/>
  <c r="N40" i="5"/>
  <c r="N412" i="5"/>
  <c r="N36" i="5"/>
  <c r="V490" i="5"/>
  <c r="P22" i="5"/>
  <c r="P45" i="5"/>
  <c r="N290" i="5"/>
  <c r="N310" i="5"/>
  <c r="N392" i="5"/>
  <c r="V23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O272" i="5"/>
  <c r="N162" i="5"/>
  <c r="N243" i="5"/>
  <c r="O40" i="5"/>
  <c r="N275" i="5"/>
  <c r="U426" i="5"/>
  <c r="O362" i="5"/>
  <c r="N294" i="5"/>
  <c r="O415" i="5"/>
  <c r="U311" i="5"/>
  <c r="W391" i="5"/>
  <c r="P291" i="5"/>
  <c r="O310" i="5"/>
  <c r="O392" i="5"/>
  <c r="N304" i="5"/>
  <c r="O84" i="5"/>
  <c r="N18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T70" i="5"/>
  <c r="V164" i="5"/>
  <c r="T63" i="5"/>
  <c r="W55" i="5"/>
  <c r="U400" i="5"/>
  <c r="O416" i="5"/>
  <c r="U297" i="5"/>
  <c r="U428" i="5"/>
  <c r="P304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O16" i="5"/>
  <c r="V242" i="5"/>
  <c r="T90" i="5"/>
  <c r="U202" i="5"/>
  <c r="U57" i="5"/>
  <c r="T497" i="5"/>
  <c r="W106" i="5"/>
  <c r="T128" i="5"/>
  <c r="W129" i="5"/>
  <c r="T146" i="5"/>
  <c r="T246" i="5"/>
  <c r="W252" i="5"/>
  <c r="U423" i="5"/>
  <c r="U60" i="5"/>
  <c r="W64" i="5"/>
  <c r="V123" i="5"/>
  <c r="N230" i="5"/>
  <c r="U251" i="5"/>
  <c r="U367" i="5"/>
  <c r="N24" i="5"/>
  <c r="T153" i="5"/>
  <c r="T219" i="5"/>
  <c r="U219" i="5"/>
  <c r="P239" i="5"/>
  <c r="N239" i="5"/>
  <c r="V241" i="5"/>
  <c r="T108" i="5"/>
  <c r="W108" i="5"/>
  <c r="U17" i="5"/>
  <c r="T17" i="5"/>
  <c r="U204" i="5"/>
  <c r="U477" i="5"/>
  <c r="T507" i="5"/>
  <c r="W507" i="5"/>
  <c r="V507" i="5"/>
  <c r="O335" i="5"/>
  <c r="N335" i="5"/>
  <c r="T409" i="5"/>
  <c r="U445" i="5"/>
  <c r="T384" i="5"/>
  <c r="U384" i="5"/>
  <c r="N431" i="5"/>
  <c r="W419" i="5"/>
  <c r="U394" i="5"/>
  <c r="T468" i="5"/>
  <c r="U29" i="5"/>
  <c r="N333" i="5"/>
  <c r="P333" i="5"/>
  <c r="U342" i="5"/>
  <c r="N360" i="5"/>
  <c r="W319" i="5"/>
  <c r="V319" i="5"/>
  <c r="T319" i="5"/>
  <c r="U13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T196" i="5"/>
  <c r="U100" i="5"/>
  <c r="N61" i="5"/>
  <c r="O492" i="5"/>
  <c r="W196" i="5"/>
  <c r="P16" i="5"/>
  <c r="P167" i="5"/>
  <c r="W242" i="5"/>
  <c r="W76" i="5"/>
  <c r="V202" i="5"/>
  <c r="T212" i="5"/>
  <c r="U32" i="5"/>
  <c r="O91" i="5"/>
  <c r="V57" i="5"/>
  <c r="W401" i="5"/>
  <c r="T210" i="5"/>
  <c r="O61" i="5"/>
  <c r="U46" i="5"/>
  <c r="P492" i="5"/>
  <c r="U101" i="5"/>
  <c r="N114" i="5"/>
  <c r="W128" i="5"/>
  <c r="N135" i="5"/>
  <c r="W145" i="5"/>
  <c r="T182" i="5"/>
  <c r="N184" i="5"/>
  <c r="V246" i="5"/>
  <c r="U271" i="5"/>
  <c r="W423" i="5"/>
  <c r="T433" i="5"/>
  <c r="N448" i="5"/>
  <c r="W60" i="5"/>
  <c r="T62" i="5"/>
  <c r="N70" i="5"/>
  <c r="T77" i="5"/>
  <c r="N173" i="5"/>
  <c r="O230" i="5"/>
  <c r="T249" i="5"/>
  <c r="W251" i="5"/>
  <c r="T254" i="5"/>
  <c r="N459" i="5"/>
  <c r="O24" i="5"/>
  <c r="V153" i="5"/>
  <c r="V155" i="5"/>
  <c r="V233" i="5"/>
  <c r="N55" i="5"/>
  <c r="U469" i="5"/>
  <c r="W469" i="5"/>
  <c r="T430" i="5"/>
  <c r="T373" i="5"/>
  <c r="V373" i="5"/>
  <c r="N425" i="5"/>
  <c r="O425" i="5"/>
  <c r="U478" i="5"/>
  <c r="W478" i="5"/>
  <c r="W445" i="5"/>
  <c r="O431" i="5"/>
  <c r="N432" i="5"/>
  <c r="N362" i="5"/>
  <c r="T408" i="5"/>
  <c r="V408" i="5"/>
  <c r="T361" i="5"/>
  <c r="W363" i="5"/>
  <c r="W468" i="5"/>
  <c r="T98" i="5"/>
  <c r="V98" i="5"/>
  <c r="P348" i="5"/>
  <c r="N348" i="5"/>
  <c r="P360" i="5"/>
  <c r="W13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T272" i="5"/>
  <c r="O365" i="5"/>
  <c r="O448" i="5"/>
  <c r="W77" i="5"/>
  <c r="O173" i="5"/>
  <c r="N435" i="5"/>
  <c r="O459" i="5"/>
  <c r="W155" i="5"/>
  <c r="T168" i="5"/>
  <c r="U168" i="5"/>
  <c r="T181" i="5"/>
  <c r="W181" i="5"/>
  <c r="T224" i="5"/>
  <c r="V224" i="5"/>
  <c r="W233" i="5"/>
  <c r="O55" i="5"/>
  <c r="N438" i="5"/>
  <c r="P438" i="5"/>
  <c r="W430" i="5"/>
  <c r="T383" i="5"/>
  <c r="U383" i="5"/>
  <c r="P17" i="5"/>
  <c r="N17" i="5"/>
  <c r="O384" i="5"/>
  <c r="N384" i="5"/>
  <c r="T343" i="5"/>
  <c r="U343" i="5"/>
  <c r="P345" i="5"/>
  <c r="N345" i="5"/>
  <c r="T417" i="5"/>
  <c r="U417" i="5"/>
  <c r="U359" i="5"/>
  <c r="V359" i="5"/>
  <c r="T346" i="5"/>
  <c r="V346" i="5"/>
  <c r="T427" i="5"/>
  <c r="V427" i="5"/>
  <c r="T470" i="5"/>
  <c r="W470" i="5"/>
  <c r="U300" i="5"/>
  <c r="W300" i="5"/>
  <c r="P347" i="5"/>
  <c r="N347" i="5"/>
  <c r="P295" i="5"/>
  <c r="N295" i="5"/>
  <c r="N75" i="5"/>
  <c r="P75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O422" i="5"/>
  <c r="N422" i="5"/>
  <c r="W368" i="5"/>
  <c r="U368" i="5"/>
  <c r="P478" i="5"/>
  <c r="N478" i="5"/>
  <c r="W341" i="5"/>
  <c r="U341" i="5"/>
  <c r="T394" i="5"/>
  <c r="V394" i="5"/>
  <c r="P279" i="5"/>
  <c r="N279" i="5"/>
  <c r="P544" i="5"/>
  <c r="O544" i="5"/>
  <c r="W1025" i="5"/>
  <c r="V1025" i="5"/>
  <c r="U1025" i="5"/>
  <c r="O189" i="5"/>
  <c r="V223" i="5"/>
  <c r="O494" i="5"/>
  <c r="V14" i="5"/>
  <c r="O401" i="5"/>
  <c r="O96" i="5"/>
  <c r="O78" i="5"/>
  <c r="U491" i="5"/>
  <c r="V126" i="5"/>
  <c r="T138" i="5"/>
  <c r="O146" i="5"/>
  <c r="O188" i="5"/>
  <c r="W194" i="5"/>
  <c r="W398" i="5"/>
  <c r="N433" i="5"/>
  <c r="O458" i="5"/>
  <c r="W38" i="5"/>
  <c r="W43" i="5"/>
  <c r="N62" i="5"/>
  <c r="O66" i="5"/>
  <c r="N254" i="5"/>
  <c r="U460" i="5"/>
  <c r="N155" i="5"/>
  <c r="T162" i="5"/>
  <c r="N168" i="5"/>
  <c r="T197" i="5"/>
  <c r="N203" i="5"/>
  <c r="O203" i="5"/>
  <c r="W213" i="5"/>
  <c r="U231" i="5"/>
  <c r="W231" i="5"/>
  <c r="N233" i="5"/>
  <c r="O243" i="5"/>
  <c r="T54" i="5"/>
  <c r="V54" i="5"/>
  <c r="P469" i="5"/>
  <c r="O469" i="5"/>
  <c r="T370" i="5"/>
  <c r="U370" i="5"/>
  <c r="P373" i="5"/>
  <c r="O373" i="5"/>
  <c r="N204" i="5"/>
  <c r="W413" i="5"/>
  <c r="U328" i="5"/>
  <c r="W328" i="5"/>
  <c r="U487" i="5"/>
  <c r="V487" i="5"/>
  <c r="T374" i="5"/>
  <c r="W374" i="5"/>
  <c r="U275" i="5"/>
  <c r="T357" i="5"/>
  <c r="O417" i="5"/>
  <c r="N417" i="5"/>
  <c r="T479" i="5"/>
  <c r="T312" i="5"/>
  <c r="V312" i="5"/>
  <c r="P323" i="5"/>
  <c r="U371" i="5"/>
  <c r="T380" i="5"/>
  <c r="V380" i="5"/>
  <c r="W306" i="5"/>
  <c r="U385" i="5"/>
  <c r="W385" i="5"/>
  <c r="N98" i="5"/>
  <c r="P98" i="5"/>
  <c r="U325" i="5"/>
  <c r="V350" i="5"/>
  <c r="T321" i="5"/>
  <c r="W321" i="5"/>
  <c r="P395" i="5"/>
  <c r="N395" i="5"/>
  <c r="V45" i="5"/>
  <c r="P287" i="5"/>
  <c r="N287" i="5"/>
  <c r="O311" i="5"/>
  <c r="N311" i="5"/>
  <c r="W296" i="5"/>
  <c r="V296" i="5"/>
  <c r="O274" i="5"/>
  <c r="N274" i="5"/>
  <c r="P253" i="5"/>
  <c r="O253" i="5"/>
  <c r="N253" i="5"/>
  <c r="T266" i="5"/>
  <c r="U266" i="5"/>
  <c r="P516" i="5"/>
  <c r="N516" i="5"/>
  <c r="P536" i="5"/>
  <c r="O536" i="5"/>
  <c r="N536" i="5"/>
  <c r="O550" i="5"/>
  <c r="P550" i="5"/>
  <c r="T918" i="5"/>
  <c r="V918" i="5"/>
  <c r="O76" i="5"/>
  <c r="W206" i="5"/>
  <c r="O21" i="5"/>
  <c r="T171" i="5"/>
  <c r="P76" i="5"/>
  <c r="P189" i="5"/>
  <c r="P494" i="5"/>
  <c r="U109" i="5"/>
  <c r="W214" i="5"/>
  <c r="U505" i="5"/>
  <c r="P19" i="5"/>
  <c r="O49" i="5"/>
  <c r="W39" i="5"/>
  <c r="P401" i="5"/>
  <c r="P96" i="5"/>
  <c r="O210" i="5"/>
  <c r="N227" i="5"/>
  <c r="P78" i="5"/>
  <c r="V491" i="5"/>
  <c r="U134" i="5"/>
  <c r="U263" i="5"/>
  <c r="O433" i="5"/>
  <c r="O62" i="5"/>
  <c r="N77" i="5"/>
  <c r="T132" i="5"/>
  <c r="U163" i="5"/>
  <c r="U180" i="5"/>
  <c r="O254" i="5"/>
  <c r="U447" i="5"/>
  <c r="V20" i="5"/>
  <c r="O155" i="5"/>
  <c r="V160" i="5"/>
  <c r="P168" i="5"/>
  <c r="V190" i="5"/>
  <c r="W226" i="5"/>
  <c r="P233" i="5"/>
  <c r="V473" i="5"/>
  <c r="N430" i="5"/>
  <c r="U453" i="5"/>
  <c r="V108" i="5"/>
  <c r="W17" i="5"/>
  <c r="V384" i="5"/>
  <c r="P343" i="5"/>
  <c r="O343" i="5"/>
  <c r="U485" i="5"/>
  <c r="T44" i="5"/>
  <c r="P419" i="5"/>
  <c r="N419" i="5"/>
  <c r="W479" i="5"/>
  <c r="N388" i="5"/>
  <c r="T337" i="5"/>
  <c r="W337" i="5"/>
  <c r="T411" i="5"/>
  <c r="U411" i="5"/>
  <c r="V371" i="5"/>
  <c r="P468" i="5"/>
  <c r="N468" i="5"/>
  <c r="P27" i="5"/>
  <c r="N27" i="5"/>
  <c r="P300" i="5"/>
  <c r="O300" i="5"/>
  <c r="T333" i="5"/>
  <c r="V333" i="5"/>
  <c r="W45" i="5"/>
  <c r="T26" i="5"/>
  <c r="V26" i="5"/>
  <c r="P23" i="5"/>
  <c r="O23" i="5"/>
  <c r="N556" i="5"/>
  <c r="P556" i="5"/>
  <c r="O556" i="5"/>
  <c r="U570" i="5"/>
  <c r="P572" i="5"/>
  <c r="O572" i="5"/>
  <c r="N572" i="5"/>
  <c r="U598" i="5"/>
  <c r="T604" i="5"/>
  <c r="U604" i="5"/>
  <c r="W171" i="5"/>
  <c r="V48" i="5"/>
  <c r="O208" i="5"/>
  <c r="O102" i="5"/>
  <c r="O104" i="5"/>
  <c r="N116" i="5"/>
  <c r="T121" i="5"/>
  <c r="W134" i="5"/>
  <c r="W263" i="5"/>
  <c r="N268" i="5"/>
  <c r="T281" i="5"/>
  <c r="T365" i="5"/>
  <c r="W163" i="5"/>
  <c r="T399" i="5"/>
  <c r="V435" i="5"/>
  <c r="V447" i="5"/>
  <c r="N151" i="5"/>
  <c r="W190" i="5"/>
  <c r="P209" i="5"/>
  <c r="N209" i="5"/>
  <c r="T229" i="5"/>
  <c r="V229" i="5"/>
  <c r="U239" i="5"/>
  <c r="T239" i="5"/>
  <c r="U422" i="5"/>
  <c r="W473" i="5"/>
  <c r="N413" i="5"/>
  <c r="T461" i="5"/>
  <c r="V461" i="5"/>
  <c r="U408" i="5"/>
  <c r="P363" i="5"/>
  <c r="N363" i="5"/>
  <c r="U415" i="5"/>
  <c r="V279" i="5"/>
  <c r="P290" i="5"/>
  <c r="T304" i="5"/>
  <c r="V304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227" i="5"/>
  <c r="O220" i="5"/>
  <c r="V9" i="5"/>
  <c r="O506" i="5"/>
  <c r="T216" i="5"/>
  <c r="O502" i="5"/>
  <c r="U503" i="5"/>
  <c r="W234" i="5"/>
  <c r="U244" i="5"/>
  <c r="W48" i="5"/>
  <c r="O50" i="5"/>
  <c r="P208" i="5"/>
  <c r="V499" i="5"/>
  <c r="V103" i="5"/>
  <c r="O137" i="5"/>
  <c r="P102" i="5"/>
  <c r="P104" i="5"/>
  <c r="T106" i="5"/>
  <c r="O116" i="5"/>
  <c r="W121" i="5"/>
  <c r="U129" i="5"/>
  <c r="T133" i="5"/>
  <c r="W184" i="5"/>
  <c r="U252" i="5"/>
  <c r="O268" i="5"/>
  <c r="W356" i="5"/>
  <c r="W448" i="5"/>
  <c r="U64" i="5"/>
  <c r="W124" i="5"/>
  <c r="T161" i="5"/>
  <c r="W173" i="5"/>
  <c r="W255" i="5"/>
  <c r="V399" i="5"/>
  <c r="W435" i="5"/>
  <c r="T444" i="5"/>
  <c r="O472" i="5"/>
  <c r="O151" i="5"/>
  <c r="V181" i="5"/>
  <c r="O207" i="5"/>
  <c r="O215" i="5"/>
  <c r="U224" i="5"/>
  <c r="W422" i="5"/>
  <c r="V366" i="5"/>
  <c r="T68" i="5"/>
  <c r="U68" i="5"/>
  <c r="W373" i="5"/>
  <c r="V412" i="5"/>
  <c r="V383" i="5"/>
  <c r="O413" i="5"/>
  <c r="O407" i="5"/>
  <c r="V417" i="5"/>
  <c r="N479" i="5"/>
  <c r="P380" i="5"/>
  <c r="O380" i="5"/>
  <c r="W427" i="5"/>
  <c r="N12" i="5"/>
  <c r="P385" i="5"/>
  <c r="O385" i="5"/>
  <c r="U470" i="5"/>
  <c r="W98" i="5"/>
  <c r="N350" i="5"/>
  <c r="N486" i="5"/>
  <c r="U313" i="5"/>
  <c r="V313" i="5"/>
  <c r="O333" i="5"/>
  <c r="O321" i="5"/>
  <c r="P321" i="5"/>
  <c r="T342" i="5"/>
  <c r="T395" i="5"/>
  <c r="N45" i="5"/>
  <c r="W279" i="5"/>
  <c r="N2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W40" i="5"/>
  <c r="V431" i="5"/>
  <c r="V392" i="5"/>
  <c r="T29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W253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V55" i="5"/>
  <c r="W381" i="5"/>
  <c r="W416" i="5"/>
  <c r="V362" i="5"/>
  <c r="W52" i="5"/>
  <c r="O34" i="5"/>
  <c r="T23" i="5"/>
  <c r="N13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W311" i="5"/>
  <c r="W295" i="5"/>
  <c r="W274" i="5"/>
  <c r="T5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V137" i="5"/>
  <c r="T137" i="5"/>
  <c r="U89" i="5"/>
  <c r="U148" i="5"/>
  <c r="W240" i="5"/>
  <c r="P206" i="5"/>
  <c r="P502" i="5"/>
  <c r="V503" i="5"/>
  <c r="T11" i="5"/>
  <c r="N59" i="5"/>
  <c r="P59" i="5"/>
  <c r="U53" i="5"/>
  <c r="N308" i="5"/>
  <c r="T355" i="5"/>
  <c r="U355" i="5"/>
  <c r="O222" i="5"/>
  <c r="U236" i="5"/>
  <c r="V41" i="5"/>
  <c r="W41" i="5"/>
  <c r="W46" i="5"/>
  <c r="W78" i="5"/>
  <c r="P245" i="5"/>
  <c r="P94" i="5"/>
  <c r="W126" i="5"/>
  <c r="P140" i="5"/>
  <c r="O140" i="5"/>
  <c r="U144" i="5"/>
  <c r="T144" i="5"/>
  <c r="N146" i="5"/>
  <c r="O158" i="5"/>
  <c r="O182" i="5"/>
  <c r="T195" i="5"/>
  <c r="U195" i="5"/>
  <c r="P264" i="5"/>
  <c r="N264" i="5"/>
  <c r="U353" i="5"/>
  <c r="T353" i="5"/>
  <c r="N365" i="5"/>
  <c r="O421" i="5"/>
  <c r="P6" i="5"/>
  <c r="O6" i="5"/>
  <c r="N6" i="5"/>
  <c r="T307" i="5"/>
  <c r="W307" i="5"/>
  <c r="U307" i="5"/>
  <c r="T331" i="5"/>
  <c r="U331" i="5"/>
  <c r="V331" i="5"/>
  <c r="O475" i="5"/>
  <c r="N475" i="5"/>
  <c r="P475" i="5"/>
  <c r="P118" i="5"/>
  <c r="N118" i="5"/>
  <c r="O118" i="5"/>
  <c r="O408" i="5"/>
  <c r="N408" i="5"/>
  <c r="P408" i="5"/>
  <c r="T73" i="5"/>
  <c r="V73" i="5"/>
  <c r="U73" i="5"/>
  <c r="W73" i="5"/>
  <c r="T504" i="5"/>
  <c r="U504" i="5"/>
  <c r="T65" i="5"/>
  <c r="U65" i="5"/>
  <c r="O165" i="5"/>
  <c r="O175" i="5"/>
  <c r="V89" i="5"/>
  <c r="N82" i="5"/>
  <c r="N8" i="5"/>
  <c r="O113" i="5"/>
  <c r="O119" i="5"/>
  <c r="U188" i="5"/>
  <c r="T188" i="5"/>
  <c r="W188" i="5"/>
  <c r="P246" i="5"/>
  <c r="O246" i="5"/>
  <c r="P257" i="5"/>
  <c r="N257" i="5"/>
  <c r="T283" i="5"/>
  <c r="W283" i="5"/>
  <c r="T484" i="5"/>
  <c r="W484" i="5"/>
  <c r="U484" i="5"/>
  <c r="U35" i="5"/>
  <c r="T35" i="5"/>
  <c r="P58" i="5"/>
  <c r="N58" i="5"/>
  <c r="T72" i="5"/>
  <c r="W72" i="5"/>
  <c r="U152" i="5"/>
  <c r="W152" i="5"/>
  <c r="O20" i="5"/>
  <c r="N20" i="5"/>
  <c r="P20" i="5"/>
  <c r="T438" i="5"/>
  <c r="W438" i="5"/>
  <c r="V438" i="5"/>
  <c r="U406" i="5"/>
  <c r="T406" i="5"/>
  <c r="V406" i="5"/>
  <c r="O411" i="5"/>
  <c r="N411" i="5"/>
  <c r="P293" i="5"/>
  <c r="O293" i="5"/>
  <c r="U725" i="5"/>
  <c r="W725" i="5"/>
  <c r="T725" i="5"/>
  <c r="V810" i="5"/>
  <c r="T810" i="5"/>
  <c r="W810" i="5"/>
  <c r="W57" i="5"/>
  <c r="T10" i="5"/>
  <c r="U154" i="5"/>
  <c r="W503" i="5"/>
  <c r="N39" i="5"/>
  <c r="P39" i="5"/>
  <c r="T33" i="5"/>
  <c r="V33" i="5"/>
  <c r="O308" i="5"/>
  <c r="U30" i="5"/>
  <c r="V236" i="5"/>
  <c r="T71" i="5"/>
  <c r="P165" i="5"/>
  <c r="P175" i="5"/>
  <c r="V154" i="5"/>
  <c r="O171" i="5"/>
  <c r="N167" i="5"/>
  <c r="W202" i="5"/>
  <c r="W494" i="5"/>
  <c r="O82" i="5"/>
  <c r="U214" i="5"/>
  <c r="O238" i="5"/>
  <c r="N498" i="5"/>
  <c r="U228" i="5"/>
  <c r="T49" i="5"/>
  <c r="V30" i="5"/>
  <c r="N508" i="5"/>
  <c r="O508" i="5"/>
  <c r="T500" i="5"/>
  <c r="V500" i="5"/>
  <c r="O41" i="5"/>
  <c r="O8" i="5"/>
  <c r="P113" i="5"/>
  <c r="P119" i="5"/>
  <c r="W71" i="5"/>
  <c r="V492" i="5"/>
  <c r="W492" i="5"/>
  <c r="T125" i="5"/>
  <c r="U125" i="5"/>
  <c r="P130" i="5"/>
  <c r="N130" i="5"/>
  <c r="P138" i="5"/>
  <c r="O138" i="5"/>
  <c r="T143" i="5"/>
  <c r="W143" i="5"/>
  <c r="U183" i="5"/>
  <c r="T191" i="5"/>
  <c r="U191" i="5"/>
  <c r="P288" i="5"/>
  <c r="O288" i="5"/>
  <c r="U439" i="5"/>
  <c r="P43" i="5"/>
  <c r="N43" i="5"/>
  <c r="T122" i="5"/>
  <c r="W122" i="5"/>
  <c r="U122" i="5"/>
  <c r="W132" i="5"/>
  <c r="T480" i="5"/>
  <c r="W480" i="5"/>
  <c r="V480" i="5"/>
  <c r="T203" i="5"/>
  <c r="W203" i="5"/>
  <c r="V203" i="5"/>
  <c r="U509" i="5"/>
  <c r="W509" i="5"/>
  <c r="T509" i="5"/>
  <c r="P443" i="5"/>
  <c r="N443" i="5"/>
  <c r="O443" i="5"/>
  <c r="W282" i="5"/>
  <c r="U282" i="5"/>
  <c r="N267" i="5"/>
  <c r="O267" i="5"/>
  <c r="P267" i="5"/>
  <c r="V110" i="5"/>
  <c r="T110" i="5"/>
  <c r="W154" i="5"/>
  <c r="W16" i="5"/>
  <c r="U242" i="5"/>
  <c r="O240" i="5"/>
  <c r="V214" i="5"/>
  <c r="V504" i="5"/>
  <c r="O232" i="5"/>
  <c r="O19" i="5"/>
  <c r="V228" i="5"/>
  <c r="W49" i="5"/>
  <c r="U48" i="5"/>
  <c r="T495" i="5"/>
  <c r="W30" i="5"/>
  <c r="W50" i="5"/>
  <c r="N85" i="5"/>
  <c r="O85" i="5"/>
  <c r="U198" i="5"/>
  <c r="P46" i="5"/>
  <c r="N46" i="5"/>
  <c r="U116" i="5"/>
  <c r="T116" i="5"/>
  <c r="W116" i="5"/>
  <c r="P126" i="5"/>
  <c r="O126" i="5"/>
  <c r="P128" i="5"/>
  <c r="N128" i="5"/>
  <c r="V142" i="5"/>
  <c r="T142" i="5"/>
  <c r="P144" i="5"/>
  <c r="N144" i="5"/>
  <c r="W183" i="5"/>
  <c r="V186" i="5"/>
  <c r="T186" i="5"/>
  <c r="T187" i="5"/>
  <c r="W187" i="5"/>
  <c r="P194" i="5"/>
  <c r="O194" i="5"/>
  <c r="T264" i="5"/>
  <c r="T332" i="5"/>
  <c r="W332" i="5"/>
  <c r="U332" i="5"/>
  <c r="P353" i="5"/>
  <c r="N353" i="5"/>
  <c r="W439" i="5"/>
  <c r="V456" i="5"/>
  <c r="T456" i="5"/>
  <c r="T457" i="5"/>
  <c r="W457" i="5"/>
  <c r="P35" i="5"/>
  <c r="O35" i="5"/>
  <c r="N35" i="5"/>
  <c r="P152" i="5"/>
  <c r="N152" i="5"/>
  <c r="O152" i="5"/>
  <c r="W299" i="5"/>
  <c r="T299" i="5"/>
  <c r="P221" i="5"/>
  <c r="N221" i="5"/>
  <c r="O221" i="5"/>
  <c r="V235" i="5"/>
  <c r="U235" i="5"/>
  <c r="P451" i="5"/>
  <c r="N451" i="5"/>
  <c r="O451" i="5"/>
  <c r="U414" i="5"/>
  <c r="T414" i="5"/>
  <c r="V414" i="5"/>
  <c r="W364" i="5"/>
  <c r="U364" i="5"/>
  <c r="P101" i="5"/>
  <c r="N101" i="5"/>
  <c r="T117" i="5"/>
  <c r="U117" i="5"/>
  <c r="T273" i="5"/>
  <c r="W273" i="5"/>
  <c r="V326" i="5"/>
  <c r="T326" i="5"/>
  <c r="T7" i="5"/>
  <c r="W7" i="5"/>
  <c r="U7" i="5"/>
  <c r="T67" i="5"/>
  <c r="W67" i="5"/>
  <c r="V111" i="5"/>
  <c r="T111" i="5"/>
  <c r="U358" i="5"/>
  <c r="W358" i="5"/>
  <c r="T358" i="5"/>
  <c r="V358" i="5"/>
  <c r="N501" i="5"/>
  <c r="O501" i="5"/>
  <c r="V114" i="5"/>
  <c r="T114" i="5"/>
  <c r="T115" i="5"/>
  <c r="W115" i="5"/>
  <c r="P121" i="5"/>
  <c r="O121" i="5"/>
  <c r="T141" i="5"/>
  <c r="W141" i="5"/>
  <c r="U158" i="5"/>
  <c r="W158" i="5"/>
  <c r="V158" i="5"/>
  <c r="T185" i="5"/>
  <c r="W185" i="5"/>
  <c r="W264" i="5"/>
  <c r="P281" i="5"/>
  <c r="O281" i="5"/>
  <c r="U421" i="5"/>
  <c r="W421" i="5"/>
  <c r="V421" i="5"/>
  <c r="T455" i="5"/>
  <c r="W455" i="5"/>
  <c r="P249" i="5"/>
  <c r="O249" i="5"/>
  <c r="P299" i="5"/>
  <c r="N299" i="5"/>
  <c r="O299" i="5"/>
  <c r="T471" i="5"/>
  <c r="V471" i="5"/>
  <c r="U471" i="5"/>
  <c r="W471" i="5"/>
  <c r="O346" i="5"/>
  <c r="N346" i="5"/>
  <c r="P346" i="5"/>
  <c r="O522" i="5"/>
  <c r="N522" i="5"/>
  <c r="V222" i="5"/>
  <c r="T222" i="5"/>
  <c r="P142" i="5"/>
  <c r="N142" i="5"/>
  <c r="W146" i="5"/>
  <c r="W246" i="5"/>
  <c r="U283" i="5"/>
  <c r="W365" i="5"/>
  <c r="V6" i="5"/>
  <c r="T6" i="5"/>
  <c r="V35" i="5"/>
  <c r="U58" i="5"/>
  <c r="W58" i="5"/>
  <c r="U72" i="5"/>
  <c r="P132" i="5"/>
  <c r="N132" i="5"/>
  <c r="O132" i="5"/>
  <c r="T152" i="5"/>
  <c r="O164" i="5"/>
  <c r="N164" i="5"/>
  <c r="P164" i="5"/>
  <c r="U327" i="5"/>
  <c r="V327" i="5"/>
  <c r="W406" i="5"/>
  <c r="O490" i="5"/>
  <c r="N490" i="5"/>
  <c r="T482" i="5"/>
  <c r="W482" i="5"/>
  <c r="U482" i="5"/>
  <c r="V482" i="5"/>
  <c r="W318" i="5"/>
  <c r="U318" i="5"/>
  <c r="U515" i="5"/>
  <c r="W515" i="5"/>
  <c r="T515" i="5"/>
  <c r="V515" i="5"/>
  <c r="V91" i="5"/>
  <c r="W91" i="5"/>
  <c r="T47" i="5"/>
  <c r="U47" i="5"/>
  <c r="V46" i="5"/>
  <c r="T120" i="5"/>
  <c r="U120" i="5"/>
  <c r="N245" i="5"/>
  <c r="N94" i="5"/>
  <c r="T107" i="5"/>
  <c r="W107" i="5"/>
  <c r="W127" i="5"/>
  <c r="W130" i="5"/>
  <c r="W133" i="5"/>
  <c r="U135" i="5"/>
  <c r="W135" i="5"/>
  <c r="V135" i="5"/>
  <c r="N158" i="5"/>
  <c r="N182" i="5"/>
  <c r="O264" i="5"/>
  <c r="T289" i="5"/>
  <c r="W289" i="5"/>
  <c r="U289" i="5"/>
  <c r="P326" i="5"/>
  <c r="N326" i="5"/>
  <c r="W353" i="5"/>
  <c r="N421" i="5"/>
  <c r="W35" i="5"/>
  <c r="T92" i="5"/>
  <c r="W92" i="5"/>
  <c r="U92" i="5"/>
  <c r="U123" i="5"/>
  <c r="T123" i="5"/>
  <c r="V152" i="5"/>
  <c r="U261" i="5"/>
  <c r="V261" i="5"/>
  <c r="T261" i="5"/>
  <c r="O241" i="5"/>
  <c r="N241" i="5"/>
  <c r="P241" i="5"/>
  <c r="V509" i="5"/>
  <c r="T87" i="5"/>
  <c r="V87" i="5"/>
  <c r="U87" i="5"/>
  <c r="W87" i="5"/>
  <c r="P5" i="5"/>
  <c r="O5" i="5"/>
  <c r="W472" i="5"/>
  <c r="U160" i="5"/>
  <c r="U172" i="5"/>
  <c r="U199" i="5"/>
  <c r="V213" i="5"/>
  <c r="U237" i="5"/>
  <c r="U434" i="5"/>
  <c r="U412" i="5"/>
  <c r="U83" i="5"/>
  <c r="V478" i="5"/>
  <c r="W36" i="5"/>
  <c r="P446" i="5"/>
  <c r="O446" i="5"/>
  <c r="U294" i="5"/>
  <c r="T298" i="5"/>
  <c r="U298" i="5"/>
  <c r="V306" i="5"/>
  <c r="T320" i="5"/>
  <c r="V320" i="5"/>
  <c r="V385" i="5"/>
  <c r="V300" i="5"/>
  <c r="U486" i="5"/>
  <c r="T486" i="5"/>
  <c r="T22" i="5"/>
  <c r="W22" i="5"/>
  <c r="U22" i="5"/>
  <c r="W463" i="5"/>
  <c r="V321" i="5"/>
  <c r="T354" i="5"/>
  <c r="W354" i="5"/>
  <c r="V354" i="5"/>
  <c r="W338" i="5"/>
  <c r="U338" i="5"/>
  <c r="T338" i="5"/>
  <c r="P314" i="5"/>
  <c r="O314" i="5"/>
  <c r="T403" i="5"/>
  <c r="U403" i="5"/>
  <c r="W403" i="5"/>
  <c r="V403" i="5"/>
  <c r="P284" i="5"/>
  <c r="N284" i="5"/>
  <c r="P296" i="5"/>
  <c r="O296" i="5"/>
  <c r="P260" i="5"/>
  <c r="O260" i="5"/>
  <c r="N260" i="5"/>
  <c r="V939" i="5"/>
  <c r="T939" i="5"/>
  <c r="W939" i="5"/>
  <c r="W268" i="5"/>
  <c r="V272" i="5"/>
  <c r="W62" i="5"/>
  <c r="V66" i="5"/>
  <c r="T340" i="5"/>
  <c r="W367" i="5"/>
  <c r="T483" i="5"/>
  <c r="N160" i="5"/>
  <c r="W160" i="5"/>
  <c r="N172" i="5"/>
  <c r="W172" i="5"/>
  <c r="V176" i="5"/>
  <c r="N199" i="5"/>
  <c r="W199" i="5"/>
  <c r="U215" i="5"/>
  <c r="T217" i="5"/>
  <c r="N237" i="5"/>
  <c r="W237" i="5"/>
  <c r="N434" i="5"/>
  <c r="W434" i="5"/>
  <c r="W366" i="5"/>
  <c r="U442" i="5"/>
  <c r="W412" i="5"/>
  <c r="V404" i="5"/>
  <c r="W83" i="5"/>
  <c r="W383" i="5"/>
  <c r="U474" i="5"/>
  <c r="T407" i="5"/>
  <c r="V407" i="5"/>
  <c r="U407" i="5"/>
  <c r="U369" i="5"/>
  <c r="T369" i="5"/>
  <c r="W369" i="5"/>
  <c r="T302" i="5"/>
  <c r="V302" i="5"/>
  <c r="W302" i="5"/>
  <c r="V343" i="5"/>
  <c r="W275" i="5"/>
  <c r="T386" i="5"/>
  <c r="V386" i="5"/>
  <c r="V345" i="5"/>
  <c r="W294" i="5"/>
  <c r="W312" i="5"/>
  <c r="O428" i="5"/>
  <c r="N428" i="5"/>
  <c r="P466" i="5"/>
  <c r="N466" i="5"/>
  <c r="P339" i="5"/>
  <c r="N339" i="5"/>
  <c r="W464" i="5"/>
  <c r="U476" i="5"/>
  <c r="T476" i="5"/>
  <c r="T27" i="5"/>
  <c r="V27" i="5"/>
  <c r="W27" i="5"/>
  <c r="T415" i="5"/>
  <c r="W415" i="5"/>
  <c r="T292" i="5"/>
  <c r="U292" i="5"/>
  <c r="W292" i="5"/>
  <c r="V292" i="5"/>
  <c r="O354" i="5"/>
  <c r="V395" i="5"/>
  <c r="U347" i="5"/>
  <c r="T510" i="5"/>
  <c r="U324" i="5"/>
  <c r="U287" i="5"/>
  <c r="W287" i="5"/>
  <c r="V287" i="5"/>
  <c r="W465" i="5"/>
  <c r="T465" i="5"/>
  <c r="U465" i="5"/>
  <c r="O403" i="5"/>
  <c r="P403" i="5"/>
  <c r="T315" i="5"/>
  <c r="T291" i="5"/>
  <c r="W291" i="5"/>
  <c r="V291" i="5"/>
  <c r="U81" i="5"/>
  <c r="O305" i="5"/>
  <c r="P305" i="5"/>
  <c r="P277" i="5"/>
  <c r="N277" i="5"/>
  <c r="O277" i="5"/>
  <c r="P276" i="5"/>
  <c r="O276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W138" i="5"/>
  <c r="V140" i="5"/>
  <c r="U145" i="5"/>
  <c r="U147" i="5"/>
  <c r="W272" i="5"/>
  <c r="W281" i="5"/>
  <c r="V288" i="5"/>
  <c r="U356" i="5"/>
  <c r="U398" i="5"/>
  <c r="W66" i="5"/>
  <c r="W70" i="5"/>
  <c r="V77" i="5"/>
  <c r="U124" i="5"/>
  <c r="U150" i="5"/>
  <c r="U255" i="5"/>
  <c r="U270" i="5"/>
  <c r="V340" i="5"/>
  <c r="U435" i="5"/>
  <c r="V483" i="5"/>
  <c r="O160" i="5"/>
  <c r="V162" i="5"/>
  <c r="O172" i="5"/>
  <c r="W176" i="5"/>
  <c r="T178" i="5"/>
  <c r="U181" i="5"/>
  <c r="T190" i="5"/>
  <c r="O199" i="5"/>
  <c r="T205" i="5"/>
  <c r="O209" i="5"/>
  <c r="O213" i="5"/>
  <c r="V215" i="5"/>
  <c r="U217" i="5"/>
  <c r="V219" i="5"/>
  <c r="W224" i="5"/>
  <c r="T226" i="5"/>
  <c r="U229" i="5"/>
  <c r="T231" i="5"/>
  <c r="O237" i="5"/>
  <c r="V239" i="5"/>
  <c r="O434" i="5"/>
  <c r="W278" i="5"/>
  <c r="W68" i="5"/>
  <c r="V63" i="5"/>
  <c r="U402" i="5"/>
  <c r="T473" i="5"/>
  <c r="V430" i="5"/>
  <c r="V442" i="5"/>
  <c r="N509" i="5"/>
  <c r="U108" i="5"/>
  <c r="U449" i="5"/>
  <c r="O412" i="5"/>
  <c r="N331" i="5"/>
  <c r="W404" i="5"/>
  <c r="U452" i="5"/>
  <c r="O83" i="5"/>
  <c r="V17" i="5"/>
  <c r="O478" i="5"/>
  <c r="V474" i="5"/>
  <c r="U379" i="5"/>
  <c r="V454" i="5"/>
  <c r="W407" i="5"/>
  <c r="U507" i="5"/>
  <c r="T335" i="5"/>
  <c r="V335" i="5"/>
  <c r="V328" i="5"/>
  <c r="U446" i="5"/>
  <c r="U437" i="5"/>
  <c r="V400" i="5"/>
  <c r="V409" i="5"/>
  <c r="W487" i="5"/>
  <c r="U489" i="5"/>
  <c r="V489" i="5"/>
  <c r="N414" i="5"/>
  <c r="W343" i="5"/>
  <c r="W357" i="5"/>
  <c r="W345" i="5"/>
  <c r="V426" i="5"/>
  <c r="W417" i="5"/>
  <c r="V44" i="5"/>
  <c r="T432" i="5"/>
  <c r="V432" i="5"/>
  <c r="U352" i="5"/>
  <c r="T352" i="5"/>
  <c r="U376" i="5"/>
  <c r="T419" i="5"/>
  <c r="O294" i="5"/>
  <c r="W359" i="5"/>
  <c r="T388" i="5"/>
  <c r="V388" i="5"/>
  <c r="W361" i="5"/>
  <c r="U387" i="5"/>
  <c r="O306" i="5"/>
  <c r="T12" i="5"/>
  <c r="V12" i="5"/>
  <c r="U12" i="5"/>
  <c r="W397" i="5"/>
  <c r="U397" i="5"/>
  <c r="W349" i="5"/>
  <c r="U349" i="5"/>
  <c r="N73" i="5"/>
  <c r="W390" i="5"/>
  <c r="T390" i="5"/>
  <c r="P86" i="5"/>
  <c r="O86" i="5"/>
  <c r="N86" i="5"/>
  <c r="P354" i="5"/>
  <c r="T360" i="5"/>
  <c r="V360" i="5"/>
  <c r="U360" i="5"/>
  <c r="W395" i="5"/>
  <c r="V347" i="5"/>
  <c r="V510" i="5"/>
  <c r="V284" i="5"/>
  <c r="W34" i="5"/>
  <c r="T34" i="5"/>
  <c r="U392" i="5"/>
  <c r="V81" i="5"/>
  <c r="T512" i="5"/>
  <c r="V512" i="5"/>
  <c r="U512" i="5"/>
  <c r="T514" i="5"/>
  <c r="W514" i="5"/>
  <c r="U514" i="5"/>
  <c r="U20" i="5"/>
  <c r="U164" i="5"/>
  <c r="V178" i="5"/>
  <c r="V205" i="5"/>
  <c r="N215" i="5"/>
  <c r="W215" i="5"/>
  <c r="W219" i="5"/>
  <c r="V226" i="5"/>
  <c r="U241" i="5"/>
  <c r="O366" i="5"/>
  <c r="W63" i="5"/>
  <c r="V402" i="5"/>
  <c r="U54" i="5"/>
  <c r="W442" i="5"/>
  <c r="T451" i="5"/>
  <c r="O509" i="5"/>
  <c r="V449" i="5"/>
  <c r="U475" i="5"/>
  <c r="U351" i="5"/>
  <c r="V452" i="5"/>
  <c r="N383" i="5"/>
  <c r="N474" i="5"/>
  <c r="W474" i="5"/>
  <c r="W454" i="5"/>
  <c r="T443" i="5"/>
  <c r="P406" i="5"/>
  <c r="O406" i="5"/>
  <c r="N407" i="5"/>
  <c r="N424" i="5"/>
  <c r="V446" i="5"/>
  <c r="W400" i="5"/>
  <c r="W409" i="5"/>
  <c r="T297" i="5"/>
  <c r="V297" i="5"/>
  <c r="N302" i="5"/>
  <c r="O414" i="5"/>
  <c r="N386" i="5"/>
  <c r="W426" i="5"/>
  <c r="W44" i="5"/>
  <c r="T341" i="5"/>
  <c r="V341" i="5"/>
  <c r="U286" i="5"/>
  <c r="W286" i="5"/>
  <c r="V286" i="5"/>
  <c r="T344" i="5"/>
  <c r="U344" i="5"/>
  <c r="V419" i="5"/>
  <c r="N312" i="5"/>
  <c r="T450" i="5"/>
  <c r="V450" i="5"/>
  <c r="W450" i="5"/>
  <c r="T285" i="5"/>
  <c r="W285" i="5"/>
  <c r="V285" i="5"/>
  <c r="U346" i="5"/>
  <c r="N482" i="5"/>
  <c r="O482" i="5"/>
  <c r="O394" i="5"/>
  <c r="N394" i="5"/>
  <c r="P470" i="5"/>
  <c r="O470" i="5"/>
  <c r="N470" i="5"/>
  <c r="P358" i="5"/>
  <c r="N358" i="5"/>
  <c r="P313" i="5"/>
  <c r="N313" i="5"/>
  <c r="U322" i="5"/>
  <c r="V322" i="5"/>
  <c r="T322" i="5"/>
  <c r="T330" i="5"/>
  <c r="V330" i="5"/>
  <c r="U330" i="5"/>
  <c r="W347" i="5"/>
  <c r="T324" i="5"/>
  <c r="W324" i="5"/>
  <c r="T301" i="5"/>
  <c r="V301" i="5"/>
  <c r="U301" i="5"/>
  <c r="W393" i="5"/>
  <c r="T393" i="5"/>
  <c r="O303" i="5"/>
  <c r="P303" i="5"/>
  <c r="N303" i="5"/>
  <c r="O465" i="5"/>
  <c r="U315" i="5"/>
  <c r="W315" i="5"/>
  <c r="N291" i="5"/>
  <c r="W81" i="5"/>
  <c r="U26" i="5"/>
  <c r="T258" i="5"/>
  <c r="W247" i="5"/>
  <c r="T247" i="5"/>
  <c r="T170" i="5"/>
  <c r="U207" i="5"/>
  <c r="U211" i="5"/>
  <c r="T436" i="5"/>
  <c r="W402" i="5"/>
  <c r="U441" i="5"/>
  <c r="V451" i="5"/>
  <c r="N108" i="5"/>
  <c r="W449" i="5"/>
  <c r="W452" i="5"/>
  <c r="U425" i="5"/>
  <c r="V443" i="5"/>
  <c r="N328" i="5"/>
  <c r="W446" i="5"/>
  <c r="N374" i="5"/>
  <c r="W467" i="5"/>
  <c r="U467" i="5"/>
  <c r="W375" i="5"/>
  <c r="U375" i="5"/>
  <c r="T118" i="5"/>
  <c r="U118" i="5"/>
  <c r="W118" i="5"/>
  <c r="W95" i="5"/>
  <c r="U95" i="5"/>
  <c r="U336" i="5"/>
  <c r="V466" i="5"/>
  <c r="T339" i="5"/>
  <c r="O464" i="5"/>
  <c r="P464" i="5"/>
  <c r="N427" i="5"/>
  <c r="W410" i="5"/>
  <c r="U410" i="5"/>
  <c r="P476" i="5"/>
  <c r="O476" i="5"/>
  <c r="W280" i="5"/>
  <c r="T280" i="5"/>
  <c r="P80" i="5"/>
  <c r="O80" i="5"/>
  <c r="U284" i="5"/>
  <c r="T284" i="5"/>
  <c r="P256" i="5"/>
  <c r="O256" i="5"/>
  <c r="N256" i="5"/>
  <c r="O540" i="5"/>
  <c r="N540" i="5"/>
  <c r="P540" i="5"/>
  <c r="W491" i="5"/>
  <c r="V106" i="5"/>
  <c r="W182" i="5"/>
  <c r="V184" i="5"/>
  <c r="W433" i="5"/>
  <c r="V448" i="5"/>
  <c r="T458" i="5"/>
  <c r="O70" i="5"/>
  <c r="O77" i="5"/>
  <c r="N111" i="5"/>
  <c r="N123" i="5"/>
  <c r="W161" i="5"/>
  <c r="V173" i="5"/>
  <c r="W180" i="5"/>
  <c r="T230" i="5"/>
  <c r="W249" i="5"/>
  <c r="O340" i="5"/>
  <c r="O378" i="5"/>
  <c r="O435" i="5"/>
  <c r="V444" i="5"/>
  <c r="W447" i="5"/>
  <c r="W459" i="5"/>
  <c r="V460" i="5"/>
  <c r="T472" i="5"/>
  <c r="W20" i="5"/>
  <c r="T24" i="5"/>
  <c r="W149" i="5"/>
  <c r="W151" i="5"/>
  <c r="W153" i="5"/>
  <c r="O162" i="5"/>
  <c r="W164" i="5"/>
  <c r="V168" i="5"/>
  <c r="V170" i="5"/>
  <c r="N178" i="5"/>
  <c r="W193" i="5"/>
  <c r="V197" i="5"/>
  <c r="N205" i="5"/>
  <c r="V207" i="5"/>
  <c r="V211" i="5"/>
  <c r="O219" i="5"/>
  <c r="N226" i="5"/>
  <c r="U233" i="5"/>
  <c r="O239" i="5"/>
  <c r="W241" i="5"/>
  <c r="V422" i="5"/>
  <c r="V436" i="5"/>
  <c r="O278" i="5"/>
  <c r="U55" i="5"/>
  <c r="W54" i="5"/>
  <c r="T469" i="5"/>
  <c r="O430" i="5"/>
  <c r="V441" i="5"/>
  <c r="W451" i="5"/>
  <c r="O108" i="5"/>
  <c r="V40" i="5"/>
  <c r="W475" i="5"/>
  <c r="V381" i="5"/>
  <c r="O17" i="5"/>
  <c r="V425" i="5"/>
  <c r="U420" i="5"/>
  <c r="V204" i="5"/>
  <c r="N454" i="5"/>
  <c r="W443" i="5"/>
  <c r="U36" i="5"/>
  <c r="W382" i="5"/>
  <c r="U382" i="5"/>
  <c r="O328" i="5"/>
  <c r="O297" i="5"/>
  <c r="N297" i="5"/>
  <c r="P487" i="5"/>
  <c r="N487" i="5"/>
  <c r="N445" i="5"/>
  <c r="P489" i="5"/>
  <c r="N489" i="5"/>
  <c r="O374" i="5"/>
  <c r="P357" i="5"/>
  <c r="N357" i="5"/>
  <c r="N461" i="5"/>
  <c r="N341" i="5"/>
  <c r="N286" i="5"/>
  <c r="W31" i="5"/>
  <c r="U31" i="5"/>
  <c r="P352" i="5"/>
  <c r="N352" i="5"/>
  <c r="N344" i="5"/>
  <c r="W408" i="5"/>
  <c r="W490" i="5"/>
  <c r="P359" i="5"/>
  <c r="O359" i="5"/>
  <c r="N450" i="5"/>
  <c r="P361" i="5"/>
  <c r="O361" i="5"/>
  <c r="N285" i="5"/>
  <c r="O337" i="5"/>
  <c r="N337" i="5"/>
  <c r="N462" i="5"/>
  <c r="W346" i="5"/>
  <c r="W411" i="5"/>
  <c r="T363" i="5"/>
  <c r="V298" i="5"/>
  <c r="O427" i="5"/>
  <c r="U320" i="5"/>
  <c r="V486" i="5"/>
  <c r="U463" i="5"/>
  <c r="T481" i="5"/>
  <c r="W481" i="5"/>
  <c r="V481" i="5"/>
  <c r="N15" i="5"/>
  <c r="W314" i="5"/>
  <c r="T314" i="5"/>
  <c r="O301" i="5"/>
  <c r="N301" i="5"/>
  <c r="W26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O111" i="5"/>
  <c r="O123" i="5"/>
  <c r="O261" i="5"/>
  <c r="W460" i="5"/>
  <c r="V472" i="5"/>
  <c r="U155" i="5"/>
  <c r="V157" i="5"/>
  <c r="W170" i="5"/>
  <c r="O178" i="5"/>
  <c r="W197" i="5"/>
  <c r="O205" i="5"/>
  <c r="W207" i="5"/>
  <c r="T209" i="5"/>
  <c r="W211" i="5"/>
  <c r="T213" i="5"/>
  <c r="O226" i="5"/>
  <c r="W436" i="5"/>
  <c r="V469" i="5"/>
  <c r="W441" i="5"/>
  <c r="U373" i="5"/>
  <c r="N452" i="5"/>
  <c r="W425" i="5"/>
  <c r="W204" i="5"/>
  <c r="T478" i="5"/>
  <c r="U413" i="5"/>
  <c r="U429" i="5"/>
  <c r="V36" i="5"/>
  <c r="N446" i="5"/>
  <c r="P409" i="5"/>
  <c r="N409" i="5"/>
  <c r="O409" i="5"/>
  <c r="W334" i="5"/>
  <c r="U334" i="5"/>
  <c r="O445" i="5"/>
  <c r="P461" i="5"/>
  <c r="P426" i="5"/>
  <c r="N426" i="5"/>
  <c r="P44" i="5"/>
  <c r="N44" i="5"/>
  <c r="W488" i="5"/>
  <c r="U488" i="5"/>
  <c r="O286" i="5"/>
  <c r="P450" i="5"/>
  <c r="O285" i="5"/>
  <c r="O462" i="5"/>
  <c r="V363" i="5"/>
  <c r="U466" i="5"/>
  <c r="T466" i="5"/>
  <c r="T323" i="5"/>
  <c r="V323" i="5"/>
  <c r="U323" i="5"/>
  <c r="U339" i="5"/>
  <c r="V339" i="5"/>
  <c r="W298" i="5"/>
  <c r="T306" i="5"/>
  <c r="W320" i="5"/>
  <c r="T385" i="5"/>
  <c r="T300" i="5"/>
  <c r="W486" i="5"/>
  <c r="V463" i="5"/>
  <c r="U348" i="5"/>
  <c r="T348" i="5"/>
  <c r="W348" i="5"/>
  <c r="U321" i="5"/>
  <c r="U354" i="5"/>
  <c r="P322" i="5"/>
  <c r="O322" i="5"/>
  <c r="O324" i="5"/>
  <c r="N324" i="5"/>
  <c r="O15" i="5"/>
  <c r="U303" i="5"/>
  <c r="O284" i="5"/>
  <c r="O52" i="5"/>
  <c r="P52" i="5"/>
  <c r="N52" i="5"/>
  <c r="P315" i="5"/>
  <c r="N315" i="5"/>
  <c r="P391" i="5"/>
  <c r="O391" i="5"/>
  <c r="O81" i="5"/>
  <c r="N81" i="5"/>
  <c r="P81" i="5"/>
  <c r="U258" i="5"/>
  <c r="V258" i="5"/>
  <c r="O262" i="5"/>
  <c r="P262" i="5"/>
  <c r="T526" i="5"/>
  <c r="W526" i="5"/>
  <c r="U526" i="5"/>
  <c r="P535" i="5"/>
  <c r="O535" i="5"/>
  <c r="N535" i="5"/>
  <c r="T544" i="5"/>
  <c r="W544" i="5"/>
  <c r="V544" i="5"/>
  <c r="U544" i="5"/>
  <c r="V250" i="5"/>
  <c r="T256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V256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W424" i="5"/>
  <c r="V445" i="5"/>
  <c r="W384" i="5"/>
  <c r="U462" i="5"/>
  <c r="W462" i="5"/>
  <c r="V462" i="5"/>
  <c r="W371" i="5"/>
  <c r="U427" i="5"/>
  <c r="U98" i="5"/>
  <c r="P415" i="5"/>
  <c r="O486" i="5"/>
  <c r="W313" i="5"/>
  <c r="O347" i="5"/>
  <c r="U15" i="5"/>
  <c r="T15" i="5"/>
  <c r="W15" i="5"/>
  <c r="W80" i="5"/>
  <c r="O319" i="5"/>
  <c r="U391" i="5"/>
  <c r="O18" i="5"/>
  <c r="O26" i="5"/>
  <c r="V274" i="5"/>
  <c r="T277" i="5"/>
  <c r="P258" i="5"/>
  <c r="O258" i="5"/>
  <c r="N258" i="5"/>
  <c r="N250" i="5"/>
  <c r="V253" i="5"/>
  <c r="T262" i="5"/>
  <c r="V262" i="5"/>
  <c r="U262" i="5"/>
  <c r="W256" i="5"/>
  <c r="V26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O87" i="5"/>
  <c r="N87" i="5"/>
  <c r="U45" i="5"/>
  <c r="T290" i="5"/>
  <c r="V290" i="5"/>
  <c r="U290" i="5"/>
  <c r="V391" i="5"/>
  <c r="U304" i="5"/>
  <c r="O247" i="5"/>
  <c r="P250" i="5"/>
  <c r="W266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277" i="5"/>
  <c r="W277" i="5"/>
  <c r="T75" i="5"/>
  <c r="W75" i="5"/>
  <c r="V75" i="5"/>
  <c r="W276" i="5"/>
  <c r="V276" i="5"/>
  <c r="T276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U279" i="5"/>
  <c r="V311" i="5"/>
  <c r="U310" i="5"/>
  <c r="T310" i="5"/>
  <c r="W310" i="5"/>
  <c r="W305" i="5"/>
  <c r="V13" i="5"/>
  <c r="O75" i="5"/>
  <c r="P266" i="5"/>
  <c r="O266" i="5"/>
  <c r="N25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V18" i="5"/>
  <c r="U260" i="5"/>
  <c r="V259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16" i="5"/>
  <c r="U374" i="5"/>
  <c r="U461" i="5"/>
  <c r="U431" i="5"/>
  <c r="U362" i="5"/>
  <c r="V479" i="5"/>
  <c r="W428" i="5"/>
  <c r="U380" i="5"/>
  <c r="V468" i="5"/>
  <c r="W350" i="5"/>
  <c r="U333" i="5"/>
  <c r="V86" i="5"/>
  <c r="V52" i="5"/>
  <c r="V295" i="5"/>
  <c r="W18" i="5"/>
  <c r="U267" i="5"/>
  <c r="V260" i="5"/>
  <c r="W259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C235" i="3"/>
  <c r="C89" i="3"/>
  <c r="C167" i="3"/>
  <c r="C290" i="3"/>
  <c r="C355" i="3" s="1"/>
  <c r="V401" i="3"/>
  <c r="V484" i="3"/>
  <c r="A484" i="3" s="1"/>
  <c r="S235" i="3"/>
  <c r="AP401" i="3"/>
  <c r="AP484" i="3"/>
  <c r="S355" i="3"/>
  <c r="S290" i="3"/>
  <c r="S89" i="3"/>
  <c r="S167" i="3"/>
  <c r="F209" i="3"/>
  <c r="F244" i="3"/>
  <c r="V192" i="5"/>
  <c r="W192" i="5"/>
  <c r="V159" i="5"/>
  <c r="U159" i="5"/>
  <c r="T159" i="5"/>
  <c r="V200" i="5"/>
  <c r="W200" i="5"/>
  <c r="V225" i="5"/>
  <c r="U225" i="5"/>
  <c r="T225" i="5"/>
  <c r="V496" i="5"/>
  <c r="W496" i="5"/>
  <c r="V498" i="5"/>
  <c r="U498" i="5"/>
  <c r="T498" i="5"/>
  <c r="V317" i="5"/>
  <c r="W317" i="5"/>
  <c r="V21" i="5"/>
  <c r="U21" i="5"/>
  <c r="T21" i="5"/>
  <c r="V93" i="5"/>
  <c r="W93" i="5"/>
  <c r="V37" i="5"/>
  <c r="U37" i="5"/>
  <c r="T37" i="5"/>
  <c r="V51" i="5"/>
  <c r="W51" i="5"/>
  <c r="V8" i="5"/>
  <c r="U8" i="5"/>
  <c r="T8" i="5"/>
  <c r="N42" i="5"/>
  <c r="O42" i="5"/>
  <c r="N141" i="5"/>
  <c r="P141" i="5"/>
  <c r="O141" i="5"/>
  <c r="N143" i="5"/>
  <c r="O143" i="5"/>
  <c r="P143" i="5"/>
  <c r="N332" i="5"/>
  <c r="O332" i="5"/>
  <c r="P332" i="5"/>
  <c r="P177" i="5"/>
  <c r="O177" i="5"/>
  <c r="N25" i="5"/>
  <c r="O25" i="5"/>
  <c r="P242" i="5"/>
  <c r="O242" i="5"/>
  <c r="N216" i="5"/>
  <c r="O216" i="5"/>
  <c r="P214" i="5"/>
  <c r="O214" i="5"/>
  <c r="N11" i="5"/>
  <c r="O11" i="5"/>
  <c r="P32" i="5"/>
  <c r="O32" i="5"/>
  <c r="N495" i="5"/>
  <c r="O495" i="5"/>
  <c r="P30" i="5"/>
  <c r="O30" i="5"/>
  <c r="N497" i="5"/>
  <c r="O497" i="5"/>
  <c r="P499" i="5"/>
  <c r="O499" i="5"/>
  <c r="V94" i="5"/>
  <c r="U94" i="5"/>
  <c r="W94" i="5"/>
  <c r="T94" i="5"/>
  <c r="W104" i="5"/>
  <c r="V104" i="5"/>
  <c r="U104" i="5"/>
  <c r="T105" i="5"/>
  <c r="V105" i="5"/>
  <c r="U105" i="5"/>
  <c r="N145" i="5"/>
  <c r="P145" i="5"/>
  <c r="O145" i="5"/>
  <c r="N147" i="5"/>
  <c r="O147" i="5"/>
  <c r="P147" i="5"/>
  <c r="V10" i="5"/>
  <c r="V90" i="5"/>
  <c r="W90" i="5"/>
  <c r="V212" i="5"/>
  <c r="W212" i="5"/>
  <c r="V244" i="5"/>
  <c r="W244" i="5"/>
  <c r="V69" i="5"/>
  <c r="W69" i="5"/>
  <c r="V100" i="5"/>
  <c r="W100" i="5"/>
  <c r="V97" i="5"/>
  <c r="W97" i="5"/>
  <c r="T97" i="5"/>
  <c r="N179" i="5"/>
  <c r="P179" i="5"/>
  <c r="O179" i="5"/>
  <c r="N183" i="5"/>
  <c r="O183" i="5"/>
  <c r="P183" i="5"/>
  <c r="N192" i="5"/>
  <c r="O192" i="5"/>
  <c r="P89" i="5"/>
  <c r="O89" i="5"/>
  <c r="V220" i="5"/>
  <c r="U220" i="5"/>
  <c r="W220" i="5"/>
  <c r="N200" i="5"/>
  <c r="O200" i="5"/>
  <c r="P223" i="5"/>
  <c r="O223" i="5"/>
  <c r="V79" i="5"/>
  <c r="U79" i="5"/>
  <c r="W79" i="5"/>
  <c r="N496" i="5"/>
  <c r="O496" i="5"/>
  <c r="P505" i="5"/>
  <c r="O505" i="5"/>
  <c r="V501" i="5"/>
  <c r="U501" i="5"/>
  <c r="W501" i="5"/>
  <c r="N317" i="5"/>
  <c r="O317" i="5"/>
  <c r="P228" i="5"/>
  <c r="O228" i="5"/>
  <c r="V59" i="5"/>
  <c r="U59" i="5"/>
  <c r="W59" i="5"/>
  <c r="N93" i="5"/>
  <c r="O93" i="5"/>
  <c r="P355" i="5"/>
  <c r="O355" i="5"/>
  <c r="V96" i="5"/>
  <c r="U96" i="5"/>
  <c r="W96" i="5"/>
  <c r="N51" i="5"/>
  <c r="O51" i="5"/>
  <c r="P500" i="5"/>
  <c r="O500" i="5"/>
  <c r="V119" i="5"/>
  <c r="U119" i="5"/>
  <c r="W119" i="5"/>
  <c r="V245" i="5"/>
  <c r="U245" i="5"/>
  <c r="W245" i="5"/>
  <c r="T245" i="5"/>
  <c r="W493" i="5"/>
  <c r="V493" i="5"/>
  <c r="U493" i="5"/>
  <c r="V3" i="5"/>
  <c r="W3" i="5"/>
  <c r="T3" i="5"/>
  <c r="N105" i="5"/>
  <c r="O105" i="5"/>
  <c r="P105" i="5"/>
  <c r="N107" i="5"/>
  <c r="P107" i="5"/>
  <c r="O107" i="5"/>
  <c r="N115" i="5"/>
  <c r="O115" i="5"/>
  <c r="P115" i="5"/>
  <c r="N185" i="5"/>
  <c r="P185" i="5"/>
  <c r="O185" i="5"/>
  <c r="N187" i="5"/>
  <c r="O187" i="5"/>
  <c r="P187" i="5"/>
  <c r="V148" i="5"/>
  <c r="W148" i="5"/>
  <c r="V167" i="5"/>
  <c r="U167" i="5"/>
  <c r="T167" i="5"/>
  <c r="V109" i="5"/>
  <c r="W109" i="5"/>
  <c r="V82" i="5"/>
  <c r="U82" i="5"/>
  <c r="T82" i="5"/>
  <c r="V112" i="5"/>
  <c r="W112" i="5"/>
  <c r="V218" i="5"/>
  <c r="U218" i="5"/>
  <c r="T218" i="5"/>
  <c r="V53" i="5"/>
  <c r="W53" i="5"/>
  <c r="V308" i="5"/>
  <c r="U308" i="5"/>
  <c r="T308" i="5"/>
  <c r="V65" i="5"/>
  <c r="W65" i="5"/>
  <c r="V227" i="5"/>
  <c r="U227" i="5"/>
  <c r="T227" i="5"/>
  <c r="V198" i="5"/>
  <c r="W198" i="5"/>
  <c r="V61" i="5"/>
  <c r="U61" i="5"/>
  <c r="W61" i="5"/>
  <c r="T61" i="5"/>
  <c r="V309" i="5"/>
  <c r="W309" i="5"/>
  <c r="T309" i="5"/>
  <c r="N97" i="5"/>
  <c r="P97" i="5"/>
  <c r="O97" i="5"/>
  <c r="N117" i="5"/>
  <c r="P117" i="5"/>
  <c r="O117" i="5"/>
  <c r="N125" i="5"/>
  <c r="O125" i="5"/>
  <c r="P125" i="5"/>
  <c r="N195" i="5"/>
  <c r="O195" i="5"/>
  <c r="P195" i="5"/>
  <c r="N10" i="5"/>
  <c r="O10" i="5"/>
  <c r="P154" i="5"/>
  <c r="O154" i="5"/>
  <c r="W167" i="5"/>
  <c r="N90" i="5"/>
  <c r="O90" i="5"/>
  <c r="P202" i="5"/>
  <c r="O202" i="5"/>
  <c r="W82" i="5"/>
  <c r="N212" i="5"/>
  <c r="O212" i="5"/>
  <c r="P503" i="5"/>
  <c r="O503" i="5"/>
  <c r="W218" i="5"/>
  <c r="N244" i="5"/>
  <c r="O244" i="5"/>
  <c r="P48" i="5"/>
  <c r="O48" i="5"/>
  <c r="W308" i="5"/>
  <c r="N69" i="5"/>
  <c r="O69" i="5"/>
  <c r="P57" i="5"/>
  <c r="O57" i="5"/>
  <c r="W227" i="5"/>
  <c r="N100" i="5"/>
  <c r="O100" i="5"/>
  <c r="P47" i="5"/>
  <c r="O47" i="5"/>
  <c r="V42" i="5"/>
  <c r="W42" i="5"/>
  <c r="T42" i="5"/>
  <c r="W2" i="5"/>
  <c r="V2" i="5"/>
  <c r="U2" i="5"/>
  <c r="V74" i="5"/>
  <c r="W74" i="5"/>
  <c r="T74" i="5"/>
  <c r="N3" i="5"/>
  <c r="O3" i="5"/>
  <c r="P3" i="5"/>
  <c r="N127" i="5"/>
  <c r="P127" i="5"/>
  <c r="O127" i="5"/>
  <c r="N129" i="5"/>
  <c r="O129" i="5"/>
  <c r="P129" i="5"/>
  <c r="N263" i="5"/>
  <c r="O263" i="5"/>
  <c r="P263" i="5"/>
  <c r="T192" i="5"/>
  <c r="V25" i="5"/>
  <c r="W25" i="5"/>
  <c r="T200" i="5"/>
  <c r="V216" i="5"/>
  <c r="W216" i="5"/>
  <c r="T496" i="5"/>
  <c r="V11" i="5"/>
  <c r="W11" i="5"/>
  <c r="T317" i="5"/>
  <c r="V495" i="5"/>
  <c r="W495" i="5"/>
  <c r="T93" i="5"/>
  <c r="V497" i="5"/>
  <c r="W497" i="5"/>
  <c r="T51" i="5"/>
  <c r="N309" i="5"/>
  <c r="P309" i="5"/>
  <c r="O309" i="5"/>
  <c r="W105" i="5"/>
  <c r="N131" i="5"/>
  <c r="P131" i="5"/>
  <c r="O131" i="5"/>
  <c r="N134" i="5"/>
  <c r="O134" i="5"/>
  <c r="P134" i="5"/>
  <c r="N271" i="5"/>
  <c r="O271" i="5"/>
  <c r="P271" i="5"/>
  <c r="V175" i="5"/>
  <c r="U175" i="5"/>
  <c r="W175" i="5"/>
  <c r="U192" i="5"/>
  <c r="N148" i="5"/>
  <c r="O148" i="5"/>
  <c r="P9" i="5"/>
  <c r="O9" i="5"/>
  <c r="V189" i="5"/>
  <c r="U189" i="5"/>
  <c r="W189" i="5"/>
  <c r="U200" i="5"/>
  <c r="N109" i="5"/>
  <c r="O109" i="5"/>
  <c r="P14" i="5"/>
  <c r="O14" i="5"/>
  <c r="V502" i="5"/>
  <c r="U502" i="5"/>
  <c r="W502" i="5"/>
  <c r="U496" i="5"/>
  <c r="N112" i="5"/>
  <c r="O112" i="5"/>
  <c r="P504" i="5"/>
  <c r="O504" i="5"/>
  <c r="V19" i="5"/>
  <c r="U19" i="5"/>
  <c r="W19" i="5"/>
  <c r="U317" i="5"/>
  <c r="N53" i="5"/>
  <c r="O53" i="5"/>
  <c r="P33" i="5"/>
  <c r="O33" i="5"/>
  <c r="V208" i="5"/>
  <c r="U208" i="5"/>
  <c r="W208" i="5"/>
  <c r="U93" i="5"/>
  <c r="N65" i="5"/>
  <c r="O65" i="5"/>
  <c r="P236" i="5"/>
  <c r="O236" i="5"/>
  <c r="V508" i="5"/>
  <c r="U508" i="5"/>
  <c r="W508" i="5"/>
  <c r="U51" i="5"/>
  <c r="N198" i="5"/>
  <c r="O198" i="5"/>
  <c r="P103" i="5"/>
  <c r="O103" i="5"/>
  <c r="N74" i="5"/>
  <c r="O74" i="5"/>
  <c r="P74" i="5"/>
  <c r="N136" i="5"/>
  <c r="P136" i="5"/>
  <c r="O136" i="5"/>
  <c r="N139" i="5"/>
  <c r="O139" i="5"/>
  <c r="P139" i="5"/>
  <c r="N283" i="5"/>
  <c r="O283" i="5"/>
  <c r="P283" i="5"/>
  <c r="P398" i="5"/>
  <c r="P439" i="5"/>
  <c r="P457" i="5"/>
  <c r="P7" i="5"/>
  <c r="P56" i="5"/>
  <c r="P64" i="5"/>
  <c r="P72" i="5"/>
  <c r="P122" i="5"/>
  <c r="P150" i="5"/>
  <c r="P163" i="5"/>
  <c r="P248" i="5"/>
  <c r="N249" i="5"/>
  <c r="P255" i="5"/>
  <c r="N261" i="5"/>
  <c r="P307" i="5"/>
  <c r="N340" i="5"/>
  <c r="W340" i="5"/>
  <c r="P399" i="5"/>
  <c r="N399" i="5"/>
  <c r="U444" i="5"/>
  <c r="P149" i="5"/>
  <c r="V151" i="5"/>
  <c r="P174" i="5"/>
  <c r="N174" i="5"/>
  <c r="O174" i="5"/>
  <c r="O190" i="5"/>
  <c r="P211" i="5"/>
  <c r="W221" i="5"/>
  <c r="O229" i="5"/>
  <c r="P229" i="5"/>
  <c r="T243" i="5"/>
  <c r="O436" i="5"/>
  <c r="P68" i="5"/>
  <c r="P327" i="5"/>
  <c r="N327" i="5"/>
  <c r="O54" i="5"/>
  <c r="P54" i="5"/>
  <c r="P379" i="5"/>
  <c r="N379" i="5"/>
  <c r="P157" i="5"/>
  <c r="N157" i="5"/>
  <c r="P231" i="5"/>
  <c r="O231" i="5"/>
  <c r="U243" i="5"/>
  <c r="W28" i="5"/>
  <c r="T28" i="5"/>
  <c r="O471" i="5"/>
  <c r="P471" i="5"/>
  <c r="P351" i="5"/>
  <c r="N351" i="5"/>
  <c r="P477" i="5"/>
  <c r="N477" i="5"/>
  <c r="O477" i="5"/>
  <c r="W89" i="5"/>
  <c r="W9" i="5"/>
  <c r="W223" i="5"/>
  <c r="W14" i="5"/>
  <c r="W505" i="5"/>
  <c r="W504" i="5"/>
  <c r="W228" i="5"/>
  <c r="W33" i="5"/>
  <c r="W355" i="5"/>
  <c r="W236" i="5"/>
  <c r="W500" i="5"/>
  <c r="W103" i="5"/>
  <c r="O120" i="5"/>
  <c r="W120" i="5"/>
  <c r="O4" i="5"/>
  <c r="W4" i="5"/>
  <c r="U114" i="5"/>
  <c r="U121" i="5"/>
  <c r="U128" i="5"/>
  <c r="U133" i="5"/>
  <c r="U138" i="5"/>
  <c r="U142" i="5"/>
  <c r="U146" i="5"/>
  <c r="U182" i="5"/>
  <c r="U186" i="5"/>
  <c r="U194" i="5"/>
  <c r="U257" i="5"/>
  <c r="U268" i="5"/>
  <c r="U281" i="5"/>
  <c r="U326" i="5"/>
  <c r="U365" i="5"/>
  <c r="U433" i="5"/>
  <c r="U456" i="5"/>
  <c r="U6" i="5"/>
  <c r="U43" i="5"/>
  <c r="U62" i="5"/>
  <c r="U70" i="5"/>
  <c r="U111" i="5"/>
  <c r="U132" i="5"/>
  <c r="U161" i="5"/>
  <c r="U230" i="5"/>
  <c r="U254" i="5"/>
  <c r="U299" i="5"/>
  <c r="U378" i="5"/>
  <c r="P483" i="5"/>
  <c r="N483" i="5"/>
  <c r="U24" i="5"/>
  <c r="O193" i="5"/>
  <c r="P193" i="5"/>
  <c r="W235" i="5"/>
  <c r="T235" i="5"/>
  <c r="V243" i="5"/>
  <c r="P63" i="5"/>
  <c r="O63" i="5"/>
  <c r="P453" i="5"/>
  <c r="N453" i="5"/>
  <c r="U196" i="5"/>
  <c r="U171" i="5"/>
  <c r="U240" i="5"/>
  <c r="U506" i="5"/>
  <c r="U238" i="5"/>
  <c r="U110" i="5"/>
  <c r="U49" i="5"/>
  <c r="U91" i="5"/>
  <c r="U222" i="5"/>
  <c r="U210" i="5"/>
  <c r="U41" i="5"/>
  <c r="U71" i="5"/>
  <c r="U137" i="5"/>
  <c r="U88" i="5"/>
  <c r="O191" i="5"/>
  <c r="O252" i="5"/>
  <c r="O265" i="5"/>
  <c r="O273" i="5"/>
  <c r="O289" i="5"/>
  <c r="O356" i="5"/>
  <c r="O423" i="5"/>
  <c r="O455" i="5"/>
  <c r="O484" i="5"/>
  <c r="O38" i="5"/>
  <c r="O60" i="5"/>
  <c r="O67" i="5"/>
  <c r="O92" i="5"/>
  <c r="O124" i="5"/>
  <c r="O156" i="5"/>
  <c r="O180" i="5"/>
  <c r="V230" i="5"/>
  <c r="O251" i="5"/>
  <c r="V254" i="5"/>
  <c r="O270" i="5"/>
  <c r="V299" i="5"/>
  <c r="O367" i="5"/>
  <c r="V378" i="5"/>
  <c r="P460" i="5"/>
  <c r="V24" i="5"/>
  <c r="N170" i="5"/>
  <c r="P197" i="5"/>
  <c r="O197" i="5"/>
  <c r="U209" i="5"/>
  <c r="N224" i="5"/>
  <c r="N366" i="5"/>
  <c r="U278" i="5"/>
  <c r="O402" i="5"/>
  <c r="P402" i="5"/>
  <c r="W99" i="5"/>
  <c r="T99" i="5"/>
  <c r="P420" i="5"/>
  <c r="N420" i="5"/>
  <c r="P191" i="5"/>
  <c r="P252" i="5"/>
  <c r="P265" i="5"/>
  <c r="P273" i="5"/>
  <c r="P289" i="5"/>
  <c r="P356" i="5"/>
  <c r="P423" i="5"/>
  <c r="P455" i="5"/>
  <c r="P484" i="5"/>
  <c r="P38" i="5"/>
  <c r="P60" i="5"/>
  <c r="P67" i="5"/>
  <c r="P92" i="5"/>
  <c r="P124" i="5"/>
  <c r="P156" i="5"/>
  <c r="P180" i="5"/>
  <c r="P251" i="5"/>
  <c r="P270" i="5"/>
  <c r="P367" i="5"/>
  <c r="N447" i="5"/>
  <c r="T459" i="5"/>
  <c r="N472" i="5"/>
  <c r="T166" i="5"/>
  <c r="O170" i="5"/>
  <c r="W201" i="5"/>
  <c r="T201" i="5"/>
  <c r="V209" i="5"/>
  <c r="P224" i="5"/>
  <c r="P368" i="5"/>
  <c r="N368" i="5"/>
  <c r="O368" i="5"/>
  <c r="P473" i="5"/>
  <c r="O473" i="5"/>
  <c r="P28" i="5"/>
  <c r="N28" i="5"/>
  <c r="O442" i="5"/>
  <c r="P442" i="5"/>
  <c r="P396" i="5"/>
  <c r="N396" i="5"/>
  <c r="O447" i="5"/>
  <c r="U459" i="5"/>
  <c r="P153" i="5"/>
  <c r="O153" i="5"/>
  <c r="U166" i="5"/>
  <c r="N181" i="5"/>
  <c r="N219" i="5"/>
  <c r="T221" i="5"/>
  <c r="P235" i="5"/>
  <c r="N235" i="5"/>
  <c r="W327" i="5"/>
  <c r="T327" i="5"/>
  <c r="P429" i="5"/>
  <c r="N429" i="5"/>
  <c r="T165" i="5"/>
  <c r="P196" i="5"/>
  <c r="T16" i="5"/>
  <c r="P171" i="5"/>
  <c r="T76" i="5"/>
  <c r="P240" i="5"/>
  <c r="T494" i="5"/>
  <c r="P506" i="5"/>
  <c r="T206" i="5"/>
  <c r="P238" i="5"/>
  <c r="T234" i="5"/>
  <c r="P110" i="5"/>
  <c r="T232" i="5"/>
  <c r="P49" i="5"/>
  <c r="T39" i="5"/>
  <c r="P91" i="5"/>
  <c r="T50" i="5"/>
  <c r="P222" i="5"/>
  <c r="T401" i="5"/>
  <c r="P210" i="5"/>
  <c r="T85" i="5"/>
  <c r="P41" i="5"/>
  <c r="T113" i="5"/>
  <c r="P71" i="5"/>
  <c r="O46" i="5"/>
  <c r="T78" i="5"/>
  <c r="P137" i="5"/>
  <c r="O491" i="5"/>
  <c r="T492" i="5"/>
  <c r="P88" i="5"/>
  <c r="O101" i="5"/>
  <c r="T102" i="5"/>
  <c r="N149" i="5"/>
  <c r="T151" i="5"/>
  <c r="W157" i="5"/>
  <c r="T157" i="5"/>
  <c r="V166" i="5"/>
  <c r="P181" i="5"/>
  <c r="P217" i="5"/>
  <c r="N217" i="5"/>
  <c r="O217" i="5"/>
  <c r="U221" i="5"/>
  <c r="P99" i="5"/>
  <c r="N99" i="5"/>
  <c r="O370" i="5"/>
  <c r="P370" i="5"/>
  <c r="O449" i="5"/>
  <c r="P449" i="5"/>
  <c r="P269" i="5"/>
  <c r="N269" i="5"/>
  <c r="U165" i="5"/>
  <c r="U16" i="5"/>
  <c r="U76" i="5"/>
  <c r="U494" i="5"/>
  <c r="U206" i="5"/>
  <c r="U234" i="5"/>
  <c r="U232" i="5"/>
  <c r="U39" i="5"/>
  <c r="U50" i="5"/>
  <c r="U401" i="5"/>
  <c r="U85" i="5"/>
  <c r="U113" i="5"/>
  <c r="U78" i="5"/>
  <c r="U492" i="5"/>
  <c r="U102" i="5"/>
  <c r="O398" i="5"/>
  <c r="O439" i="5"/>
  <c r="O457" i="5"/>
  <c r="O7" i="5"/>
  <c r="O56" i="5"/>
  <c r="O64" i="5"/>
  <c r="O72" i="5"/>
  <c r="O122" i="5"/>
  <c r="O150" i="5"/>
  <c r="O163" i="5"/>
  <c r="O248" i="5"/>
  <c r="O255" i="5"/>
  <c r="O307" i="5"/>
  <c r="N190" i="5"/>
  <c r="P201" i="5"/>
  <c r="N201" i="5"/>
  <c r="N211" i="5"/>
  <c r="N229" i="5"/>
  <c r="N436" i="5"/>
  <c r="N68" i="5"/>
  <c r="O327" i="5"/>
  <c r="N54" i="5"/>
  <c r="U28" i="5"/>
  <c r="P372" i="5"/>
  <c r="N372" i="5"/>
  <c r="V107" i="5"/>
  <c r="V115" i="5"/>
  <c r="V117" i="5"/>
  <c r="V125" i="5"/>
  <c r="V127" i="5"/>
  <c r="V129" i="5"/>
  <c r="V131" i="5"/>
  <c r="V134" i="5"/>
  <c r="V136" i="5"/>
  <c r="V139" i="5"/>
  <c r="V141" i="5"/>
  <c r="V143" i="5"/>
  <c r="V145" i="5"/>
  <c r="V147" i="5"/>
  <c r="V179" i="5"/>
  <c r="V183" i="5"/>
  <c r="V185" i="5"/>
  <c r="V187" i="5"/>
  <c r="V191" i="5"/>
  <c r="V195" i="5"/>
  <c r="V252" i="5"/>
  <c r="V263" i="5"/>
  <c r="V265" i="5"/>
  <c r="V271" i="5"/>
  <c r="V273" i="5"/>
  <c r="V283" i="5"/>
  <c r="V289" i="5"/>
  <c r="V332" i="5"/>
  <c r="V356" i="5"/>
  <c r="V398" i="5"/>
  <c r="V423" i="5"/>
  <c r="V439" i="5"/>
  <c r="V455" i="5"/>
  <c r="V457" i="5"/>
  <c r="V484" i="5"/>
  <c r="V7" i="5"/>
  <c r="V38" i="5"/>
  <c r="V56" i="5"/>
  <c r="V60" i="5"/>
  <c r="V64" i="5"/>
  <c r="V67" i="5"/>
  <c r="V72" i="5"/>
  <c r="V92" i="5"/>
  <c r="V122" i="5"/>
  <c r="V124" i="5"/>
  <c r="V150" i="5"/>
  <c r="V156" i="5"/>
  <c r="V163" i="5"/>
  <c r="V180" i="5"/>
  <c r="V248" i="5"/>
  <c r="V251" i="5"/>
  <c r="V255" i="5"/>
  <c r="V270" i="5"/>
  <c r="V307" i="5"/>
  <c r="V367" i="5"/>
  <c r="W399" i="5"/>
  <c r="W483" i="5"/>
  <c r="W162" i="5"/>
  <c r="W205" i="5"/>
  <c r="W239" i="5"/>
  <c r="T453" i="5"/>
  <c r="T372" i="5"/>
  <c r="T396" i="5"/>
  <c r="T351" i="5"/>
  <c r="T269" i="5"/>
  <c r="T420" i="5"/>
  <c r="T379" i="5"/>
  <c r="T429" i="5"/>
  <c r="T477" i="5"/>
  <c r="T382" i="5"/>
  <c r="T437" i="5"/>
  <c r="T334" i="5"/>
  <c r="T418" i="5"/>
  <c r="T467" i="5"/>
  <c r="T485" i="5"/>
  <c r="T375" i="5"/>
  <c r="T377" i="5"/>
  <c r="T488" i="5"/>
  <c r="T31" i="5"/>
  <c r="T376" i="5"/>
  <c r="T440" i="5"/>
  <c r="T329" i="5"/>
  <c r="T95" i="5"/>
  <c r="T387" i="5"/>
  <c r="T336" i="5"/>
  <c r="T364" i="5"/>
  <c r="T318" i="5"/>
  <c r="T282" i="5"/>
  <c r="T316" i="5"/>
  <c r="T410" i="5"/>
  <c r="T397" i="5"/>
  <c r="T405" i="5"/>
  <c r="T349" i="5"/>
  <c r="T325" i="5"/>
  <c r="T29" i="5"/>
  <c r="V465" i="5"/>
  <c r="O514" i="5"/>
  <c r="P514" i="5"/>
  <c r="N514" i="5"/>
  <c r="V314" i="5"/>
  <c r="V453" i="5"/>
  <c r="V372" i="5"/>
  <c r="V396" i="5"/>
  <c r="V351" i="5"/>
  <c r="V269" i="5"/>
  <c r="V420" i="5"/>
  <c r="V379" i="5"/>
  <c r="V429" i="5"/>
  <c r="V477" i="5"/>
  <c r="V382" i="5"/>
  <c r="V437" i="5"/>
  <c r="V334" i="5"/>
  <c r="V418" i="5"/>
  <c r="V467" i="5"/>
  <c r="V485" i="5"/>
  <c r="V375" i="5"/>
  <c r="V377" i="5"/>
  <c r="V488" i="5"/>
  <c r="V31" i="5"/>
  <c r="V376" i="5"/>
  <c r="V440" i="5"/>
  <c r="V329" i="5"/>
  <c r="V95" i="5"/>
  <c r="V387" i="5"/>
  <c r="V336" i="5"/>
  <c r="V364" i="5"/>
  <c r="V318" i="5"/>
  <c r="V282" i="5"/>
  <c r="V316" i="5"/>
  <c r="V410" i="5"/>
  <c r="V397" i="5"/>
  <c r="V405" i="5"/>
  <c r="V349" i="5"/>
  <c r="V325" i="5"/>
  <c r="V29" i="5"/>
  <c r="V390" i="5"/>
  <c r="V342" i="5"/>
  <c r="V338" i="5"/>
  <c r="V280" i="5"/>
  <c r="N403" i="5"/>
  <c r="P393" i="5"/>
  <c r="N393" i="5"/>
  <c r="P382" i="5"/>
  <c r="N382" i="5"/>
  <c r="P437" i="5"/>
  <c r="N437" i="5"/>
  <c r="P334" i="5"/>
  <c r="N334" i="5"/>
  <c r="P418" i="5"/>
  <c r="N418" i="5"/>
  <c r="P467" i="5"/>
  <c r="N467" i="5"/>
  <c r="P485" i="5"/>
  <c r="N485" i="5"/>
  <c r="P375" i="5"/>
  <c r="N375" i="5"/>
  <c r="P377" i="5"/>
  <c r="N377" i="5"/>
  <c r="P488" i="5"/>
  <c r="N488" i="5"/>
  <c r="P31" i="5"/>
  <c r="N31" i="5"/>
  <c r="P376" i="5"/>
  <c r="N376" i="5"/>
  <c r="P440" i="5"/>
  <c r="N440" i="5"/>
  <c r="P329" i="5"/>
  <c r="N329" i="5"/>
  <c r="P95" i="5"/>
  <c r="N95" i="5"/>
  <c r="P387" i="5"/>
  <c r="N387" i="5"/>
  <c r="P336" i="5"/>
  <c r="N336" i="5"/>
  <c r="P364" i="5"/>
  <c r="N364" i="5"/>
  <c r="P318" i="5"/>
  <c r="N318" i="5"/>
  <c r="P282" i="5"/>
  <c r="N282" i="5"/>
  <c r="P316" i="5"/>
  <c r="N316" i="5"/>
  <c r="P410" i="5"/>
  <c r="N410" i="5"/>
  <c r="P397" i="5"/>
  <c r="N397" i="5"/>
  <c r="P405" i="5"/>
  <c r="N405" i="5"/>
  <c r="P349" i="5"/>
  <c r="N349" i="5"/>
  <c r="P325" i="5"/>
  <c r="N325" i="5"/>
  <c r="P29" i="5"/>
  <c r="N29" i="5"/>
  <c r="P390" i="5"/>
  <c r="N390" i="5"/>
  <c r="N292" i="5"/>
  <c r="P342" i="5"/>
  <c r="N342" i="5"/>
  <c r="N389" i="5"/>
  <c r="P338" i="5"/>
  <c r="N338" i="5"/>
  <c r="N481" i="5"/>
  <c r="P280" i="5"/>
  <c r="N280" i="5"/>
  <c r="N330" i="5"/>
  <c r="P510" i="5"/>
  <c r="N510" i="5"/>
  <c r="P301" i="5"/>
  <c r="O530" i="5"/>
  <c r="P530" i="5"/>
  <c r="N530" i="5"/>
  <c r="V174" i="5"/>
  <c r="V217" i="5"/>
  <c r="V368" i="5"/>
  <c r="P331" i="5"/>
  <c r="P452" i="5"/>
  <c r="P383" i="5"/>
  <c r="P204" i="5"/>
  <c r="P454" i="5"/>
  <c r="P36" i="5"/>
  <c r="P424" i="5"/>
  <c r="P335" i="5"/>
  <c r="P400" i="5"/>
  <c r="P297" i="5"/>
  <c r="P384" i="5"/>
  <c r="P302" i="5"/>
  <c r="P275" i="5"/>
  <c r="P386" i="5"/>
  <c r="P417" i="5"/>
  <c r="P341" i="5"/>
  <c r="P432" i="5"/>
  <c r="P344" i="5"/>
  <c r="P490" i="5"/>
  <c r="P312" i="5"/>
  <c r="P388" i="5"/>
  <c r="P337" i="5"/>
  <c r="P411" i="5"/>
  <c r="P428" i="5"/>
  <c r="P371" i="5"/>
  <c r="P298" i="5"/>
  <c r="P394" i="5"/>
  <c r="P12" i="5"/>
  <c r="P320" i="5"/>
  <c r="P87" i="5"/>
  <c r="P73" i="5"/>
  <c r="P350" i="5"/>
  <c r="P463" i="5"/>
  <c r="P292" i="5"/>
  <c r="P389" i="5"/>
  <c r="P481" i="5"/>
  <c r="P330" i="5"/>
  <c r="U34" i="5"/>
  <c r="U84" i="5"/>
  <c r="U293" i="5"/>
  <c r="U276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314" i="5"/>
  <c r="N465" i="5"/>
  <c r="N34" i="5"/>
  <c r="N84" i="5"/>
  <c r="N293" i="5"/>
  <c r="N276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393" i="5"/>
  <c r="U319" i="5"/>
  <c r="U296" i="5"/>
  <c r="U23" i="5"/>
  <c r="U247" i="5"/>
  <c r="U5" i="5"/>
  <c r="U521" i="5"/>
  <c r="U537" i="5"/>
  <c r="U553" i="5"/>
  <c r="O582" i="5"/>
  <c r="N582" i="5"/>
  <c r="P589" i="5"/>
  <c r="O589" i="5"/>
  <c r="N589" i="5"/>
  <c r="O590" i="5"/>
  <c r="N590" i="5"/>
  <c r="N262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319" i="5"/>
  <c r="N296" i="5"/>
  <c r="N23" i="5"/>
  <c r="N247" i="5"/>
  <c r="N5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C439" i="3" l="1"/>
  <c r="AJ439" i="3" s="1"/>
  <c r="AC447" i="3"/>
  <c r="Z447" i="3"/>
  <c r="AM439" i="3"/>
  <c r="Z479" i="3"/>
  <c r="Z439" i="3"/>
  <c r="AC479" i="3"/>
  <c r="L77" i="3"/>
  <c r="N77" i="3" s="1"/>
  <c r="L40" i="3"/>
  <c r="J300" i="17"/>
  <c r="J300" i="3"/>
  <c r="L216" i="3"/>
  <c r="L336" i="3"/>
  <c r="L272" i="17"/>
  <c r="L272" i="3"/>
  <c r="L336" i="17"/>
  <c r="L216" i="17"/>
  <c r="L345" i="17"/>
  <c r="L321" i="17"/>
  <c r="L322" i="3"/>
  <c r="L280" i="17"/>
  <c r="L224" i="17"/>
  <c r="L204" i="17"/>
  <c r="L323" i="3"/>
  <c r="L203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322" i="17"/>
  <c r="L226" i="17"/>
  <c r="L160" i="17"/>
  <c r="L155" i="3"/>
  <c r="AG473" i="3" s="1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G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L75" i="3"/>
  <c r="AG496" i="3"/>
  <c r="AF495" i="17"/>
  <c r="AG495" i="3"/>
  <c r="AF492" i="17"/>
  <c r="AG492" i="3"/>
  <c r="AF493" i="17"/>
  <c r="AG493" i="3"/>
  <c r="AF496" i="17"/>
  <c r="AF494" i="17"/>
  <c r="AG494" i="3"/>
  <c r="L12" i="3"/>
  <c r="S12" i="3" s="1"/>
  <c r="L76" i="3"/>
  <c r="J12" i="3"/>
  <c r="K12" i="3" s="1"/>
  <c r="Z474" i="3"/>
  <c r="AM478" i="3"/>
  <c r="AP478" i="3" s="1"/>
  <c r="AM477" i="3"/>
  <c r="AP477" i="3" s="1"/>
  <c r="AM474" i="3"/>
  <c r="AP474" i="3" s="1"/>
  <c r="AC475" i="3"/>
  <c r="AM473" i="3"/>
  <c r="AP473" i="3" s="1"/>
  <c r="AC473" i="3"/>
  <c r="AC474" i="3"/>
  <c r="AM479" i="3"/>
  <c r="Z475" i="3"/>
  <c r="Z473" i="3"/>
  <c r="AM476" i="3"/>
  <c r="AM475" i="3"/>
  <c r="AP475" i="3" s="1"/>
  <c r="AM448" i="3"/>
  <c r="AM449" i="3"/>
  <c r="AM447" i="3"/>
  <c r="AM450" i="3"/>
  <c r="AM425" i="3"/>
  <c r="AM415" i="3"/>
  <c r="AM426" i="3"/>
  <c r="AM424" i="3"/>
  <c r="Z414" i="3"/>
  <c r="AM414" i="3"/>
  <c r="AC414" i="3"/>
  <c r="AM417" i="3"/>
  <c r="AM416" i="3"/>
  <c r="F6" i="3"/>
  <c r="E6" i="3" s="1"/>
  <c r="D15" i="3"/>
  <c r="E15" i="3" s="1"/>
  <c r="D23" i="3"/>
  <c r="E23" i="3" s="1"/>
  <c r="P17" i="3"/>
  <c r="I40" i="3"/>
  <c r="N40" i="3" s="1"/>
  <c r="F40" i="3"/>
  <c r="K40" i="3"/>
  <c r="S40" i="3"/>
  <c r="D12" i="3"/>
  <c r="E12" i="3" s="1"/>
  <c r="F12" i="3"/>
  <c r="G12" i="3"/>
  <c r="H12" i="3" s="1"/>
  <c r="I12" i="3"/>
  <c r="AM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H17" i="3" s="1"/>
  <c r="F32" i="3"/>
  <c r="Z409" i="3" s="1"/>
  <c r="I32" i="3"/>
  <c r="AC409" i="3" s="1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I66" i="3"/>
  <c r="AC445" i="3" s="1"/>
  <c r="AM471" i="3"/>
  <c r="AP471" i="3" s="1"/>
  <c r="Q41" i="3"/>
  <c r="F44" i="3"/>
  <c r="Z422" i="3" s="1"/>
  <c r="I44" i="3"/>
  <c r="AC422" i="3" s="1"/>
  <c r="F19" i="3"/>
  <c r="F78" i="3"/>
  <c r="Z469" i="3" s="1"/>
  <c r="I78" i="3"/>
  <c r="AC469" i="3" s="1"/>
  <c r="F35" i="3"/>
  <c r="Z412" i="3" s="1"/>
  <c r="I35" i="3"/>
  <c r="Q13" i="3"/>
  <c r="Q83" i="3"/>
  <c r="F58" i="3"/>
  <c r="Z436" i="3" s="1"/>
  <c r="I58" i="3"/>
  <c r="AC436" i="3" s="1"/>
  <c r="F36" i="3"/>
  <c r="Z413" i="3" s="1"/>
  <c r="I36" i="3"/>
  <c r="AC413" i="3" s="1"/>
  <c r="F31" i="3"/>
  <c r="Z408" i="3" s="1"/>
  <c r="I31" i="3"/>
  <c r="AC408" i="3" s="1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Z441" i="3" s="1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P15" i="3"/>
  <c r="F63" i="3"/>
  <c r="Z442" i="3" s="1"/>
  <c r="I63" i="3"/>
  <c r="AC442" i="3" s="1"/>
  <c r="F5" i="3"/>
  <c r="I5" i="3"/>
  <c r="Q24" i="3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59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L359" i="17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91" i="17"/>
  <c r="L383" i="17"/>
  <c r="L374" i="17"/>
  <c r="L366" i="17"/>
  <c r="L340" i="17"/>
  <c r="L331" i="17"/>
  <c r="L319" i="17"/>
  <c r="L299" i="17"/>
  <c r="L271" i="17"/>
  <c r="L262" i="17"/>
  <c r="L254" i="17"/>
  <c r="L223" i="17"/>
  <c r="J95" i="17"/>
  <c r="L390" i="17"/>
  <c r="L382" i="17"/>
  <c r="L373" i="17"/>
  <c r="L365" i="17"/>
  <c r="L339" i="17"/>
  <c r="L330" i="17"/>
  <c r="L318" i="17"/>
  <c r="L298" i="17"/>
  <c r="L389" i="17"/>
  <c r="L381" i="17"/>
  <c r="L387" i="17"/>
  <c r="L379" i="17"/>
  <c r="L370" i="17"/>
  <c r="L335" i="17"/>
  <c r="L326" i="17"/>
  <c r="L307" i="17"/>
  <c r="L295" i="17"/>
  <c r="L276" i="17"/>
  <c r="L267" i="17"/>
  <c r="L258" i="17"/>
  <c r="L240" i="17"/>
  <c r="L219" i="17"/>
  <c r="L210" i="17"/>
  <c r="J99" i="17"/>
  <c r="J17" i="17"/>
  <c r="L386" i="17"/>
  <c r="L378" i="17"/>
  <c r="L369" i="17"/>
  <c r="L334" i="17"/>
  <c r="L325" i="17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93" i="17"/>
  <c r="L385" i="17"/>
  <c r="L377" i="17"/>
  <c r="L368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92" i="17"/>
  <c r="L384" i="17"/>
  <c r="L375" i="17"/>
  <c r="L367" i="17"/>
  <c r="L341" i="17"/>
  <c r="L332" i="17"/>
  <c r="L320" i="17"/>
  <c r="L301" i="17"/>
  <c r="L281" i="17"/>
  <c r="L273" i="17"/>
  <c r="L263" i="17"/>
  <c r="L255" i="17"/>
  <c r="L215" i="17"/>
  <c r="L206" i="17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L183" i="17"/>
  <c r="L145" i="17"/>
  <c r="L132" i="17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L114" i="17"/>
  <c r="L94" i="17"/>
  <c r="L63" i="17"/>
  <c r="L52" i="17"/>
  <c r="L36" i="17"/>
  <c r="L65" i="17"/>
  <c r="L388" i="17"/>
  <c r="L328" i="17"/>
  <c r="L277" i="17"/>
  <c r="L256" i="17"/>
  <c r="L217" i="17"/>
  <c r="L177" i="17"/>
  <c r="L141" i="17"/>
  <c r="L130" i="17"/>
  <c r="L113" i="17"/>
  <c r="L61" i="17"/>
  <c r="L51" i="17"/>
  <c r="L35" i="17"/>
  <c r="L17" i="17"/>
  <c r="L98" i="17"/>
  <c r="L380" i="17"/>
  <c r="L327" i="17"/>
  <c r="L270" i="17"/>
  <c r="L253" i="17"/>
  <c r="L214" i="17"/>
  <c r="L202" i="17"/>
  <c r="L171" i="17"/>
  <c r="L140" i="17"/>
  <c r="L111" i="17"/>
  <c r="L60" i="17"/>
  <c r="L50" i="17"/>
  <c r="L34" i="17"/>
  <c r="L15" i="17"/>
  <c r="J6" i="17"/>
  <c r="L296" i="17"/>
  <c r="L187" i="17"/>
  <c r="L43" i="17"/>
  <c r="J177" i="17"/>
  <c r="R177" i="17" s="1"/>
  <c r="L372" i="17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L116" i="17"/>
  <c r="J94" i="17"/>
  <c r="L364" i="17"/>
  <c r="S364" i="17" s="1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L146" i="17"/>
  <c r="L22" i="17"/>
  <c r="AK482" i="17"/>
  <c r="AG468" i="3"/>
  <c r="C67" i="19" s="1"/>
  <c r="F24" i="3"/>
  <c r="AG454" i="3"/>
  <c r="AI454" i="3" s="1"/>
  <c r="AJ454" i="3" s="1"/>
  <c r="AG453" i="3"/>
  <c r="AI453" i="3" s="1"/>
  <c r="AJ453" i="3" s="1"/>
  <c r="AG452" i="3"/>
  <c r="AG491" i="3"/>
  <c r="AG459" i="3"/>
  <c r="AI459" i="3" s="1"/>
  <c r="AJ459" i="3" s="1"/>
  <c r="AG458" i="3"/>
  <c r="AI458" i="3" s="1"/>
  <c r="AJ458" i="3" s="1"/>
  <c r="AG419" i="3"/>
  <c r="AG460" i="3"/>
  <c r="AI460" i="3" s="1"/>
  <c r="AG457" i="3"/>
  <c r="AI457" i="3" s="1"/>
  <c r="AJ457" i="3" s="1"/>
  <c r="AG455" i="3"/>
  <c r="AI455" i="3" s="1"/>
  <c r="AG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G456" i="3"/>
  <c r="AI456" i="3" s="1"/>
  <c r="AJ456" i="3" s="1"/>
  <c r="L71" i="3"/>
  <c r="L6" i="3"/>
  <c r="F193" i="3"/>
  <c r="E228" i="3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N197" i="3" s="1"/>
  <c r="L217" i="3"/>
  <c r="L202" i="3"/>
  <c r="L218" i="3"/>
  <c r="L225" i="3"/>
  <c r="L219" i="3"/>
  <c r="L227" i="3"/>
  <c r="L205" i="3"/>
  <c r="L136" i="3"/>
  <c r="L137" i="3"/>
  <c r="L111" i="3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L144" i="3"/>
  <c r="L113" i="3"/>
  <c r="L95" i="3"/>
  <c r="AM408" i="3"/>
  <c r="AM440" i="3"/>
  <c r="F396" i="3"/>
  <c r="F250" i="3"/>
  <c r="AM427" i="3"/>
  <c r="Z445" i="3"/>
  <c r="E17" i="3"/>
  <c r="AC470" i="3"/>
  <c r="AC428" i="3"/>
  <c r="AM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M409" i="3"/>
  <c r="AM469" i="3"/>
  <c r="F107" i="3"/>
  <c r="E134" i="3" s="1"/>
  <c r="AM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M435" i="3"/>
  <c r="AM442" i="3"/>
  <c r="AM434" i="3"/>
  <c r="AM422" i="3"/>
  <c r="AM413" i="3"/>
  <c r="L93" i="3"/>
  <c r="K171" i="3"/>
  <c r="K190" i="3"/>
  <c r="J302" i="3"/>
  <c r="K302" i="3" s="1"/>
  <c r="K243" i="3"/>
  <c r="K240" i="3"/>
  <c r="M240" i="3" s="1"/>
  <c r="J296" i="3"/>
  <c r="K177" i="3"/>
  <c r="M177" i="3" s="1"/>
  <c r="J311" i="3"/>
  <c r="J297" i="3"/>
  <c r="J307" i="3"/>
  <c r="R307" i="3" s="1"/>
  <c r="K174" i="3"/>
  <c r="J306" i="3"/>
  <c r="J299" i="3"/>
  <c r="J294" i="3"/>
  <c r="J301" i="3"/>
  <c r="K301" i="3" s="1"/>
  <c r="K246" i="3"/>
  <c r="M246" i="3" s="1"/>
  <c r="AM420" i="3"/>
  <c r="AM441" i="3"/>
  <c r="AM436" i="3"/>
  <c r="AM430" i="3"/>
  <c r="AC472" i="3"/>
  <c r="AM433" i="3"/>
  <c r="E120" i="3"/>
  <c r="D104" i="3"/>
  <c r="E104" i="3" s="1"/>
  <c r="AM443" i="3"/>
  <c r="AC430" i="3"/>
  <c r="AM411" i="3"/>
  <c r="AM444" i="3"/>
  <c r="AM470" i="3"/>
  <c r="AC423" i="3"/>
  <c r="AM445" i="3"/>
  <c r="AM421" i="3"/>
  <c r="AC433" i="3"/>
  <c r="AM437" i="3"/>
  <c r="AM446" i="3"/>
  <c r="AM410" i="3"/>
  <c r="AM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G474" i="3" s="1"/>
  <c r="L103" i="3"/>
  <c r="L101" i="3"/>
  <c r="L102" i="3"/>
  <c r="L99" i="3"/>
  <c r="J95" i="3"/>
  <c r="R95" i="3" s="1"/>
  <c r="J99" i="3"/>
  <c r="L94" i="3"/>
  <c r="S94" i="3" s="1"/>
  <c r="J94" i="3"/>
  <c r="L32" i="3"/>
  <c r="L31" i="3"/>
  <c r="L78" i="3"/>
  <c r="J17" i="3"/>
  <c r="L23" i="3"/>
  <c r="L21" i="3"/>
  <c r="L22" i="3"/>
  <c r="L19" i="3"/>
  <c r="L17" i="3"/>
  <c r="L15" i="3"/>
  <c r="J6" i="3"/>
  <c r="AM428" i="3"/>
  <c r="AM429" i="3"/>
  <c r="AM431" i="3"/>
  <c r="F154" i="3"/>
  <c r="J243" i="3"/>
  <c r="J246" i="3"/>
  <c r="F350" i="3"/>
  <c r="E350" i="3" s="1"/>
  <c r="E329" i="3"/>
  <c r="F230" i="3"/>
  <c r="R297" i="3" l="1"/>
  <c r="AC297" i="3"/>
  <c r="AF297" i="3" s="1"/>
  <c r="AG297" i="3" s="1"/>
  <c r="R295" i="3"/>
  <c r="AC295" i="3"/>
  <c r="AF295" i="3" s="1"/>
  <c r="AC294" i="3"/>
  <c r="AF294" i="3" s="1"/>
  <c r="AG294" i="3" s="1"/>
  <c r="AC296" i="3"/>
  <c r="AF296" i="3" s="1"/>
  <c r="S171" i="3"/>
  <c r="S253" i="3"/>
  <c r="N253" i="3"/>
  <c r="S317" i="3"/>
  <c r="N317" i="3"/>
  <c r="AG470" i="3"/>
  <c r="N75" i="3"/>
  <c r="S122" i="3"/>
  <c r="N122" i="3"/>
  <c r="C28" i="19"/>
  <c r="H28" i="19" s="1"/>
  <c r="K28" i="19" s="1"/>
  <c r="C24" i="19"/>
  <c r="I24" i="19" s="1"/>
  <c r="L24" i="19" s="1"/>
  <c r="AO447" i="3"/>
  <c r="AP447" i="3" s="1"/>
  <c r="AG472" i="3"/>
  <c r="AO472" i="3" s="1"/>
  <c r="S77" i="3"/>
  <c r="AJ460" i="3"/>
  <c r="B30" i="2"/>
  <c r="AF447" i="17"/>
  <c r="AN447" i="17" s="1"/>
  <c r="AO447" i="17" s="1"/>
  <c r="C40" i="19"/>
  <c r="H40" i="19" s="1"/>
  <c r="K40" i="19" s="1"/>
  <c r="AG414" i="3"/>
  <c r="AI414" i="3" s="1"/>
  <c r="AJ414" i="3" s="1"/>
  <c r="R12" i="3"/>
  <c r="AO473" i="3"/>
  <c r="AO495" i="3"/>
  <c r="AP495" i="3" s="1"/>
  <c r="AI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O494" i="3"/>
  <c r="AP494" i="3" s="1"/>
  <c r="AI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H494" i="17"/>
  <c r="AI494" i="17" s="1"/>
  <c r="AO496" i="3"/>
  <c r="AP496" i="3" s="1"/>
  <c r="AI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O493" i="3"/>
  <c r="AI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G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S68" i="3"/>
  <c r="N68" i="3"/>
  <c r="S344" i="3"/>
  <c r="N344" i="3"/>
  <c r="K300" i="3"/>
  <c r="M300" i="3"/>
  <c r="AO492" i="3"/>
  <c r="AP492" i="3" s="1"/>
  <c r="AI492" i="3"/>
  <c r="AJ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148" i="3"/>
  <c r="N148" i="3"/>
  <c r="S204" i="3"/>
  <c r="N204" i="3"/>
  <c r="S300" i="17"/>
  <c r="N300" i="17"/>
  <c r="S323" i="3"/>
  <c r="N323" i="3"/>
  <c r="N216" i="17"/>
  <c r="AF439" i="17"/>
  <c r="S216" i="17"/>
  <c r="AL415" i="3"/>
  <c r="AI475" i="3"/>
  <c r="AJ475" i="3" s="1"/>
  <c r="C11" i="19"/>
  <c r="R306" i="3"/>
  <c r="C54" i="19"/>
  <c r="R299" i="3"/>
  <c r="C53" i="19"/>
  <c r="M174" i="3"/>
  <c r="C41" i="19"/>
  <c r="S212" i="3"/>
  <c r="C47" i="19"/>
  <c r="I59" i="19"/>
  <c r="L59" i="19" s="1"/>
  <c r="G59" i="19"/>
  <c r="J59" i="19" s="1"/>
  <c r="H59" i="19"/>
  <c r="K59" i="19" s="1"/>
  <c r="G28" i="19"/>
  <c r="J28" i="19" s="1"/>
  <c r="H42" i="19"/>
  <c r="K42" i="19" s="1"/>
  <c r="I42" i="19"/>
  <c r="L42" i="19" s="1"/>
  <c r="G42" i="19"/>
  <c r="J42" i="19" s="1"/>
  <c r="S197" i="3"/>
  <c r="C44" i="19"/>
  <c r="C45" i="19"/>
  <c r="C7" i="19"/>
  <c r="R294" i="3"/>
  <c r="C57" i="19"/>
  <c r="C51" i="19"/>
  <c r="R296" i="3"/>
  <c r="C58" i="19"/>
  <c r="C52" i="19"/>
  <c r="I67" i="19"/>
  <c r="L67" i="19" s="1"/>
  <c r="H67" i="19"/>
  <c r="K67" i="19" s="1"/>
  <c r="G67" i="19"/>
  <c r="J67" i="19" s="1"/>
  <c r="I83" i="3"/>
  <c r="AG478" i="3"/>
  <c r="AO478" i="3" s="1"/>
  <c r="AO475" i="3"/>
  <c r="AI473" i="3"/>
  <c r="AJ473" i="3" s="1"/>
  <c r="AI474" i="3"/>
  <c r="AJ474" i="3" s="1"/>
  <c r="AO474" i="3"/>
  <c r="AC478" i="3"/>
  <c r="AC477" i="3"/>
  <c r="AC476" i="3"/>
  <c r="F83" i="3"/>
  <c r="I13" i="3"/>
  <c r="AF478" i="17"/>
  <c r="AF477" i="17"/>
  <c r="AF476" i="17"/>
  <c r="Z477" i="3"/>
  <c r="Z476" i="3"/>
  <c r="Z478" i="3"/>
  <c r="AG476" i="3"/>
  <c r="AO476" i="3" s="1"/>
  <c r="AP476" i="3" s="1"/>
  <c r="AG477" i="3"/>
  <c r="AH474" i="17"/>
  <c r="AI474" i="17" s="1"/>
  <c r="AN474" i="17"/>
  <c r="AG449" i="3"/>
  <c r="AO449" i="3" s="1"/>
  <c r="AP449" i="3" s="1"/>
  <c r="AG426" i="3"/>
  <c r="AO426" i="3" s="1"/>
  <c r="AP426" i="3" s="1"/>
  <c r="AF449" i="17"/>
  <c r="AF450" i="17"/>
  <c r="AF448" i="17"/>
  <c r="AC448" i="3"/>
  <c r="AJ448" i="3" s="1"/>
  <c r="AC449" i="3"/>
  <c r="AJ449" i="3" s="1"/>
  <c r="AC450" i="3"/>
  <c r="AJ450" i="3" s="1"/>
  <c r="AG448" i="3"/>
  <c r="Z448" i="3"/>
  <c r="Z449" i="3"/>
  <c r="Z450" i="3"/>
  <c r="AG450" i="3"/>
  <c r="AC424" i="3"/>
  <c r="AJ424" i="3" s="1"/>
  <c r="AC426" i="3"/>
  <c r="AJ426" i="3" s="1"/>
  <c r="AC425" i="3"/>
  <c r="AJ425" i="3" s="1"/>
  <c r="AF426" i="17"/>
  <c r="AF424" i="17"/>
  <c r="AF425" i="17"/>
  <c r="Z424" i="3"/>
  <c r="Z426" i="3"/>
  <c r="Z425" i="3"/>
  <c r="AG415" i="3"/>
  <c r="AF415" i="3" s="1"/>
  <c r="AG425" i="3"/>
  <c r="AC431" i="3"/>
  <c r="AM432" i="3"/>
  <c r="AG424" i="3"/>
  <c r="AO419" i="3"/>
  <c r="AP419" i="3" s="1"/>
  <c r="AG416" i="3"/>
  <c r="AL417" i="3"/>
  <c r="AF417" i="17"/>
  <c r="AF415" i="17"/>
  <c r="AF416" i="17"/>
  <c r="N12" i="3"/>
  <c r="AC415" i="3"/>
  <c r="AC416" i="3"/>
  <c r="AC417" i="3"/>
  <c r="AL414" i="3"/>
  <c r="AG417" i="3"/>
  <c r="F13" i="3"/>
  <c r="F27" i="3" s="1"/>
  <c r="Z415" i="3"/>
  <c r="Z416" i="3"/>
  <c r="Z417" i="3"/>
  <c r="AL416" i="3"/>
  <c r="S156" i="17"/>
  <c r="N156" i="17"/>
  <c r="N156" i="3"/>
  <c r="S156" i="3"/>
  <c r="D13" i="3"/>
  <c r="Z431" i="3"/>
  <c r="I24" i="3"/>
  <c r="I27" i="3" s="1"/>
  <c r="AC406" i="3" s="1"/>
  <c r="AA465" i="3" s="1"/>
  <c r="AL412" i="3"/>
  <c r="M12" i="3"/>
  <c r="N6" i="3"/>
  <c r="F54" i="3"/>
  <c r="Q74" i="3"/>
  <c r="F72" i="3"/>
  <c r="I72" i="3"/>
  <c r="H6" i="3"/>
  <c r="G13" i="3"/>
  <c r="G24" i="3" s="1"/>
  <c r="H40" i="3" s="1"/>
  <c r="P13" i="3"/>
  <c r="O27" i="3"/>
  <c r="P21" i="3"/>
  <c r="P23" i="3"/>
  <c r="P22" i="3"/>
  <c r="K173" i="3"/>
  <c r="Z427" i="3"/>
  <c r="F41" i="3"/>
  <c r="H15" i="3"/>
  <c r="AC412" i="3"/>
  <c r="O24" i="3"/>
  <c r="P37" i="3" s="1"/>
  <c r="I41" i="3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AF441" i="17"/>
  <c r="S62" i="17"/>
  <c r="N62" i="17"/>
  <c r="S206" i="17"/>
  <c r="N206" i="17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378" i="17"/>
  <c r="N378" i="17"/>
  <c r="S267" i="17"/>
  <c r="N267" i="17"/>
  <c r="S379" i="17"/>
  <c r="N379" i="17"/>
  <c r="N365" i="17"/>
  <c r="S365" i="17"/>
  <c r="S262" i="17"/>
  <c r="N262" i="17"/>
  <c r="S374" i="17"/>
  <c r="N374" i="17"/>
  <c r="AN490" i="17"/>
  <c r="AO490" i="17" s="1"/>
  <c r="AH490" i="17"/>
  <c r="AI490" i="17" s="1"/>
  <c r="S261" i="17"/>
  <c r="N261" i="17"/>
  <c r="S147" i="17"/>
  <c r="N147" i="17"/>
  <c r="S116" i="17"/>
  <c r="N116" i="17"/>
  <c r="S123" i="17"/>
  <c r="N123" i="17"/>
  <c r="S371" i="17"/>
  <c r="N371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386" i="17"/>
  <c r="N386" i="17"/>
  <c r="S276" i="17"/>
  <c r="N276" i="17"/>
  <c r="S387" i="17"/>
  <c r="N387" i="17"/>
  <c r="S373" i="17"/>
  <c r="N373" i="17"/>
  <c r="S271" i="17"/>
  <c r="N271" i="17"/>
  <c r="S383" i="17"/>
  <c r="N383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L376" i="17"/>
  <c r="S368" i="17"/>
  <c r="N368" i="17"/>
  <c r="S174" i="17"/>
  <c r="L175" i="17"/>
  <c r="N174" i="17"/>
  <c r="L303" i="17"/>
  <c r="S294" i="17"/>
  <c r="N294" i="17"/>
  <c r="R17" i="17"/>
  <c r="K17" i="17"/>
  <c r="M17" i="17"/>
  <c r="S295" i="17"/>
  <c r="N295" i="17"/>
  <c r="S381" i="17"/>
  <c r="N381" i="17"/>
  <c r="N382" i="17"/>
  <c r="S382" i="17"/>
  <c r="S280" i="17"/>
  <c r="N280" i="17"/>
  <c r="S391" i="17"/>
  <c r="N391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372" i="17"/>
  <c r="N372" i="17"/>
  <c r="S50" i="17"/>
  <c r="N50" i="17"/>
  <c r="AF428" i="17"/>
  <c r="S214" i="17"/>
  <c r="N214" i="17"/>
  <c r="S51" i="17"/>
  <c r="AF429" i="17"/>
  <c r="N51" i="17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367" i="17"/>
  <c r="N367" i="17"/>
  <c r="S377" i="17"/>
  <c r="L394" i="17"/>
  <c r="K394" i="17" s="1"/>
  <c r="N377" i="17"/>
  <c r="S200" i="17"/>
  <c r="N200" i="17"/>
  <c r="S306" i="17"/>
  <c r="N306" i="17"/>
  <c r="K99" i="17"/>
  <c r="R99" i="17"/>
  <c r="M99" i="17"/>
  <c r="S307" i="17"/>
  <c r="N307" i="17"/>
  <c r="S389" i="17"/>
  <c r="N389" i="17"/>
  <c r="N390" i="17"/>
  <c r="S390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S375" i="17"/>
  <c r="N375" i="17"/>
  <c r="S274" i="17"/>
  <c r="N274" i="17"/>
  <c r="S385" i="17"/>
  <c r="N385" i="17"/>
  <c r="S208" i="17"/>
  <c r="N208" i="17"/>
  <c r="S325" i="17"/>
  <c r="N325" i="17"/>
  <c r="S210" i="17"/>
  <c r="L228" i="17"/>
  <c r="N210" i="17"/>
  <c r="S326" i="17"/>
  <c r="N326" i="17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S131" i="17"/>
  <c r="L72" i="17"/>
  <c r="S56" i="17"/>
  <c r="AF434" i="17"/>
  <c r="N56" i="17"/>
  <c r="S132" i="17"/>
  <c r="N132" i="17"/>
  <c r="L24" i="17"/>
  <c r="S23" i="17"/>
  <c r="N23" i="17"/>
  <c r="S142" i="17"/>
  <c r="N142" i="17"/>
  <c r="S273" i="17"/>
  <c r="N273" i="17"/>
  <c r="S384" i="17"/>
  <c r="N384" i="17"/>
  <c r="S283" i="17"/>
  <c r="N283" i="17"/>
  <c r="S393" i="17"/>
  <c r="N39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J361" i="17"/>
  <c r="K361" i="17" s="1"/>
  <c r="K359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S130" i="17"/>
  <c r="N130" i="17"/>
  <c r="S388" i="17"/>
  <c r="N388" i="17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92" i="17"/>
  <c r="N392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S359" i="17"/>
  <c r="L361" i="17"/>
  <c r="N359" i="17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380" i="17"/>
  <c r="N380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369" i="17"/>
  <c r="N369" i="17"/>
  <c r="S258" i="17"/>
  <c r="N258" i="17"/>
  <c r="S370" i="17"/>
  <c r="N370" i="17"/>
  <c r="N339" i="17"/>
  <c r="S339" i="17"/>
  <c r="S254" i="17"/>
  <c r="N254" i="17"/>
  <c r="S366" i="17"/>
  <c r="N366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M480" i="3"/>
  <c r="E121" i="3"/>
  <c r="E154" i="3"/>
  <c r="AG409" i="3"/>
  <c r="AG408" i="3"/>
  <c r="N34" i="3"/>
  <c r="AG411" i="3"/>
  <c r="AG421" i="3"/>
  <c r="AO421" i="3" s="1"/>
  <c r="AP421" i="3" s="1"/>
  <c r="N35" i="3"/>
  <c r="AG412" i="3"/>
  <c r="AG423" i="3"/>
  <c r="N36" i="3"/>
  <c r="AG413" i="3"/>
  <c r="AG428" i="3"/>
  <c r="AO428" i="3" s="1"/>
  <c r="AP428" i="3" s="1"/>
  <c r="AG429" i="3"/>
  <c r="AI429" i="3" s="1"/>
  <c r="AJ429" i="3" s="1"/>
  <c r="AG420" i="3"/>
  <c r="AG422" i="3"/>
  <c r="AG427" i="3"/>
  <c r="AG430" i="3"/>
  <c r="N33" i="3"/>
  <c r="AG410" i="3"/>
  <c r="AI410" i="3" s="1"/>
  <c r="AJ410" i="3" s="1"/>
  <c r="AG434" i="3"/>
  <c r="AG445" i="3"/>
  <c r="AO445" i="3" s="1"/>
  <c r="AP445" i="3" s="1"/>
  <c r="N44" i="3"/>
  <c r="AG442" i="3"/>
  <c r="AI442" i="3" s="1"/>
  <c r="AJ442" i="3" s="1"/>
  <c r="AG443" i="3"/>
  <c r="AI443" i="3" s="1"/>
  <c r="AJ443" i="3" s="1"/>
  <c r="N58" i="3"/>
  <c r="AG436" i="3"/>
  <c r="AG441" i="3"/>
  <c r="AO441" i="3" s="1"/>
  <c r="AP441" i="3" s="1"/>
  <c r="N43" i="3"/>
  <c r="AG440" i="3"/>
  <c r="AO440" i="3" s="1"/>
  <c r="AP440" i="3" s="1"/>
  <c r="S71" i="3"/>
  <c r="AG438" i="3"/>
  <c r="N45" i="3"/>
  <c r="AG444" i="3"/>
  <c r="AO444" i="3" s="1"/>
  <c r="AP444" i="3" s="1"/>
  <c r="AG446" i="3"/>
  <c r="AI446" i="3" s="1"/>
  <c r="AJ446" i="3" s="1"/>
  <c r="N42" i="3"/>
  <c r="AG433" i="3"/>
  <c r="N59" i="3"/>
  <c r="AG437" i="3"/>
  <c r="AG435" i="3"/>
  <c r="E28" i="2"/>
  <c r="M15" i="3"/>
  <c r="K15" i="3"/>
  <c r="R15" i="3"/>
  <c r="E42" i="2"/>
  <c r="B21" i="2"/>
  <c r="B16" i="2"/>
  <c r="E16" i="2"/>
  <c r="E20" i="2"/>
  <c r="B44" i="2"/>
  <c r="B53" i="2" s="1"/>
  <c r="AL408" i="3"/>
  <c r="AO453" i="3"/>
  <c r="AP453" i="3" s="1"/>
  <c r="AO458" i="3"/>
  <c r="AP458" i="3" s="1"/>
  <c r="AO456" i="3"/>
  <c r="AP456" i="3" s="1"/>
  <c r="AO454" i="3"/>
  <c r="AP454" i="3" s="1"/>
  <c r="AO455" i="3"/>
  <c r="AP455" i="3" s="1"/>
  <c r="AO457" i="3"/>
  <c r="AP457" i="3" s="1"/>
  <c r="AO460" i="3"/>
  <c r="AP460" i="3" s="1"/>
  <c r="AO459" i="3"/>
  <c r="AP459" i="3" s="1"/>
  <c r="AG465" i="3"/>
  <c r="AI452" i="3"/>
  <c r="AJ452" i="3" s="1"/>
  <c r="N32" i="3"/>
  <c r="L134" i="3"/>
  <c r="S134" i="3" s="1"/>
  <c r="S246" i="3"/>
  <c r="E152" i="3"/>
  <c r="E107" i="3"/>
  <c r="AI468" i="3"/>
  <c r="AJ468" i="3" s="1"/>
  <c r="N171" i="3"/>
  <c r="S359" i="3"/>
  <c r="N359" i="3"/>
  <c r="S295" i="3"/>
  <c r="S298" i="3"/>
  <c r="S240" i="3"/>
  <c r="S241" i="3" s="1"/>
  <c r="N71" i="3"/>
  <c r="AL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N280" i="3"/>
  <c r="S280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24" i="3"/>
  <c r="N224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I491" i="3"/>
  <c r="AJ491" i="3" s="1"/>
  <c r="AO491" i="3"/>
  <c r="AP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I490" i="3"/>
  <c r="AJ490" i="3" s="1"/>
  <c r="AO490" i="3"/>
  <c r="AP490" i="3" s="1"/>
  <c r="AL413" i="3"/>
  <c r="AL410" i="3"/>
  <c r="AP472" i="3"/>
  <c r="AL411" i="3"/>
  <c r="J361" i="3"/>
  <c r="K361" i="3" s="1"/>
  <c r="K359" i="3"/>
  <c r="F352" i="3"/>
  <c r="F164" i="3"/>
  <c r="AM451" i="3"/>
  <c r="AM418" i="3"/>
  <c r="L376" i="3"/>
  <c r="N365" i="3"/>
  <c r="L394" i="3"/>
  <c r="K394" i="3" s="1"/>
  <c r="L249" i="3"/>
  <c r="N243" i="3"/>
  <c r="N244" i="3" s="1"/>
  <c r="S243" i="3"/>
  <c r="S299" i="3"/>
  <c r="K306" i="3"/>
  <c r="AO470" i="3"/>
  <c r="AP470" i="3" s="1"/>
  <c r="L244" i="3"/>
  <c r="L188" i="3"/>
  <c r="AI470" i="3"/>
  <c r="AJ470" i="3" s="1"/>
  <c r="AO468" i="3"/>
  <c r="AP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L348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L284" i="3"/>
  <c r="K284" i="3" s="1"/>
  <c r="N212" i="3"/>
  <c r="S183" i="3"/>
  <c r="N183" i="3"/>
  <c r="N198" i="3"/>
  <c r="N211" i="3"/>
  <c r="N177" i="3"/>
  <c r="L178" i="3"/>
  <c r="N178" i="3" s="1"/>
  <c r="L209" i="3"/>
  <c r="N174" i="3"/>
  <c r="L175" i="3"/>
  <c r="N180" i="3"/>
  <c r="L181" i="3"/>
  <c r="L228" i="3"/>
  <c r="N210" i="3"/>
  <c r="N137" i="3"/>
  <c r="S137" i="3"/>
  <c r="N140" i="3"/>
  <c r="S140" i="3"/>
  <c r="N112" i="3"/>
  <c r="S112" i="3"/>
  <c r="L121" i="3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L152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M94" i="3"/>
  <c r="K95" i="3"/>
  <c r="S95" i="3"/>
  <c r="S96" i="3" s="1"/>
  <c r="S97" i="3" s="1"/>
  <c r="N94" i="3"/>
  <c r="L96" i="3"/>
  <c r="C22" i="19" s="1"/>
  <c r="N55" i="3"/>
  <c r="S55" i="3"/>
  <c r="L72" i="3"/>
  <c r="AG469" i="3"/>
  <c r="S59" i="3"/>
  <c r="S58" i="3"/>
  <c r="S56" i="3"/>
  <c r="N56" i="3"/>
  <c r="N57" i="3"/>
  <c r="S57" i="3"/>
  <c r="AG471" i="3"/>
  <c r="AO471" i="3" s="1"/>
  <c r="S76" i="3"/>
  <c r="N76" i="3"/>
  <c r="S43" i="3"/>
  <c r="S36" i="3"/>
  <c r="S44" i="3"/>
  <c r="S45" i="3"/>
  <c r="L54" i="3"/>
  <c r="S35" i="3"/>
  <c r="S33" i="3"/>
  <c r="S32" i="3"/>
  <c r="N31" i="3"/>
  <c r="L41" i="3"/>
  <c r="S31" i="3"/>
  <c r="S34" i="3"/>
  <c r="R17" i="3"/>
  <c r="M17" i="3"/>
  <c r="N22" i="3"/>
  <c r="S22" i="3"/>
  <c r="S21" i="3"/>
  <c r="L24" i="3"/>
  <c r="W33" i="3" s="1"/>
  <c r="W35" i="3" s="1"/>
  <c r="N21" i="3"/>
  <c r="N23" i="3"/>
  <c r="S23" i="3"/>
  <c r="N19" i="3"/>
  <c r="S19" i="3"/>
  <c r="N17" i="3"/>
  <c r="S17" i="3"/>
  <c r="K17" i="3"/>
  <c r="N15" i="3"/>
  <c r="S15" i="3"/>
  <c r="L13" i="3"/>
  <c r="J31" i="3" s="1"/>
  <c r="K6" i="3"/>
  <c r="J13" i="3"/>
  <c r="R6" i="3"/>
  <c r="M6" i="3"/>
  <c r="S6" i="3"/>
  <c r="J184" i="3"/>
  <c r="R184" i="3" s="1"/>
  <c r="N361" i="3"/>
  <c r="S361" i="3"/>
  <c r="F232" i="3"/>
  <c r="I28" i="19" l="1"/>
  <c r="L28" i="19" s="1"/>
  <c r="C21" i="19"/>
  <c r="L158" i="3"/>
  <c r="G24" i="19"/>
  <c r="J24" i="19" s="1"/>
  <c r="H24" i="19"/>
  <c r="K24" i="19" s="1"/>
  <c r="C30" i="19"/>
  <c r="AI472" i="3"/>
  <c r="AJ472" i="3" s="1"/>
  <c r="J111" i="3"/>
  <c r="J32" i="3"/>
  <c r="AC451" i="3"/>
  <c r="AH447" i="17"/>
  <c r="AI447" i="17" s="1"/>
  <c r="AI447" i="3"/>
  <c r="AJ447" i="3" s="1"/>
  <c r="G40" i="19"/>
  <c r="J40" i="19" s="1"/>
  <c r="R311" i="17"/>
  <c r="Z451" i="3"/>
  <c r="AO414" i="3"/>
  <c r="AP414" i="3" s="1"/>
  <c r="AC480" i="3"/>
  <c r="AA480" i="3" s="1"/>
  <c r="AB414" i="3"/>
  <c r="AB413" i="3"/>
  <c r="AB412" i="3"/>
  <c r="AB410" i="3"/>
  <c r="AB409" i="3"/>
  <c r="AB411" i="3"/>
  <c r="AB408" i="3"/>
  <c r="I40" i="19"/>
  <c r="L40" i="19" s="1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O439" i="3"/>
  <c r="AP439" i="3" s="1"/>
  <c r="AI439" i="3"/>
  <c r="AN473" i="17"/>
  <c r="AH473" i="17"/>
  <c r="AI473" i="17" s="1"/>
  <c r="AI478" i="3"/>
  <c r="AJ478" i="3" s="1"/>
  <c r="C64" i="19"/>
  <c r="H64" i="19" s="1"/>
  <c r="K64" i="19" s="1"/>
  <c r="Y417" i="3"/>
  <c r="I21" i="19"/>
  <c r="L21" i="19" s="1"/>
  <c r="G21" i="19"/>
  <c r="J21" i="19" s="1"/>
  <c r="H21" i="19"/>
  <c r="K21" i="19" s="1"/>
  <c r="H41" i="19"/>
  <c r="K41" i="19" s="1"/>
  <c r="I41" i="19"/>
  <c r="L41" i="19" s="1"/>
  <c r="G41" i="19"/>
  <c r="J41" i="19" s="1"/>
  <c r="H7" i="19"/>
  <c r="K7" i="19" s="1"/>
  <c r="G7" i="19"/>
  <c r="J7" i="19" s="1"/>
  <c r="I7" i="19"/>
  <c r="L7" i="19" s="1"/>
  <c r="G22" i="19"/>
  <c r="J22" i="19" s="1"/>
  <c r="C23" i="19"/>
  <c r="I22" i="19"/>
  <c r="L22" i="19" s="1"/>
  <c r="H22" i="19"/>
  <c r="K22" i="19" s="1"/>
  <c r="I52" i="19"/>
  <c r="L52" i="19" s="1"/>
  <c r="H52" i="19"/>
  <c r="K52" i="19" s="1"/>
  <c r="G52" i="19"/>
  <c r="J52" i="19" s="1"/>
  <c r="G45" i="19"/>
  <c r="J45" i="19" s="1"/>
  <c r="H45" i="19"/>
  <c r="K45" i="19" s="1"/>
  <c r="I45" i="19"/>
  <c r="L45" i="19" s="1"/>
  <c r="C25" i="19"/>
  <c r="I53" i="19"/>
  <c r="L53" i="19" s="1"/>
  <c r="H53" i="19"/>
  <c r="K53" i="19" s="1"/>
  <c r="G53" i="19"/>
  <c r="J53" i="19" s="1"/>
  <c r="C31" i="19"/>
  <c r="I30" i="19"/>
  <c r="L30" i="19" s="1"/>
  <c r="G30" i="19"/>
  <c r="J30" i="19" s="1"/>
  <c r="H30" i="19"/>
  <c r="K30" i="19" s="1"/>
  <c r="C9" i="19"/>
  <c r="C12" i="19" s="1"/>
  <c r="C13" i="19"/>
  <c r="G38" i="19"/>
  <c r="J38" i="19" s="1"/>
  <c r="H38" i="19"/>
  <c r="K38" i="19" s="1"/>
  <c r="I38" i="19"/>
  <c r="L38" i="19" s="1"/>
  <c r="I58" i="19"/>
  <c r="L58" i="19" s="1"/>
  <c r="G58" i="19"/>
  <c r="J58" i="19" s="1"/>
  <c r="H58" i="19"/>
  <c r="K58" i="19" s="1"/>
  <c r="H44" i="19"/>
  <c r="K44" i="19" s="1"/>
  <c r="I44" i="19"/>
  <c r="L44" i="19" s="1"/>
  <c r="G44" i="19"/>
  <c r="J44" i="19" s="1"/>
  <c r="I54" i="19"/>
  <c r="L54" i="19" s="1"/>
  <c r="H54" i="19"/>
  <c r="K54" i="19" s="1"/>
  <c r="G54" i="19"/>
  <c r="J54" i="19" s="1"/>
  <c r="AF414" i="3"/>
  <c r="C4" i="19"/>
  <c r="S209" i="3"/>
  <c r="C43" i="19"/>
  <c r="I51" i="19"/>
  <c r="L51" i="19" s="1"/>
  <c r="H51" i="19"/>
  <c r="K51" i="19" s="1"/>
  <c r="G51" i="19"/>
  <c r="J51" i="19" s="1"/>
  <c r="AG431" i="3"/>
  <c r="AG432" i="3" s="1"/>
  <c r="C5" i="19"/>
  <c r="I57" i="19"/>
  <c r="L57" i="19" s="1"/>
  <c r="G57" i="19"/>
  <c r="J57" i="19" s="1"/>
  <c r="H57" i="19"/>
  <c r="K57" i="19" s="1"/>
  <c r="I47" i="19"/>
  <c r="L47" i="19" s="1"/>
  <c r="G47" i="19"/>
  <c r="J47" i="19" s="1"/>
  <c r="H47" i="19"/>
  <c r="K47" i="19" s="1"/>
  <c r="G11" i="19"/>
  <c r="J11" i="19" s="1"/>
  <c r="I11" i="19"/>
  <c r="L11" i="19" s="1"/>
  <c r="H11" i="19"/>
  <c r="K11" i="19" s="1"/>
  <c r="Z480" i="3"/>
  <c r="AH476" i="17"/>
  <c r="AI476" i="17" s="1"/>
  <c r="AN476" i="17"/>
  <c r="AH477" i="17"/>
  <c r="AI477" i="17" s="1"/>
  <c r="AN477" i="17"/>
  <c r="AC432" i="3"/>
  <c r="AA432" i="3" s="1"/>
  <c r="AH478" i="17"/>
  <c r="AI478" i="17" s="1"/>
  <c r="AN478" i="17"/>
  <c r="AO478" i="17" s="1"/>
  <c r="AI477" i="3"/>
  <c r="AJ477" i="3" s="1"/>
  <c r="AO477" i="3"/>
  <c r="AI476" i="3"/>
  <c r="AJ476" i="3" s="1"/>
  <c r="AH448" i="17"/>
  <c r="AI448" i="17" s="1"/>
  <c r="AN448" i="17"/>
  <c r="AO448" i="17" s="1"/>
  <c r="AH450" i="17"/>
  <c r="AI450" i="17" s="1"/>
  <c r="AN450" i="17"/>
  <c r="AO450" i="17" s="1"/>
  <c r="AI448" i="3"/>
  <c r="AO448" i="3"/>
  <c r="AP448" i="3" s="1"/>
  <c r="AH449" i="17"/>
  <c r="AI449" i="17" s="1"/>
  <c r="AN449" i="17"/>
  <c r="AO449" i="17" s="1"/>
  <c r="AF432" i="17"/>
  <c r="AH432" i="17" s="1"/>
  <c r="AI432" i="17" s="1"/>
  <c r="AI450" i="3"/>
  <c r="AO450" i="3"/>
  <c r="AP450" i="3" s="1"/>
  <c r="AI449" i="3"/>
  <c r="AI425" i="3"/>
  <c r="AO425" i="3"/>
  <c r="AP425" i="3" s="1"/>
  <c r="AH426" i="17"/>
  <c r="AI426" i="17" s="1"/>
  <c r="AN426" i="17"/>
  <c r="AO426" i="17" s="1"/>
  <c r="AH424" i="17"/>
  <c r="AI424" i="17" s="1"/>
  <c r="AN424" i="17"/>
  <c r="AO424" i="17" s="1"/>
  <c r="AO415" i="3"/>
  <c r="AP415" i="3" s="1"/>
  <c r="AI424" i="3"/>
  <c r="AO424" i="3"/>
  <c r="AP424" i="3" s="1"/>
  <c r="Y416" i="3"/>
  <c r="AI426" i="3"/>
  <c r="Z418" i="3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F417" i="3"/>
  <c r="AI417" i="3"/>
  <c r="AO417" i="3"/>
  <c r="AP417" i="3" s="1"/>
  <c r="AE415" i="17"/>
  <c r="AH415" i="17"/>
  <c r="AI415" i="17" s="1"/>
  <c r="AN415" i="17"/>
  <c r="AO415" i="17" s="1"/>
  <c r="AB417" i="3"/>
  <c r="AJ417" i="3"/>
  <c r="AI416" i="3"/>
  <c r="AF416" i="3"/>
  <c r="AO416" i="3"/>
  <c r="AP416" i="3" s="1"/>
  <c r="J24" i="17"/>
  <c r="K35" i="17" s="1"/>
  <c r="AE414" i="17"/>
  <c r="AJ416" i="3"/>
  <c r="AB416" i="3"/>
  <c r="AJ415" i="3"/>
  <c r="AB415" i="3"/>
  <c r="AH415" i="3" s="1"/>
  <c r="Y415" i="3"/>
  <c r="AN415" i="3" s="1"/>
  <c r="AI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AA418" i="3" s="1"/>
  <c r="Y411" i="3"/>
  <c r="H38" i="3"/>
  <c r="H37" i="3"/>
  <c r="H39" i="3"/>
  <c r="H41" i="3"/>
  <c r="H31" i="3"/>
  <c r="H33" i="3"/>
  <c r="H72" i="3"/>
  <c r="H36" i="3"/>
  <c r="P54" i="3"/>
  <c r="P24" i="3"/>
  <c r="P31" i="3"/>
  <c r="P34" i="3"/>
  <c r="P32" i="3"/>
  <c r="P33" i="3"/>
  <c r="P36" i="3"/>
  <c r="P35" i="3"/>
  <c r="P72" i="3"/>
  <c r="I74" i="3"/>
  <c r="H74" i="3" s="1"/>
  <c r="H54" i="3"/>
  <c r="H32" i="3"/>
  <c r="H24" i="3"/>
  <c r="P27" i="3"/>
  <c r="H34" i="3"/>
  <c r="P74" i="3"/>
  <c r="Q85" i="3"/>
  <c r="H13" i="3"/>
  <c r="G27" i="3"/>
  <c r="H27" i="3" s="1"/>
  <c r="H35" i="3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L396" i="17"/>
  <c r="K376" i="17"/>
  <c r="S376" i="17"/>
  <c r="N376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N394" i="17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361" i="17"/>
  <c r="N361" i="17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S394" i="17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I465" i="3"/>
  <c r="AJ465" i="3" s="1"/>
  <c r="AA451" i="3"/>
  <c r="L250" i="3"/>
  <c r="M249" i="3" s="1"/>
  <c r="R311" i="3"/>
  <c r="L27" i="3"/>
  <c r="K72" i="3" s="1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S184" i="3"/>
  <c r="S185" i="3" s="1"/>
  <c r="AI428" i="3"/>
  <c r="AJ428" i="3" s="1"/>
  <c r="M303" i="3"/>
  <c r="J308" i="3"/>
  <c r="R308" i="3" s="1"/>
  <c r="K303" i="3"/>
  <c r="M184" i="3"/>
  <c r="AI421" i="3"/>
  <c r="AJ421" i="3" s="1"/>
  <c r="S303" i="3"/>
  <c r="S304" i="3" s="1"/>
  <c r="L308" i="3"/>
  <c r="S308" i="3" s="1"/>
  <c r="S309" i="3" s="1"/>
  <c r="AI441" i="3"/>
  <c r="AJ441" i="3" s="1"/>
  <c r="N348" i="3"/>
  <c r="N329" i="3"/>
  <c r="L350" i="3"/>
  <c r="N350" i="3" s="1"/>
  <c r="S348" i="3"/>
  <c r="AO442" i="3"/>
  <c r="AP442" i="3" s="1"/>
  <c r="AI440" i="3"/>
  <c r="AJ440" i="3" s="1"/>
  <c r="S265" i="3"/>
  <c r="L286" i="3"/>
  <c r="K286" i="3" s="1"/>
  <c r="AO429" i="3"/>
  <c r="AP429" i="3" s="1"/>
  <c r="S284" i="3"/>
  <c r="N284" i="3"/>
  <c r="AI445" i="3"/>
  <c r="AJ445" i="3" s="1"/>
  <c r="AO446" i="3"/>
  <c r="AP446" i="3" s="1"/>
  <c r="AI430" i="3"/>
  <c r="AJ430" i="3" s="1"/>
  <c r="AO430" i="3"/>
  <c r="AP430" i="3" s="1"/>
  <c r="AI444" i="3"/>
  <c r="AJ444" i="3" s="1"/>
  <c r="AO443" i="3"/>
  <c r="AP443" i="3" s="1"/>
  <c r="N228" i="3"/>
  <c r="S228" i="3"/>
  <c r="N209" i="3"/>
  <c r="L230" i="3"/>
  <c r="L154" i="3"/>
  <c r="N154" i="3" s="1"/>
  <c r="N162" i="3"/>
  <c r="N152" i="3"/>
  <c r="S152" i="3"/>
  <c r="AO427" i="3"/>
  <c r="AP427" i="3" s="1"/>
  <c r="AI427" i="3"/>
  <c r="AJ427" i="3" s="1"/>
  <c r="N121" i="3"/>
  <c r="S121" i="3"/>
  <c r="N103" i="3"/>
  <c r="S103" i="3"/>
  <c r="S102" i="3"/>
  <c r="N102" i="3"/>
  <c r="L104" i="3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I436" i="3"/>
  <c r="AJ436" i="3" s="1"/>
  <c r="AO436" i="3"/>
  <c r="AP436" i="3" s="1"/>
  <c r="N72" i="3"/>
  <c r="AO438" i="3"/>
  <c r="AP438" i="3" s="1"/>
  <c r="AI438" i="3"/>
  <c r="AJ438" i="3" s="1"/>
  <c r="AO434" i="3"/>
  <c r="AP434" i="3" s="1"/>
  <c r="AI434" i="3"/>
  <c r="AJ434" i="3" s="1"/>
  <c r="AO433" i="3"/>
  <c r="AP433" i="3" s="1"/>
  <c r="AG451" i="3"/>
  <c r="C65" i="19" s="1"/>
  <c r="AI433" i="3"/>
  <c r="AJ433" i="3" s="1"/>
  <c r="AO437" i="3"/>
  <c r="AP437" i="3" s="1"/>
  <c r="AI437" i="3"/>
  <c r="AJ437" i="3" s="1"/>
  <c r="AI435" i="3"/>
  <c r="AJ435" i="3" s="1"/>
  <c r="AO435" i="3"/>
  <c r="AP435" i="3" s="1"/>
  <c r="S72" i="3"/>
  <c r="AI471" i="3"/>
  <c r="AJ471" i="3" s="1"/>
  <c r="AI469" i="3"/>
  <c r="AJ469" i="3" s="1"/>
  <c r="AO469" i="3"/>
  <c r="AP469" i="3" s="1"/>
  <c r="N54" i="3"/>
  <c r="AO422" i="3"/>
  <c r="AP422" i="3" s="1"/>
  <c r="AI422" i="3"/>
  <c r="AJ422" i="3" s="1"/>
  <c r="AI420" i="3"/>
  <c r="AJ420" i="3" s="1"/>
  <c r="AO420" i="3"/>
  <c r="AP420" i="3" s="1"/>
  <c r="S54" i="3"/>
  <c r="AO423" i="3"/>
  <c r="AP423" i="3" s="1"/>
  <c r="AI423" i="3"/>
  <c r="AJ423" i="3" s="1"/>
  <c r="AI413" i="3"/>
  <c r="AJ413" i="3" s="1"/>
  <c r="AO413" i="3"/>
  <c r="AP413" i="3" s="1"/>
  <c r="AF413" i="3"/>
  <c r="L74" i="3"/>
  <c r="S41" i="3"/>
  <c r="AO410" i="3"/>
  <c r="AP410" i="3" s="1"/>
  <c r="AF410" i="3"/>
  <c r="AO411" i="3"/>
  <c r="AP411" i="3" s="1"/>
  <c r="AF411" i="3"/>
  <c r="AI411" i="3"/>
  <c r="AJ411" i="3" s="1"/>
  <c r="AO409" i="3"/>
  <c r="AP409" i="3" s="1"/>
  <c r="AF409" i="3"/>
  <c r="AI409" i="3"/>
  <c r="AJ409" i="3" s="1"/>
  <c r="AI412" i="3"/>
  <c r="AJ412" i="3" s="1"/>
  <c r="AO412" i="3"/>
  <c r="AP412" i="3" s="1"/>
  <c r="AF412" i="3"/>
  <c r="AG418" i="3"/>
  <c r="AI408" i="3"/>
  <c r="AJ408" i="3" s="1"/>
  <c r="AO408" i="3"/>
  <c r="AP408" i="3" s="1"/>
  <c r="AF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L82" i="3" l="1"/>
  <c r="AG479" i="3" s="1"/>
  <c r="AI479" i="3" s="1"/>
  <c r="AJ479" i="3" s="1"/>
  <c r="S158" i="3"/>
  <c r="N158" i="3"/>
  <c r="W112" i="3"/>
  <c r="W114" i="3" s="1"/>
  <c r="W117" i="3" s="1"/>
  <c r="J112" i="3"/>
  <c r="AH414" i="3"/>
  <c r="F85" i="3"/>
  <c r="I64" i="19"/>
  <c r="L64" i="19" s="1"/>
  <c r="G64" i="19"/>
  <c r="J64" i="19" s="1"/>
  <c r="AN414" i="3"/>
  <c r="AI432" i="3"/>
  <c r="AJ432" i="3" s="1"/>
  <c r="K32" i="17"/>
  <c r="K37" i="17"/>
  <c r="I25" i="19"/>
  <c r="L25" i="19" s="1"/>
  <c r="G25" i="19"/>
  <c r="J25" i="19" s="1"/>
  <c r="H25" i="19"/>
  <c r="K25" i="19" s="1"/>
  <c r="K209" i="3"/>
  <c r="C39" i="19"/>
  <c r="K34" i="17"/>
  <c r="I12" i="19"/>
  <c r="L12" i="19" s="1"/>
  <c r="H12" i="19"/>
  <c r="K12" i="19" s="1"/>
  <c r="G12" i="19"/>
  <c r="J12" i="19" s="1"/>
  <c r="I23" i="19"/>
  <c r="L23" i="19" s="1"/>
  <c r="H23" i="19"/>
  <c r="K23" i="19" s="1"/>
  <c r="G23" i="19"/>
  <c r="J23" i="19" s="1"/>
  <c r="K36" i="17"/>
  <c r="K33" i="17"/>
  <c r="C6" i="19"/>
  <c r="G5" i="19"/>
  <c r="J5" i="19" s="1"/>
  <c r="H5" i="19"/>
  <c r="K5" i="19" s="1"/>
  <c r="I5" i="19"/>
  <c r="L5" i="19" s="1"/>
  <c r="G43" i="19"/>
  <c r="J43" i="19" s="1"/>
  <c r="H43" i="19"/>
  <c r="K43" i="19" s="1"/>
  <c r="I43" i="19"/>
  <c r="L43" i="19" s="1"/>
  <c r="C46" i="19"/>
  <c r="L31" i="19"/>
  <c r="G31" i="19"/>
  <c r="J31" i="19" s="1"/>
  <c r="H31" i="19"/>
  <c r="K31" i="19" s="1"/>
  <c r="C8" i="19"/>
  <c r="G4" i="19"/>
  <c r="J4" i="19" s="1"/>
  <c r="I4" i="19"/>
  <c r="L4" i="19" s="1"/>
  <c r="H4" i="19"/>
  <c r="K4" i="19" s="1"/>
  <c r="H13" i="19"/>
  <c r="K13" i="19" s="1"/>
  <c r="G13" i="19"/>
  <c r="J13" i="19" s="1"/>
  <c r="I13" i="19"/>
  <c r="L13" i="19" s="1"/>
  <c r="C14" i="19"/>
  <c r="L107" i="3"/>
  <c r="K154" i="3" s="1"/>
  <c r="C26" i="19"/>
  <c r="M24" i="17"/>
  <c r="Z467" i="3"/>
  <c r="I65" i="19"/>
  <c r="L65" i="19" s="1"/>
  <c r="H65" i="19"/>
  <c r="K65" i="19" s="1"/>
  <c r="G65" i="19"/>
  <c r="J65" i="19" s="1"/>
  <c r="K24" i="17"/>
  <c r="K31" i="17"/>
  <c r="G9" i="19"/>
  <c r="J9" i="19" s="1"/>
  <c r="I9" i="19"/>
  <c r="L9" i="19" s="1"/>
  <c r="H9" i="19"/>
  <c r="K9" i="19" s="1"/>
  <c r="C10" i="19"/>
  <c r="E31" i="3"/>
  <c r="AN416" i="3"/>
  <c r="E34" i="3"/>
  <c r="E38" i="3"/>
  <c r="E39" i="3"/>
  <c r="E36" i="3"/>
  <c r="AH416" i="3"/>
  <c r="E35" i="3"/>
  <c r="E32" i="3"/>
  <c r="E24" i="3"/>
  <c r="AH417" i="3"/>
  <c r="AN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I418" i="3"/>
  <c r="AJ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L398" i="17"/>
  <c r="S396" i="17"/>
  <c r="K396" i="17"/>
  <c r="N39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S162" i="3"/>
  <c r="AM465" i="3"/>
  <c r="AO452" i="3"/>
  <c r="AO465" i="3" s="1"/>
  <c r="K34" i="3"/>
  <c r="K35" i="3"/>
  <c r="AM405" i="3"/>
  <c r="AM406" i="3"/>
  <c r="K230" i="3"/>
  <c r="L398" i="3"/>
  <c r="N396" i="3"/>
  <c r="K396" i="3"/>
  <c r="R249" i="3"/>
  <c r="S250" i="3" s="1"/>
  <c r="K228" i="3"/>
  <c r="S193" i="3"/>
  <c r="S194" i="3" s="1"/>
  <c r="N193" i="3"/>
  <c r="N194" i="3" s="1"/>
  <c r="L194" i="3"/>
  <c r="M193" i="3" s="1"/>
  <c r="M308" i="3"/>
  <c r="J313" i="3"/>
  <c r="K308" i="3"/>
  <c r="N308" i="3"/>
  <c r="N309" i="3" s="1"/>
  <c r="L313" i="3"/>
  <c r="S350" i="3"/>
  <c r="K33" i="3"/>
  <c r="K36" i="3"/>
  <c r="S154" i="3"/>
  <c r="N286" i="3"/>
  <c r="L288" i="3"/>
  <c r="S286" i="3"/>
  <c r="N230" i="3"/>
  <c r="S230" i="3"/>
  <c r="L232" i="3"/>
  <c r="N104" i="3"/>
  <c r="N105" i="3" s="1"/>
  <c r="S104" i="3"/>
  <c r="S105" i="3" s="1"/>
  <c r="R107" i="3"/>
  <c r="R108" i="3" s="1"/>
  <c r="M107" i="3"/>
  <c r="M108" i="3" s="1"/>
  <c r="K104" i="3"/>
  <c r="M104" i="3"/>
  <c r="AI451" i="3"/>
  <c r="AJ451" i="3" s="1"/>
  <c r="AO451" i="3"/>
  <c r="AP451" i="3" s="1"/>
  <c r="AO432" i="3"/>
  <c r="AP432" i="3" s="1"/>
  <c r="AH413" i="3"/>
  <c r="AN413" i="3"/>
  <c r="K31" i="3"/>
  <c r="K32" i="3"/>
  <c r="AH411" i="3"/>
  <c r="AN411" i="3"/>
  <c r="AH412" i="3"/>
  <c r="AN412" i="3"/>
  <c r="AG467" i="3"/>
  <c r="AO418" i="3"/>
  <c r="AP418" i="3" s="1"/>
  <c r="AN410" i="3"/>
  <c r="AH410" i="3"/>
  <c r="AH408" i="3"/>
  <c r="AN408" i="3"/>
  <c r="AH409" i="3"/>
  <c r="AN409" i="3"/>
  <c r="S74" i="3"/>
  <c r="N74" i="3"/>
  <c r="K41" i="3"/>
  <c r="K74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N82" i="3" l="1"/>
  <c r="N83" i="3" s="1"/>
  <c r="AO479" i="3"/>
  <c r="AP479" i="3" s="1"/>
  <c r="L83" i="3"/>
  <c r="S82" i="3"/>
  <c r="S83" i="3" s="1"/>
  <c r="S85" i="3" s="1"/>
  <c r="AG480" i="3"/>
  <c r="AO480" i="3" s="1"/>
  <c r="AP480" i="3" s="1"/>
  <c r="N232" i="3"/>
  <c r="AI480" i="3"/>
  <c r="AJ480" i="3" s="1"/>
  <c r="N107" i="3"/>
  <c r="N108" i="3" s="1"/>
  <c r="K107" i="3"/>
  <c r="K121" i="3"/>
  <c r="L164" i="3"/>
  <c r="S164" i="3" s="1"/>
  <c r="S107" i="3"/>
  <c r="S108" i="3" s="1"/>
  <c r="K134" i="3"/>
  <c r="K152" i="3"/>
  <c r="H14" i="19"/>
  <c r="K14" i="19" s="1"/>
  <c r="L14" i="19"/>
  <c r="G14" i="19"/>
  <c r="J14" i="19" s="1"/>
  <c r="H6" i="19"/>
  <c r="K6" i="19" s="1"/>
  <c r="I6" i="19"/>
  <c r="L6" i="19" s="1"/>
  <c r="G6" i="19"/>
  <c r="J6" i="19" s="1"/>
  <c r="AG406" i="3"/>
  <c r="AE465" i="3" s="1"/>
  <c r="C56" i="19"/>
  <c r="G8" i="19"/>
  <c r="J8" i="19" s="1"/>
  <c r="I8" i="19"/>
  <c r="L8" i="19" s="1"/>
  <c r="H8" i="19"/>
  <c r="K8" i="19" s="1"/>
  <c r="I32" i="19"/>
  <c r="G32" i="19"/>
  <c r="H32" i="19"/>
  <c r="I39" i="19"/>
  <c r="L39" i="19" s="1"/>
  <c r="G39" i="19"/>
  <c r="J39" i="19" s="1"/>
  <c r="H39" i="19"/>
  <c r="K39" i="19" s="1"/>
  <c r="AG405" i="3"/>
  <c r="C50" i="19"/>
  <c r="L85" i="3"/>
  <c r="C15" i="19"/>
  <c r="I46" i="19"/>
  <c r="L46" i="19" s="1"/>
  <c r="G46" i="19"/>
  <c r="J46" i="19" s="1"/>
  <c r="H46" i="19"/>
  <c r="K46" i="19" s="1"/>
  <c r="G10" i="19"/>
  <c r="J10" i="19" s="1"/>
  <c r="H10" i="19"/>
  <c r="K10" i="19" s="1"/>
  <c r="I10" i="19"/>
  <c r="L10" i="19" s="1"/>
  <c r="G26" i="19"/>
  <c r="J26" i="19" s="1"/>
  <c r="I26" i="19"/>
  <c r="L26" i="19" s="1"/>
  <c r="H26" i="19"/>
  <c r="K26" i="19" s="1"/>
  <c r="C27" i="19"/>
  <c r="C29" i="19"/>
  <c r="AC482" i="3"/>
  <c r="AC488" i="3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N398" i="17"/>
  <c r="S398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P452" i="3"/>
  <c r="AP465" i="3"/>
  <c r="AM467" i="3"/>
  <c r="AK467" i="3" s="1"/>
  <c r="AK418" i="3"/>
  <c r="AK465" i="3"/>
  <c r="AK451" i="3"/>
  <c r="AK432" i="3"/>
  <c r="R193" i="3"/>
  <c r="N398" i="3"/>
  <c r="S398" i="3"/>
  <c r="M313" i="3"/>
  <c r="K313" i="3"/>
  <c r="S313" i="3"/>
  <c r="S314" i="3" s="1"/>
  <c r="N313" i="3"/>
  <c r="N314" i="3" s="1"/>
  <c r="K350" i="3"/>
  <c r="K329" i="3"/>
  <c r="K348" i="3"/>
  <c r="L352" i="3"/>
  <c r="N352" i="3" s="1"/>
  <c r="S288" i="3"/>
  <c r="N288" i="3"/>
  <c r="S232" i="3"/>
  <c r="AI467" i="3"/>
  <c r="AJ467" i="3" s="1"/>
  <c r="N85" i="3"/>
  <c r="AE480" i="3" l="1"/>
  <c r="N164" i="3"/>
  <c r="AE467" i="3"/>
  <c r="AE418" i="3"/>
  <c r="AE451" i="3"/>
  <c r="AG482" i="3"/>
  <c r="AG488" i="3" s="1"/>
  <c r="AG497" i="3" s="1"/>
  <c r="AG501" i="3" s="1"/>
  <c r="AO406" i="3"/>
  <c r="AP406" i="3" s="1"/>
  <c r="AI406" i="3"/>
  <c r="AJ406" i="3" s="1"/>
  <c r="I29" i="19"/>
  <c r="L29" i="19" s="1"/>
  <c r="H29" i="19"/>
  <c r="K29" i="19" s="1"/>
  <c r="G29" i="19"/>
  <c r="J29" i="19" s="1"/>
  <c r="G50" i="19"/>
  <c r="J50" i="19" s="1"/>
  <c r="C55" i="19"/>
  <c r="H50" i="19"/>
  <c r="K50" i="19" s="1"/>
  <c r="I50" i="19"/>
  <c r="L50" i="19" s="1"/>
  <c r="G27" i="19"/>
  <c r="J27" i="19" s="1"/>
  <c r="I27" i="19"/>
  <c r="L27" i="19" s="1"/>
  <c r="H27" i="19"/>
  <c r="K27" i="19" s="1"/>
  <c r="H15" i="19"/>
  <c r="K15" i="19" s="1"/>
  <c r="G15" i="19"/>
  <c r="J15" i="19" s="1"/>
  <c r="I15" i="19"/>
  <c r="L15" i="19" s="1"/>
  <c r="I56" i="19"/>
  <c r="L56" i="19" s="1"/>
  <c r="H56" i="19"/>
  <c r="K56" i="19" s="1"/>
  <c r="G56" i="19"/>
  <c r="J56" i="19" s="1"/>
  <c r="AE432" i="3"/>
  <c r="C62" i="19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M482" i="3"/>
  <c r="AO467" i="3"/>
  <c r="AP467" i="3" s="1"/>
  <c r="S352" i="3"/>
  <c r="AC497" i="3"/>
  <c r="AB497" i="3" s="1"/>
  <c r="AB488" i="3"/>
  <c r="AF482" i="3" l="1"/>
  <c r="AI482" i="3"/>
  <c r="AJ482" i="3" s="1"/>
  <c r="I55" i="19"/>
  <c r="L55" i="19" s="1"/>
  <c r="H55" i="19"/>
  <c r="K55" i="19" s="1"/>
  <c r="G55" i="19"/>
  <c r="J55" i="19" s="1"/>
  <c r="G62" i="19"/>
  <c r="J62" i="19" s="1"/>
  <c r="I62" i="19"/>
  <c r="L62" i="19" s="1"/>
  <c r="H62" i="19"/>
  <c r="K62" i="19" s="1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L482" i="3"/>
  <c r="AO482" i="3"/>
  <c r="AP482" i="3" s="1"/>
  <c r="AM488" i="3"/>
  <c r="AI488" i="3"/>
  <c r="AJ488" i="3" s="1"/>
  <c r="AF488" i="3"/>
  <c r="AI497" i="3"/>
  <c r="AJ497" i="3" s="1"/>
  <c r="AF497" i="3"/>
  <c r="D303" i="3"/>
  <c r="D308" i="3" s="1"/>
  <c r="AE488" i="17" l="1"/>
  <c r="AF497" i="17"/>
  <c r="E50" i="2" s="1"/>
  <c r="AN488" i="17"/>
  <c r="AO488" i="17" s="1"/>
  <c r="AH488" i="17"/>
  <c r="AI488" i="17" s="1"/>
  <c r="AL488" i="3"/>
  <c r="AO488" i="3"/>
  <c r="AP488" i="3" s="1"/>
  <c r="AM497" i="3"/>
  <c r="AM501" i="3" s="1"/>
  <c r="D313" i="3"/>
  <c r="E308" i="3"/>
  <c r="E303" i="3"/>
  <c r="E53" i="2" l="1"/>
  <c r="E56" i="2" s="1"/>
  <c r="E65" i="2" s="1"/>
  <c r="AE497" i="17"/>
  <c r="AN497" i="17"/>
  <c r="AO497" i="17" s="1"/>
  <c r="AH497" i="17"/>
  <c r="AI497" i="17" s="1"/>
  <c r="AL497" i="3"/>
  <c r="AO497" i="3"/>
  <c r="AP497" i="3" s="1"/>
  <c r="E313" i="3"/>
  <c r="E376" i="3"/>
  <c r="E396" i="3"/>
  <c r="E394" i="3"/>
  <c r="D361" i="3"/>
  <c r="E361" i="3" s="1"/>
  <c r="E359" i="3"/>
  <c r="F361" i="3"/>
  <c r="Z405" i="3" l="1"/>
  <c r="F398" i="3"/>
  <c r="Z406" i="3"/>
  <c r="X451" i="3" s="1"/>
  <c r="X465" i="3" l="1"/>
  <c r="X467" i="3"/>
  <c r="Z482" i="3"/>
  <c r="Y482" i="3" s="1"/>
  <c r="X432" i="3"/>
  <c r="X418" i="3"/>
  <c r="X480" i="3"/>
  <c r="Z488" i="3" l="1"/>
  <c r="Y488" i="3" s="1"/>
  <c r="Z497" i="3" l="1"/>
  <c r="Y497" i="3" l="1"/>
  <c r="Z50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4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1DAF9B5-DCC8-4A75-BDEA-84A24BFA447C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<sst xmlns="http://schemas.openxmlformats.org/spreadsheetml/2006/main" count="14483" uniqueCount="2905">
  <si>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</si>
  <si>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</si>
  <si>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</si>
  <si>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</si>
  <si>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</si>
  <si>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</si>
  <si>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</si>
  <si>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</si>
  <si>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</si>
  <si>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</si>
  <si>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</si>
  <si>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</si>
  <si>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</si>
  <si>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</si>
  <si>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</si>
  <si>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</si>
  <si>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</si>
  <si>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</si>
  <si>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</si>
  <si>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</si>
  <si>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</si>
  <si>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</si>
  <si>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</si>
  <si>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</si>
  <si>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</si>
  <si>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</si>
  <si>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</si>
  <si>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</si>
  <si>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</si>
  <si>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</si>
  <si>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</si>
  <si>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</si>
  <si>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</si>
  <si>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</si>
  <si>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</si>
  <si>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</si>
  <si>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</si>
  <si>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</si>
  <si>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</si>
  <si>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</si>
  <si>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</si>
  <si>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</si>
  <si>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</si>
  <si>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</si>
  <si>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</si>
  <si>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</si>
  <si>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</si>
  <si>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</si>
  <si>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</si>
  <si>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</si>
  <si>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</si>
  <si>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</si>
  <si>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</si>
  <si>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</si>
  <si>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</si>
  <si>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</si>
  <si>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</si>
  <si>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</si>
  <si>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</si>
  <si>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</si>
  <si>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</si>
  <si>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</si>
  <si>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</si>
  <si>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</si>
  <si>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</si>
  <si>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</si>
  <si>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</si>
  <si>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</si>
  <si>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</si>
  <si>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</si>
  <si>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</si>
  <si>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</si>
  <si>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</si>
  <si>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</si>
  <si>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</si>
  <si>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</si>
  <si>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</si>
  <si>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</si>
  <si>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</si>
  <si>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</si>
  <si>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</si>
  <si>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</si>
  <si>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</si>
  <si>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</si>
  <si>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</si>
  <si>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</si>
  <si>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</si>
  <si>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</si>
  <si>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</si>
  <si>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</si>
  <si>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</si>
  <si>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</si>
  <si>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</si>
  <si>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</si>
  <si>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</si>
  <si>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</si>
  <si>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</si>
  <si>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</si>
  <si>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</si>
  <si>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</si>
  <si>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</si>
  <si>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</si>
  <si>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</si>
  <si>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</si>
  <si>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</si>
  <si>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</si>
  <si>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</si>
  <si>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</si>
  <si>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</si>
  <si>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</si>
  <si>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</si>
  <si>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</si>
  <si>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</si>
  <si>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</si>
  <si>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</si>
  <si>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</si>
  <si>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</si>
  <si>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</si>
  <si>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</si>
  <si>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</si>
  <si>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</si>
  <si>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</si>
  <si>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</si>
  <si>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</si>
  <si>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</si>
  <si>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</si>
  <si>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</si>
  <si>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</si>
  <si>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</si>
  <si>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</si>
  <si>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</si>
  <si>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</si>
  <si>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</si>
  <si>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</si>
  <si>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</si>
  <si>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</si>
  <si>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</si>
  <si>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</si>
  <si>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</si>
  <si>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</si>
  <si>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</si>
  <si>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</si>
  <si>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</si>
  <si>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</si>
  <si>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</si>
  <si>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</si>
  <si>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</si>
  <si>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</si>
  <si>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</si>
  <si>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</si>
  <si>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</si>
  <si>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</si>
  <si>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</si>
  <si>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</si>
  <si>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</si>
  <si>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</si>
  <si>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</si>
  <si>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</si>
  <si>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</si>
  <si>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</si>
  <si>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</si>
  <si>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</si>
  <si>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</si>
  <si>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</si>
  <si>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</si>
  <si>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</si>
  <si>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</si>
  <si>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</si>
  <si>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</si>
  <si>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</si>
  <si>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</si>
  <si>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</si>
  <si>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</si>
  <si>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</si>
  <si>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</si>
  <si>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</si>
  <si>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</si>
  <si>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</si>
  <si>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</si>
  <si>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</si>
  <si>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</si>
  <si>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</si>
  <si>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</si>
  <si>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</si>
  <si>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</si>
  <si>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</si>
  <si>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</si>
  <si>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</si>
  <si>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</si>
  <si>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</si>
  <si>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</si>
  <si>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</si>
  <si>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</si>
  <si>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</si>
  <si>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</si>
  <si>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</si>
  <si>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</si>
  <si>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</si>
  <si>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</si>
  <si>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</si>
  <si>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</si>
  <si>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</si>
  <si>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</si>
  <si>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</si>
  <si>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</si>
  <si>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</si>
  <si>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</si>
  <si>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</si>
  <si>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</si>
  <si>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</si>
  <si>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</si>
  <si>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</si>
  <si>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</si>
  <si>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</si>
  <si>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</si>
  <si>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</si>
  <si>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</si>
  <si>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</si>
  <si>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</si>
  <si>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</si>
  <si>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</si>
  <si>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</si>
  <si>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</si>
  <si>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</si>
  <si>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</si>
  <si>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</si>
  <si>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</si>
  <si>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</si>
  <si>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</si>
  <si>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</si>
  <si>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</si>
  <si>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</si>
  <si>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</si>
  <si>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</si>
  <si>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</si>
  <si>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</si>
  <si>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</si>
  <si>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</si>
  <si>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</si>
  <si>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</si>
  <si>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</si>
  <si>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</si>
  <si>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</si>
  <si>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</si>
  <si>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</si>
  <si>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</si>
  <si>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</si>
  <si>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</si>
  <si>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</si>
  <si>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</si>
  <si>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</si>
  <si>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</si>
  <si>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</si>
  <si>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</si>
  <si>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</si>
  <si>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</si>
  <si>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</si>
  <si>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</si>
  <si>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</si>
  <si>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</si>
  <si>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</si>
  <si>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</si>
  <si>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</si>
  <si>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</si>
  <si>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</si>
  <si>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</si>
  <si>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</si>
  <si>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</si>
  <si>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</si>
  <si>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</si>
  <si>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</si>
  <si>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</si>
  <si>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</si>
  <si>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</si>
  <si>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</si>
  <si>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</si>
  <si>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</si>
  <si>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</si>
  <si>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</si>
  <si>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</si>
  <si>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</si>
  <si>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</si>
  <si>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</si>
  <si>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</si>
  <si>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</si>
  <si>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</si>
  <si>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</si>
  <si>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</si>
  <si>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</si>
  <si>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</si>
  <si>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</si>
  <si>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</si>
  <si>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</si>
  <si>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</si>
  <si>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</si>
  <si>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</si>
  <si>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</si>
  <si>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</si>
  <si>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</si>
  <si>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</si>
  <si>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</si>
  <si>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</si>
  <si>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</si>
  <si>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</si>
  <si>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</si>
  <si>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</si>
  <si>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</si>
  <si>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</si>
  <si>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</si>
  <si>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</si>
  <si>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</si>
  <si>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</si>
  <si>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</si>
  <si>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</si>
  <si>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</si>
  <si>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</si>
  <si>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</si>
  <si>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</si>
  <si>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</si>
  <si>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</si>
  <si>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</si>
  <si>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</si>
  <si>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</si>
  <si>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</si>
  <si>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</si>
  <si>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</si>
  <si>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</si>
  <si>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</si>
  <si>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</si>
  <si>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</si>
  <si>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</si>
  <si>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</si>
  <si>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</si>
  <si>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</si>
  <si>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</si>
  <si>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</si>
  <si>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</si>
  <si>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</si>
  <si>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</si>
  <si>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</si>
  <si>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</si>
  <si>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</si>
  <si>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</si>
  <si>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</si>
  <si>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</si>
  <si>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</si>
  <si>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</si>
  <si>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</si>
  <si>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</si>
  <si>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</si>
  <si>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</si>
  <si>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</si>
  <si>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</si>
  <si>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</si>
  <si>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</si>
  <si>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</si>
  <si>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</si>
  <si>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</si>
  <si>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</si>
  <si>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</si>
  <si>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</si>
  <si>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</si>
  <si>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</si>
  <si>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</si>
  <si>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</si>
  <si>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</si>
  <si>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</si>
  <si>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</si>
  <si>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</si>
  <si>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</si>
  <si>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</si>
  <si>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</si>
  <si>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</si>
  <si>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</si>
  <si>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</si>
  <si>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</si>
  <si>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</si>
  <si>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</si>
  <si>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</si>
  <si>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</si>
  <si>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</si>
  <si>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</si>
  <si>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</si>
  <si>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</si>
  <si>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</si>
  <si>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</si>
  <si>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</si>
  <si>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</si>
  <si>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</si>
  <si>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</si>
  <si>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</si>
  <si>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</si>
  <si>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</si>
  <si>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</si>
  <si>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</si>
  <si>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</si>
  <si>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</si>
  <si>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</si>
  <si>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</si>
  <si>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</si>
  <si>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</si>
  <si>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</si>
  <si>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</si>
  <si>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</si>
  <si>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</si>
  <si>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</si>
  <si>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</si>
  <si>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</si>
  <si>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</si>
  <si>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</si>
  <si>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</si>
  <si>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</si>
  <si>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</si>
  <si>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</si>
  <si>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</si>
  <si>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</si>
  <si>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</si>
  <si>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</si>
  <si>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</si>
  <si>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</si>
  <si>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</si>
  <si>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</si>
  <si>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</si>
  <si>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</si>
  <si>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</si>
  <si>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</si>
  <si>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</si>
  <si>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</si>
  <si>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</si>
  <si>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</si>
  <si>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</si>
  <si>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</si>
  <si>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</si>
  <si>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</si>
  <si>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</si>
  <si>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</si>
  <si>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</si>
  <si>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</si>
  <si>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</si>
  <si>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</si>
  <si>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</si>
  <si>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</si>
  <si>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</si>
  <si>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</si>
  <si>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</si>
  <si>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</si>
  <si>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</si>
  <si>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</si>
  <si>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</si>
  <si>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</si>
  <si>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</si>
  <si>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</si>
  <si>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</si>
  <si>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</si>
  <si>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</si>
  <si>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</si>
  <si>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</si>
  <si>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</si>
  <si>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</si>
  <si>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</si>
  <si>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</si>
  <si>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</si>
  <si>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</si>
  <si>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</si>
  <si>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</si>
  <si>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</si>
  <si>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</si>
  <si>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</si>
  <si>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</si>
  <si>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</si>
  <si>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</si>
  <si>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</si>
  <si>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</si>
  <si>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</si>
  <si>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</si>
  <si>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</si>
  <si>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</si>
  <si>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</si>
  <si>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</si>
  <si>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</si>
  <si>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</si>
  <si>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</si>
  <si>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</si>
  <si>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</si>
  <si>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</si>
  <si>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</si>
  <si>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</si>
  <si>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</si>
  <si>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</si>
  <si>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</si>
  <si>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</si>
  <si>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</si>
  <si>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</si>
  <si>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</si>
  <si>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</si>
  <si>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</si>
  <si>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</si>
  <si>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</si>
  <si>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</si>
  <si>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</si>
  <si>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</si>
  <si>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</si>
  <si>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</si>
  <si>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</si>
  <si>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</si>
  <si>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</si>
  <si>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</si>
  <si>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</si>
  <si>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</si>
  <si>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</si>
  <si>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</si>
  <si>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</si>
  <si>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</si>
  <si>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</si>
  <si>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</si>
  <si>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</si>
  <si>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</si>
  <si>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</si>
  <si>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</si>
  <si>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</si>
  <si>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</si>
  <si>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</si>
  <si>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</si>
  <si>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</si>
  <si>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</si>
  <si>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</si>
  <si>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</si>
  <si>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</si>
  <si>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</si>
  <si>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</si>
  <si>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</si>
  <si>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</si>
  <si>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</si>
  <si>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</si>
  <si>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</si>
  <si>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</si>
  <si>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</si>
  <si>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</si>
  <si>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</si>
  <si>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</si>
  <si>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</si>
  <si>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</si>
  <si>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</si>
  <si>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</si>
  <si>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</si>
  <si>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</si>
  <si>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</si>
  <si>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</si>
  <si>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</si>
  <si>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</si>
  <si>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</si>
  <si>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</si>
  <si>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</si>
  <si>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</si>
  <si>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</si>
  <si>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</si>
  <si>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</si>
  <si>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</si>
  <si>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</si>
  <si>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</si>
  <si>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</si>
  <si>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</si>
  <si>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</si>
  <si>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</si>
  <si>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</si>
  <si>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</si>
  <si>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</si>
  <si>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</si>
  <si>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</si>
  <si>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</si>
  <si>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</si>
  <si>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</si>
  <si>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</si>
  <si>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</si>
  <si>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</si>
  <si>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</si>
  <si>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</si>
  <si>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</si>
  <si>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</si>
  <si>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</si>
  <si>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</si>
  <si>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</si>
  <si>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</si>
  <si>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</si>
  <si>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</si>
  <si>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</si>
  <si>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</si>
  <si>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</si>
  <si>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</si>
  <si>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</si>
  <si>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</si>
  <si>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</si>
  <si>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</si>
  <si>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</si>
  <si>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</si>
  <si>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</si>
  <si>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</si>
  <si>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</si>
  <si>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</si>
  <si>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</si>
  <si>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</si>
  <si>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</si>
  <si>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</si>
  <si>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</si>
  <si>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</si>
  <si>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</si>
  <si>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</si>
  <si>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</si>
  <si>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</si>
  <si>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</si>
  <si>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</si>
  <si>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</si>
  <si>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</si>
  <si>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</si>
  <si>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</si>
  <si>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</si>
  <si>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</si>
  <si>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</si>
  <si>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</si>
  <si>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</si>
  <si>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</si>
  <si>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</si>
  <si>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</si>
  <si>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</si>
  <si>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</si>
  <si>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</si>
  <si>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</si>
  <si>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</si>
  <si>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</si>
  <si>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</si>
  <si>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</si>
  <si>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</si>
  <si>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</si>
  <si>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</si>
  <si>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</si>
  <si>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</si>
  <si>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</si>
  <si>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</si>
  <si>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</si>
  <si>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</si>
  <si>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</si>
  <si>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</si>
  <si>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</si>
  <si>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</si>
  <si>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</si>
  <si>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</si>
  <si>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</si>
  <si>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</si>
  <si>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</si>
  <si>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</si>
  <si>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</si>
  <si>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</si>
  <si>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</si>
  <si>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</si>
  <si>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</si>
  <si>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</si>
  <si>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</si>
  <si>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</si>
  <si>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</si>
  <si>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</si>
  <si>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</si>
  <si>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</si>
  <si>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</si>
  <si>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</si>
  <si>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</si>
  <si>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</si>
  <si>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</si>
  <si>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</si>
  <si>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</si>
  <si>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</si>
  <si>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</si>
  <si>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</si>
  <si>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</si>
  <si>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</si>
  <si>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</si>
  <si>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</si>
  <si>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</si>
  <si>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</si>
  <si>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</si>
  <si>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</si>
  <si>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</si>
  <si>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</si>
  <si>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</si>
  <si>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</si>
  <si>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</si>
  <si>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</si>
  <si>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</si>
  <si>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</si>
  <si>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</si>
  <si>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</si>
  <si>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</si>
  <si>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</si>
  <si>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</si>
  <si>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</si>
  <si>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</si>
  <si>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</si>
  <si>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</si>
  <si>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</si>
  <si>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</si>
  <si>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</si>
  <si>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</si>
  <si>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</si>
  <si>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</si>
  <si>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</si>
  <si>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</si>
  <si>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</si>
  <si>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</si>
  <si>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</si>
  <si>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</si>
  <si>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</si>
  <si>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</si>
  <si>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</si>
  <si>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</si>
  <si>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</si>
  <si>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</si>
  <si>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</si>
  <si>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</si>
  <si>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</si>
  <si>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</si>
  <si>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</si>
  <si>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</si>
  <si>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</si>
  <si>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</si>
  <si>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</si>
  <si>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</si>
  <si>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</si>
  <si>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</si>
  <si>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</si>
  <si>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</si>
  <si>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</si>
  <si>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</si>
  <si>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</si>
  <si>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</si>
  <si>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</si>
  <si>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</si>
  <si>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</si>
  <si>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</si>
  <si>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</si>
  <si>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</si>
  <si>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</si>
  <si>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</si>
  <si>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</si>
  <si>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</si>
  <si>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</si>
  <si>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</si>
  <si>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</si>
  <si>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</si>
  <si>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</si>
  <si>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</si>
  <si>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</si>
  <si>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</si>
  <si>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</si>
  <si>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</si>
  <si>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</si>
  <si>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</si>
  <si>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</si>
  <si>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</si>
  <si>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</si>
  <si>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</si>
  <si>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</si>
  <si>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</si>
  <si>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</si>
  <si>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</si>
  <si>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</si>
  <si>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</si>
  <si>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</si>
  <si>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</si>
  <si>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</si>
  <si>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</si>
  <si>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</si>
  <si>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</si>
  <si>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</si>
  <si>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</si>
  <si>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</si>
  <si>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</si>
  <si>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</si>
  <si>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</si>
  <si>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</si>
  <si>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</si>
  <si>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</si>
  <si>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</si>
  <si>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</si>
  <si>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</si>
  <si>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</si>
  <si>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</si>
  <si>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</si>
  <si>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</si>
  <si>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</si>
  <si>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</si>
  <si>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</si>
  <si>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</si>
  <si>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</si>
  <si>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</si>
  <si>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</si>
  <si>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</si>
  <si>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</si>
  <si>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</si>
  <si>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</si>
  <si>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</si>
  <si>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</si>
  <si>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</si>
  <si>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</si>
  <si>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</si>
  <si>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</si>
  <si>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</si>
  <si>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</si>
  <si>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</si>
  <si>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</si>
  <si>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</si>
  <si>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</si>
  <si>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</si>
  <si>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</si>
  <si>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</si>
  <si>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</si>
  <si>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</si>
  <si>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</si>
  <si>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</si>
  <si>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</si>
  <si>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</si>
  <si>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</si>
  <si>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</si>
  <si>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</si>
  <si>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</si>
  <si>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</si>
  <si>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</si>
  <si>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</si>
  <si>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</si>
  <si>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</si>
  <si>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</si>
  <si>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</si>
  <si>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</si>
  <si>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</si>
  <si>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</si>
  <si>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</si>
  <si>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</si>
  <si>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</si>
  <si>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</si>
  <si>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</si>
  <si>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</si>
  <si>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</si>
  <si>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</si>
  <si>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</si>
  <si>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</si>
  <si>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</si>
  <si>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</si>
  <si>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</si>
  <si>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</si>
  <si>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</si>
  <si>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</si>
  <si>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</si>
  <si>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</si>
  <si>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</si>
  <si>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</si>
  <si>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</si>
  <si>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</si>
  <si>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</si>
  <si>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</si>
  <si>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</si>
  <si>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</si>
  <si>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</si>
  <si>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</si>
  <si>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</si>
  <si>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</si>
  <si>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</si>
  <si>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</si>
  <si>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</si>
  <si>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</si>
  <si>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</si>
  <si>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</si>
  <si>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</si>
  <si>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</si>
  <si>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</si>
  <si>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</si>
  <si>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</si>
  <si>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</si>
  <si>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</si>
  <si>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</si>
  <si>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</si>
  <si>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</si>
  <si>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</si>
  <si>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</si>
  <si>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</si>
  <si>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</si>
  <si>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</si>
  <si>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</si>
  <si>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</si>
  <si>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</si>
  <si>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</si>
  <si>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</si>
  <si>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</si>
  <si>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</si>
  <si>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</si>
  <si>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</si>
  <si>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</si>
  <si>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</si>
  <si>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</si>
  <si>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</si>
  <si>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</si>
  <si>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</si>
  <si>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</si>
  <si>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</si>
  <si>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</si>
  <si>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</si>
  <si>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</si>
  <si>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</si>
  <si>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</si>
  <si>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</si>
  <si>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</si>
  <si>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</si>
  <si>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</si>
  <si>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</si>
  <si>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</si>
  <si>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</si>
  <si>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</si>
  <si>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</si>
  <si>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</si>
  <si>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</si>
  <si>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</si>
  <si>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</si>
  <si>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</si>
  <si>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</si>
  <si>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</si>
  <si>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</si>
  <si>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</si>
  <si>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</si>
  <si>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</si>
  <si>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</si>
  <si>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</si>
  <si>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</si>
  <si>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</si>
  <si>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</si>
  <si>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</si>
  <si>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</si>
  <si>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</si>
  <si>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</si>
  <si>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</si>
  <si>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</si>
  <si>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</si>
  <si>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</si>
  <si>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</si>
  <si>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</si>
  <si>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</si>
  <si>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</si>
  <si>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</si>
  <si>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</si>
  <si>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</si>
  <si>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</si>
  <si>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</si>
  <si>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</si>
  <si>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</si>
  <si>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</si>
  <si>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</si>
  <si>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</si>
  <si>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</si>
  <si>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</si>
  <si>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</si>
  <si>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</si>
  <si>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</si>
  <si>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</si>
  <si>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</si>
  <si>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</si>
  <si>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</si>
  <si>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</si>
  <si>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</si>
  <si>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</si>
  <si>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</si>
  <si>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</si>
  <si>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</si>
  <si>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</si>
  <si>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</si>
  <si>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</si>
  <si>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</si>
  <si>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</si>
  <si>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</si>
  <si>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</si>
  <si>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</si>
  <si>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</si>
  <si>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</si>
  <si>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</si>
  <si>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</si>
  <si>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</si>
  <si>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</si>
  <si>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</si>
  <si>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</si>
  <si>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</si>
  <si>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</si>
  <si>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</si>
  <si>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</si>
  <si>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</si>
  <si>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</si>
  <si>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</si>
  <si>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</si>
  <si>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</si>
  <si>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</si>
  <si>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</si>
  <si>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</si>
  <si>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</si>
  <si>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</si>
  <si>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</si>
  <si>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</si>
  <si>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</si>
  <si>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</si>
  <si>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</si>
  <si>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</si>
  <si>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</si>
  <si>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</si>
  <si>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</si>
  <si>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</si>
  <si>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</si>
  <si>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</si>
  <si>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</si>
  <si>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</si>
  <si>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</si>
  <si>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</si>
  <si>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</si>
  <si>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</si>
  <si>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</si>
  <si>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</si>
  <si>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</si>
  <si>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</si>
  <si>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</si>
  <si>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</si>
  <si>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</si>
  <si>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</si>
  <si>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</si>
  <si>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</si>
  <si>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</si>
  <si>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</si>
  <si>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</si>
  <si>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</si>
  <si>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</si>
  <si>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</si>
  <si>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</si>
  <si>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</si>
  <si>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</si>
  <si>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</si>
  <si>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</si>
  <si>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</si>
  <si>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</si>
  <si>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</si>
  <si>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</si>
  <si>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</si>
  <si>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</si>
  <si>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</si>
  <si>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</si>
  <si>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</si>
  <si>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</si>
  <si>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</si>
  <si>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</si>
  <si>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</si>
  <si>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</si>
  <si>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</si>
  <si>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</si>
  <si>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</si>
  <si>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</si>
  <si>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</si>
  <si>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</si>
  <si>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</si>
  <si>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</si>
  <si>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</si>
  <si>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</si>
  <si>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</si>
  <si>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</si>
  <si>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</si>
  <si>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</si>
  <si>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</si>
  <si>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</si>
  <si>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</si>
  <si>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</si>
  <si>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</si>
  <si>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</si>
  <si>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</si>
  <si>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</si>
  <si>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</si>
  <si>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</si>
  <si>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</si>
  <si>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</si>
  <si>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</si>
  <si>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</si>
  <si>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</si>
  <si>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</si>
  <si>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</si>
  <si>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</si>
  <si>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</si>
  <si>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</si>
  <si>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</si>
  <si>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</si>
  <si>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</si>
  <si>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</si>
  <si>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</si>
  <si>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</si>
  <si>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</si>
  <si>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</si>
  <si>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</si>
  <si>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</si>
  <si>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</si>
  <si>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</si>
  <si>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</si>
  <si>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</si>
  <si>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</si>
  <si>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</si>
  <si>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</si>
  <si>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</si>
  <si>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</si>
  <si>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</si>
  <si>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</si>
  <si>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</si>
  <si>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</si>
  <si>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</si>
  <si>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</si>
  <si>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</si>
  <si>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</si>
  <si>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</si>
  <si>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</si>
  <si>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</si>
  <si>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</si>
  <si>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</si>
  <si>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</si>
  <si>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</si>
  <si>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</si>
  <si>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</si>
  <si>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</si>
  <si>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</si>
  <si>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</si>
  <si>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</si>
  <si>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</si>
  <si>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</si>
  <si>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</si>
  <si>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</si>
  <si>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</si>
  <si>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</si>
  <si>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</si>
  <si>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</si>
  <si>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</si>
  <si>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</si>
  <si>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</si>
  <si>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</si>
  <si>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</si>
  <si>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</si>
  <si>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</si>
  <si>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</si>
  <si>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</si>
  <si>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</si>
  <si>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</si>
  <si>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</si>
  <si>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</si>
  <si>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</si>
  <si>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</si>
  <si>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</si>
  <si>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</si>
  <si>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</si>
  <si>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</si>
  <si>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</si>
  <si>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</si>
  <si>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</si>
  <si>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</si>
  <si>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</si>
  <si>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</si>
  <si>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</si>
  <si>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</si>
  <si>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</si>
  <si>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</si>
  <si>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</si>
  <si>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</si>
  <si>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</si>
  <si>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</si>
  <si>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</si>
  <si>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</si>
  <si>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</si>
  <si>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</si>
  <si>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</si>
  <si>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</si>
  <si>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</si>
  <si>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</si>
  <si>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</si>
  <si>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</si>
  <si>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</si>
  <si>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</si>
  <si>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</si>
  <si>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</si>
  <si>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</si>
  <si>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</si>
  <si>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</si>
  <si>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</si>
  <si>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</si>
  <si>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</si>
  <si>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</si>
  <si>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</si>
  <si>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</si>
  <si>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</si>
  <si>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</si>
  <si>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</si>
  <si>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</si>
  <si>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</si>
  <si>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</si>
  <si>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</si>
  <si>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</si>
  <si>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</si>
  <si>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</si>
  <si>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</si>
  <si>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</si>
  <si>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</si>
  <si>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</si>
  <si>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</si>
  <si>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</si>
  <si>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</si>
  <si>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</si>
  <si>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</si>
  <si>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</si>
  <si>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</si>
  <si>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</si>
  <si>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</si>
  <si>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</si>
  <si>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</si>
  <si>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</si>
  <si>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</si>
  <si>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</si>
  <si>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</si>
  <si>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</si>
  <si>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</si>
  <si>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</si>
  <si>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</si>
  <si>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</si>
  <si>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</si>
  <si>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</si>
  <si>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</si>
  <si>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</si>
  <si>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</si>
  <si>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</si>
  <si>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</si>
  <si>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</si>
  <si>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</si>
  <si>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</si>
  <si>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</si>
  <si>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</si>
  <si>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</si>
  <si>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</si>
  <si>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</si>
  <si>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</si>
  <si>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</si>
  <si>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</si>
  <si>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</si>
  <si>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</si>
  <si>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</si>
  <si>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</si>
  <si>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</si>
  <si>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</si>
  <si>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</si>
  <si>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</si>
  <si>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</si>
  <si>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</si>
  <si>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</si>
  <si>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</si>
  <si>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</si>
  <si>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</si>
  <si>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</si>
  <si>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</si>
  <si>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</si>
  <si>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</si>
  <si>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</si>
  <si>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</si>
  <si>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</si>
  <si>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</si>
  <si>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</si>
  <si>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</si>
  <si>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</si>
  <si>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</si>
  <si>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</si>
  <si>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</si>
  <si>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</si>
  <si>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</si>
  <si>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</si>
  <si>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</si>
  <si>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</si>
  <si>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</si>
  <si>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</si>
  <si>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</si>
  <si>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</si>
  <si>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</si>
  <si>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</si>
  <si>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</si>
  <si>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</si>
  <si>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</si>
  <si>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</si>
  <si>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</si>
  <si>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</si>
  <si>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</si>
  <si>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</si>
  <si>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</si>
  <si>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</si>
  <si>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</si>
  <si>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</si>
  <si>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</si>
  <si>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</si>
  <si>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</si>
  <si>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</si>
  <si>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</si>
  <si>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</si>
  <si>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</si>
  <si>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</si>
  <si>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</si>
  <si>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</si>
  <si>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</si>
  <si>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</si>
  <si>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</si>
  <si>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</si>
  <si>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</si>
  <si>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</si>
  <si>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</si>
  <si>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</si>
  <si>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</si>
  <si>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</si>
  <si>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</si>
  <si>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</si>
  <si>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</si>
  <si>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</si>
  <si>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</si>
  <si>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</si>
  <si>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</si>
  <si>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</si>
  <si>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</si>
  <si>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</si>
  <si>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</si>
  <si>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</si>
  <si>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</si>
  <si>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</si>
  <si>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</si>
  <si>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</si>
  <si>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</si>
  <si>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</si>
  <si>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</si>
  <si>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</si>
  <si>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</si>
  <si>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</si>
  <si>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</si>
  <si>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</si>
  <si>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</si>
  <si>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</si>
  <si>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</si>
  <si>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</si>
  <si>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</si>
  <si>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</si>
  <si>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</si>
  <si>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</si>
  <si>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</si>
  <si>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</si>
  <si>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</si>
  <si>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</si>
  <si>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</si>
  <si>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</si>
  <si>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</si>
  <si>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</si>
  <si>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</si>
  <si>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</si>
  <si>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</si>
  <si>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</si>
  <si>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</si>
  <si>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</si>
  <si>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</si>
  <si>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</si>
  <si>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</si>
  <si>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</si>
  <si>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</si>
  <si>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</si>
  <si>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</si>
  <si>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</si>
  <si>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</si>
  <si>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</si>
  <si>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</si>
  <si>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</si>
  <si>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</si>
  <si>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</si>
  <si>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</si>
  <si>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</si>
  <si>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</si>
  <si>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</si>
  <si>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</si>
  <si>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</si>
  <si>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</si>
  <si>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</si>
  <si>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</si>
  <si>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</si>
  <si>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</si>
  <si>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</si>
  <si>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</si>
  <si>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</si>
  <si>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</si>
  <si>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</si>
  <si>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</si>
  <si>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</si>
  <si>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</si>
  <si>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</si>
  <si>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</si>
  <si>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</si>
  <si>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</si>
  <si>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</si>
  <si>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</si>
  <si>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</si>
  <si>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</si>
  <si>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</si>
  <si>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</si>
  <si>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</si>
  <si>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</si>
  <si>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</si>
  <si>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</si>
  <si>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</si>
  <si>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</si>
  <si>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</si>
  <si>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</si>
  <si>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</si>
  <si>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</si>
  <si>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</si>
  <si>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</si>
  <si>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</si>
  <si>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</si>
  <si>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</si>
  <si>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</si>
  <si>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</si>
  <si>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</si>
  <si>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</si>
  <si>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</si>
  <si>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</si>
  <si>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</si>
  <si>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</si>
  <si>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</si>
  <si>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</si>
  <si>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</si>
  <si>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</si>
  <si>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</si>
  <si>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</si>
  <si>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</si>
  <si>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</si>
  <si>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</si>
  <si>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</si>
  <si>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</si>
  <si>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</si>
  <si>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</si>
  <si>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</si>
  <si>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</si>
  <si>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</si>
  <si>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</si>
  <si>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</si>
  <si>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</si>
  <si>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</si>
  <si>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</si>
  <si>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</si>
  <si>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</si>
  <si>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</si>
  <si>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</si>
  <si>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</si>
  <si>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</si>
  <si>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</si>
  <si>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</si>
  <si>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</si>
  <si>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</si>
  <si>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</si>
  <si>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</si>
  <si>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</si>
  <si>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</si>
  <si>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</si>
  <si>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</si>
  <si>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</si>
  <si>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</si>
  <si>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</si>
  <si>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</si>
  <si>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</si>
  <si>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</si>
  <si>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</si>
  <si>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</si>
  <si>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</si>
  <si>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</si>
  <si>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</si>
  <si>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</si>
  <si>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</si>
  <si>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</si>
  <si>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</si>
  <si>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</si>
  <si>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</si>
  <si>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</si>
  <si>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</si>
  <si>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</si>
  <si>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</si>
  <si>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</si>
  <si>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</si>
  <si>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</si>
  <si>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</si>
  <si>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</si>
  <si>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</si>
  <si>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</si>
  <si>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</si>
  <si>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</si>
  <si>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</si>
  <si>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</si>
  <si>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</si>
  <si>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</si>
  <si>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</si>
  <si>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</si>
  <si>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</si>
  <si>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</si>
  <si>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</si>
  <si>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</si>
  <si>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</si>
  <si>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</si>
  <si>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</si>
  <si>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</si>
  <si>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</si>
  <si>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</si>
  <si>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</si>
  <si>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</si>
  <si>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</si>
  <si>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</si>
  <si>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</si>
  <si>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</si>
  <si>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</si>
  <si>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</si>
  <si>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</si>
  <si>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</si>
  <si>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</si>
  <si>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</si>
  <si>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</si>
  <si>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</si>
  <si>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</si>
  <si>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</si>
  <si>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</si>
  <si>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</si>
  <si>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</si>
  <si>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</si>
  <si>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</si>
  <si>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</si>
  <si>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</si>
  <si>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</si>
  <si>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</si>
  <si>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</si>
  <si>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</si>
  <si>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</si>
  <si>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</si>
  <si>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</si>
  <si>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</si>
  <si>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</si>
  <si>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</si>
  <si>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</si>
  <si>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</si>
  <si>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</si>
  <si>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</si>
  <si>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</si>
  <si>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</si>
  <si>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</si>
  <si>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</si>
  <si>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</si>
  <si>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</si>
  <si>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</si>
  <si>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</si>
  <si>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</si>
  <si>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</si>
  <si>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</si>
  <si>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</si>
  <si>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</si>
  <si>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</si>
  <si>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</si>
  <si>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</si>
  <si>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</si>
  <si>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</si>
  <si>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</si>
  <si>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</si>
  <si>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</si>
  <si>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</si>
  <si>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</si>
  <si>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</si>
  <si>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</si>
  <si>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</si>
  <si>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</si>
  <si>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</si>
  <si>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</si>
  <si>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</si>
  <si>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</si>
  <si>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</si>
  <si>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</si>
  <si>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</si>
  <si>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</si>
  <si>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</si>
  <si>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</si>
  <si>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</si>
  <si>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</si>
  <si>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</si>
  <si>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</si>
  <si>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</si>
  <si>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</si>
  <si>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</si>
  <si>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</si>
  <si>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</si>
  <si>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</si>
  <si>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</si>
  <si>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</si>
  <si>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</si>
  <si>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</si>
  <si>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</si>
  <si>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</si>
  <si>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</si>
  <si>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</si>
  <si>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</si>
  <si>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</si>
  <si>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</si>
  <si>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</si>
  <si>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</si>
  <si>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</si>
  <si>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</si>
  <si>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</si>
  <si>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</si>
  <si>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</si>
  <si>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</si>
  <si>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</si>
  <si>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</si>
  <si>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</si>
  <si>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</si>
  <si>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</si>
  <si>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</si>
  <si>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</si>
  <si>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</si>
  <si>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</si>
  <si>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</si>
  <si>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</si>
  <si>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</si>
  <si>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</si>
  <si>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</si>
  <si>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</si>
  <si>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</si>
  <si>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</si>
  <si>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</si>
  <si>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</si>
  <si>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</si>
  <si>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</si>
  <si>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</si>
  <si>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</si>
  <si>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</si>
  <si>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</si>
  <si>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</si>
  <si>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</si>
  <si>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</si>
  <si>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</si>
  <si>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</si>
  <si>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</si>
  <si>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</si>
  <si>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</si>
  <si>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</si>
  <si>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</si>
  <si>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</si>
  <si>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</si>
  <si>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</si>
  <si>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</si>
  <si>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</si>
  <si>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</si>
  <si>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</si>
  <si>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</si>
  <si>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</si>
  <si>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</si>
  <si>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</si>
  <si>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</si>
  <si>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</si>
  <si>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</si>
  <si>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</si>
  <si>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</si>
  <si>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</si>
  <si>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</si>
  <si>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</si>
  <si>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</si>
  <si>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</si>
  <si>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</si>
  <si>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</si>
  <si>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</si>
  <si>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</si>
  <si>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</si>
  <si>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</si>
  <si>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</si>
  <si>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</si>
  <si>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</si>
  <si>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</si>
  <si>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</si>
  <si>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</si>
  <si>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</si>
  <si>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</si>
  <si>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</si>
  <si>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</si>
  <si>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</si>
  <si>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</si>
  <si>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</si>
  <si>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</si>
  <si>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</si>
  <si>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</si>
  <si>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</si>
  <si>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</si>
  <si>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</si>
  <si>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</si>
  <si>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</si>
  <si>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</si>
  <si>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</si>
  <si>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</si>
  <si>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</si>
  <si>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</si>
  <si>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</si>
  <si>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</si>
  <si>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</si>
  <si>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</si>
  <si>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</si>
  <si>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</si>
  <si>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</si>
  <si>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</si>
  <si>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</si>
  <si>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</si>
  <si>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</si>
  <si>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</si>
  <si>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</si>
  <si>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</si>
  <si>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</si>
  <si>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</si>
  <si>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</si>
  <si>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</si>
  <si>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</si>
  <si>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</si>
  <si>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</si>
  <si>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</si>
  <si>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</si>
  <si>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</si>
  <si>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</si>
  <si>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</si>
  <si>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</si>
  <si>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</si>
  <si>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</si>
  <si>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</si>
  <si>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</si>
  <si>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</si>
  <si>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</si>
  <si>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</si>
  <si>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</si>
  <si>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</si>
  <si>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</si>
  <si>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</si>
  <si>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</si>
  <si>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</si>
  <si>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</si>
  <si>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</si>
  <si>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</si>
  <si>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</si>
  <si>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</si>
  <si>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</si>
  <si>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</si>
  <si>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</si>
  <si>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</si>
  <si>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</si>
  <si>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</si>
  <si>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</si>
  <si>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</si>
  <si>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</si>
  <si>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</si>
  <si>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</si>
  <si>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</si>
  <si>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</si>
  <si>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</si>
  <si>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</si>
  <si>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</si>
  <si>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</si>
  <si>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</si>
  <si>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</si>
  <si>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</si>
  <si>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</si>
  <si>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</si>
  <si>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</si>
  <si>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</si>
  <si>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</si>
  <si>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</si>
  <si>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</si>
  <si>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</si>
  <si>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</si>
  <si>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</si>
  <si>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</si>
  <si>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</si>
  <si>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</si>
  <si>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</si>
  <si>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</si>
  <si>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</si>
  <si>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</si>
  <si>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</si>
  <si>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</si>
  <si>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</si>
  <si>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</si>
  <si>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</si>
  <si>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</si>
  <si>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</si>
  <si>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</si>
  <si>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</si>
  <si>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</si>
  <si>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</si>
  <si>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</si>
  <si>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</si>
  <si>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</si>
  <si>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</si>
  <si>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</si>
  <si>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</si>
  <si>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</si>
  <si>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</si>
  <si>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</si>
  <si>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</si>
  <si>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</si>
  <si>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</si>
  <si>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</si>
  <si>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</si>
  <si>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</si>
  <si>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</si>
  <si>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</si>
  <si>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</si>
  <si>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</si>
  <si>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</si>
  <si>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</si>
  <si>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</si>
  <si>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</si>
  <si>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</si>
  <si>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</si>
  <si>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</si>
  <si>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</si>
  <si>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</si>
  <si>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</si>
  <si>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</si>
  <si>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</si>
  <si>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</si>
  <si>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</si>
  <si>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</si>
  <si>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</si>
  <si>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</si>
  <si>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</si>
  <si>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</si>
  <si>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</si>
  <si>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</si>
  <si>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</si>
  <si>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</si>
  <si>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</si>
  <si>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</si>
  <si>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</si>
  <si>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</si>
  <si>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</si>
  <si>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</si>
  <si>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</si>
  <si>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</si>
  <si>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</si>
  <si>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</si>
  <si>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</si>
  <si>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</si>
  <si>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</si>
  <si>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</si>
  <si>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</si>
  <si>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</si>
  <si>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</si>
  <si>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</si>
  <si>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</si>
  <si>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</si>
  <si>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</si>
  <si>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</si>
  <si>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</si>
  <si>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</si>
  <si>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</si>
  <si>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</si>
  <si>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</si>
  <si>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</si>
  <si>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</si>
  <si>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</si>
  <si>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</si>
  <si>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</si>
  <si>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</si>
  <si>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</si>
  <si>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</si>
  <si>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</si>
  <si>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</si>
  <si>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</si>
  <si>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</si>
  <si>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</si>
  <si>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</si>
  <si>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</si>
  <si>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</si>
  <si>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</si>
  <si>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</si>
  <si>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</si>
  <si>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</si>
  <si>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</si>
  <si>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</si>
  <si>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</si>
  <si>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</si>
  <si>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</si>
  <si>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</si>
  <si>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</si>
  <si>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</si>
  <si>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</si>
  <si>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</si>
  <si>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</si>
  <si>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</si>
  <si>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</si>
  <si>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</si>
  <si>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</si>
  <si>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</si>
  <si>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</si>
  <si>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</si>
  <si>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</si>
  <si>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</si>
  <si>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</si>
  <si>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</si>
  <si>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</si>
  <si>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</si>
  <si>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</si>
  <si>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</si>
  <si>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</si>
  <si>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</si>
  <si>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</si>
  <si>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</si>
  <si>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</si>
  <si>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</si>
  <si>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</si>
  <si>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</si>
  <si>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</si>
  <si>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</si>
  <si>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</si>
  <si>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</si>
  <si>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</si>
  <si>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</si>
  <si>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</si>
  <si>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</si>
  <si>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</si>
  <si>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</si>
  <si>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</si>
  <si>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</si>
  <si>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</si>
  <si>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</si>
  <si>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</si>
  <si>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</si>
  <si>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</si>
  <si>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</si>
  <si>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</si>
  <si>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</si>
  <si>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</si>
  <si>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</si>
  <si>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</si>
  <si>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</si>
  <si>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</si>
  <si>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</si>
  <si>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</si>
  <si>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</si>
  <si>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</si>
  <si>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</si>
  <si>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</si>
  <si>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</si>
  <si>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</si>
  <si>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</si>
  <si>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</si>
  <si>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</si>
  <si>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</si>
  <si>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</si>
  <si>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</si>
  <si>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</si>
  <si>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</si>
  <si>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</si>
  <si>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</si>
  <si>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</si>
  <si>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</si>
  <si>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</si>
  <si>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</si>
  <si>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</si>
  <si>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</si>
  <si>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</si>
  <si>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</si>
  <si>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</si>
  <si>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</si>
  <si>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</si>
  <si>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</si>
  <si>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</si>
  <si>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</si>
  <si>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</si>
  <si>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</si>
  <si>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</si>
  <si>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</si>
  <si>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</si>
  <si>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</si>
  <si>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</si>
  <si>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</si>
  <si>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</si>
  <si>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</si>
  <si>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</si>
  <si>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</si>
  <si>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</si>
  <si>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</si>
  <si>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</si>
  <si>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</si>
  <si>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</si>
  <si>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</si>
  <si>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</si>
  <si>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</si>
  <si>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</si>
  <si>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</si>
  <si>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</si>
  <si>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</si>
  <si>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</si>
  <si>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</si>
  <si>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</si>
  <si>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</si>
  <si>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</si>
  <si>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</si>
  <si>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</si>
  <si>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</si>
  <si>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</si>
  <si>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</si>
  <si>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</si>
  <si>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</si>
  <si>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</si>
  <si>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</si>
  <si>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</si>
  <si>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</si>
  <si>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</si>
  <si>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</si>
  <si>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</si>
  <si>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</si>
  <si>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</si>
  <si>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</si>
  <si>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</si>
  <si>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</si>
  <si>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</si>
  <si>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</si>
  <si>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</si>
  <si>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</si>
  <si>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</si>
  <si>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</si>
  <si>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</si>
  <si>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</si>
  <si>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</si>
  <si>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</si>
  <si>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</si>
  <si>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</si>
  <si>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</si>
  <si>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</si>
  <si>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</si>
  <si>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</si>
  <si>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</si>
  <si>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</si>
  <si>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</si>
  <si>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</si>
  <si>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</si>
  <si>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</si>
  <si>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</si>
  <si>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</si>
  <si>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</si>
  <si>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</si>
  <si>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</si>
  <si>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</si>
  <si>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</si>
  <si>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</si>
  <si>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</si>
  <si>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</si>
  <si>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</si>
  <si>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</si>
  <si>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</si>
  <si>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</si>
  <si>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</si>
  <si>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</si>
  <si>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</si>
  <si>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</si>
  <si>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</si>
  <si>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</si>
  <si>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</si>
  <si>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</si>
  <si>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</si>
  <si>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</si>
  <si>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</si>
  <si>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</si>
  <si>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</si>
  <si>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</si>
  <si>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</si>
  <si>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</si>
  <si>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</si>
  <si>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</si>
  <si>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</si>
  <si>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</si>
  <si>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</si>
  <si>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</si>
  <si>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</si>
  <si>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</si>
  <si>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</si>
  <si>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</si>
  <si>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</si>
  <si>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</si>
  <si>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</si>
  <si>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</si>
  <si>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</si>
  <si>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</si>
  <si>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</si>
  <si>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</si>
  <si>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</si>
  <si>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</si>
  <si>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</si>
  <si>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</si>
  <si>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</si>
  <si>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</si>
  <si>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</si>
  <si>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</si>
  <si>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</si>
  <si>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</si>
  <si>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</si>
  <si>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</si>
  <si>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</si>
  <si>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</si>
  <si>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</si>
  <si>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</si>
  <si>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</si>
  <si>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</si>
  <si>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</si>
  <si>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</si>
  <si>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</si>
  <si>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</si>
  <si>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</si>
  <si>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</si>
  <si>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</si>
  <si>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</si>
  <si>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</si>
  <si>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</si>
  <si>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</si>
  <si>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</si>
  <si>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</si>
  <si>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</si>
  <si>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</si>
  <si>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</si>
  <si>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</si>
  <si>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</si>
  <si>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</si>
  <si>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</si>
  <si>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</si>
  <si>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</si>
  <si>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</si>
  <si>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</si>
  <si>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</si>
  <si>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</si>
  <si>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</si>
  <si>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</si>
  <si>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</si>
  <si>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</si>
  <si>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</si>
  <si>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</si>
  <si>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</si>
  <si>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</si>
  <si>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</si>
  <si>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</si>
  <si>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</si>
  <si>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</si>
  <si>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</si>
  <si>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</si>
  <si>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</si>
  <si>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</si>
  <si>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</si>
  <si>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</si>
  <si>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</si>
  <si>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</si>
  <si>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</si>
  <si>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</si>
  <si>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</si>
  <si>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</si>
  <si>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</si>
  <si>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</si>
  <si>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</si>
  <si>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</si>
  <si>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</si>
  <si>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</si>
  <si>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</si>
  <si>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</si>
  <si>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</si>
  <si>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</si>
  <si>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</si>
  <si>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</si>
  <si>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</si>
  <si>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</si>
  <si>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</si>
  <si>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</si>
  <si>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</si>
  <si>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</si>
  <si>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</si>
  <si>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</si>
  <si>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</si>
  <si>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</si>
  <si>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</si>
  <si>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</si>
  <si>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</si>
  <si>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</si>
  <si>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</si>
  <si>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</si>
  <si>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</si>
  <si>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</si>
  <si>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</si>
  <si>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</si>
  <si>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</si>
  <si>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</si>
  <si>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</si>
  <si>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</si>
  <si>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</si>
  <si>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</si>
  <si>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</si>
  <si>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</si>
  <si>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</si>
  <si>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</si>
  <si>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</si>
  <si>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</si>
  <si>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</si>
  <si>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</si>
  <si>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</si>
  <si>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</si>
  <si>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</si>
  <si>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</si>
  <si>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</si>
  <si>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</si>
  <si>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</si>
  <si>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</si>
  <si>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</si>
  <si>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</si>
  <si>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</si>
  <si>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</si>
  <si>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</si>
  <si>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</si>
  <si>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</si>
  <si>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</si>
  <si>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</si>
  <si>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</si>
  <si>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</si>
  <si>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</si>
  <si>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</si>
  <si>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</si>
  <si>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</si>
  <si>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</si>
  <si>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</si>
  <si>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</si>
  <si>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</si>
  <si>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</si>
  <si>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</si>
  <si>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</si>
  <si>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</si>
  <si>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</si>
  <si>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</si>
  <si>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</si>
  <si>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</si>
  <si>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</si>
  <si>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</si>
  <si>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</si>
  <si>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</si>
  <si>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</si>
  <si>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</si>
  <si>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</si>
  <si>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</si>
  <si>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</si>
  <si>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</si>
  <si>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</si>
  <si>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</si>
  <si>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</si>
  <si>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</si>
  <si>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</si>
  <si>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</si>
  <si>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</si>
  <si>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</si>
  <si>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</si>
  <si>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</si>
  <si>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</si>
  <si>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</si>
  <si>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</si>
  <si>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</si>
  <si>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</si>
  <si>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</si>
  <si>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</si>
  <si>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</si>
  <si>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</si>
  <si>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</si>
  <si>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</si>
  <si>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</si>
  <si>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</si>
  <si>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</si>
  <si>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</si>
  <si>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</si>
  <si>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</si>
  <si>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</si>
  <si>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</si>
  <si>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</si>
  <si>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</si>
  <si>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</si>
  <si>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</si>
  <si>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</si>
  <si>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</si>
  <si>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</si>
  <si>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</si>
  <si>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</si>
  <si>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</si>
  <si>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</si>
  <si>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</si>
  <si>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</si>
  <si>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</si>
  <si>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</si>
  <si>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</si>
  <si>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</si>
  <si>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</si>
  <si>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</si>
  <si>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</si>
  <si>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</si>
  <si>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</si>
  <si>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</si>
  <si>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</si>
  <si>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</si>
  <si>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</si>
  <si>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</si>
  <si>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</si>
  <si>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</si>
  <si>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</si>
  <si>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</si>
  <si>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</si>
  <si>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</si>
  <si>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</si>
  <si>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</si>
  <si>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</si>
  <si>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</si>
  <si>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</si>
  <si>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</si>
  <si>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</si>
  <si>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</si>
  <si>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</si>
  <si>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</si>
  <si>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</si>
  <si>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</si>
  <si>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</si>
  <si>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</si>
  <si>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</si>
  <si>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</si>
  <si>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</si>
  <si>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</si>
  <si>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</si>
  <si>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</si>
  <si>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</si>
  <si>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</si>
  <si>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</si>
  <si>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</si>
  <si>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</si>
  <si>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</si>
  <si>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</si>
  <si>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</si>
  <si>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</si>
  <si>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</si>
  <si>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</si>
  <si>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</si>
  <si>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</si>
  <si>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</si>
  <si>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</si>
  <si>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</si>
  <si>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</si>
  <si>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</si>
  <si>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</si>
  <si>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</si>
  <si>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</si>
  <si>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</si>
  <si>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</si>
  <si>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</si>
  <si>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</si>
  <si>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</si>
  <si>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</si>
  <si>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</si>
  <si>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</si>
  <si>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</si>
  <si>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</si>
  <si>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</si>
  <si>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</si>
  <si>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</si>
  <si>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</si>
  <si>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</si>
  <si>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</si>
  <si>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</si>
  <si>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</si>
  <si>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</si>
  <si>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</si>
  <si>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</si>
  <si>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</si>
  <si>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</si>
  <si>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</si>
  <si>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</si>
  <si>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</si>
  <si>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</si>
  <si>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</si>
  <si>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</si>
  <si>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</si>
  <si>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</si>
  <si>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</si>
  <si>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</si>
  <si>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</si>
  <si>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</si>
  <si>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</si>
  <si>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</si>
  <si>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</si>
  <si>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</si>
  <si>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</si>
  <si>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</si>
  <si>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</si>
  <si>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</si>
  <si>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</si>
  <si>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</si>
  <si>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</si>
  <si>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</si>
  <si>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</si>
  <si>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</si>
  <si>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</si>
  <si>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</si>
  <si>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</si>
  <si>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</si>
  <si>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</si>
  <si>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</si>
  <si>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</si>
  <si>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</si>
  <si>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</si>
  <si>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</si>
  <si>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</si>
  <si>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</si>
  <si>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</si>
  <si>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</si>
  <si>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</si>
  <si>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</si>
  <si>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</si>
  <si>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</si>
  <si>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</si>
  <si>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</si>
  <si>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</si>
  <si>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</si>
  <si>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</si>
  <si>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</si>
  <si>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</si>
  <si>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</si>
  <si>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</si>
  <si>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</si>
  <si>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</si>
  <si>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</si>
  <si>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</si>
  <si>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</si>
  <si>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</si>
  <si>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</si>
  <si>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</si>
  <si>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</si>
  <si>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</si>
  <si>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</si>
  <si>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</si>
  <si>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</si>
  <si>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</si>
  <si>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</si>
  <si>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</si>
  <si>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</si>
  <si>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</si>
  <si>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</si>
  <si>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</si>
  <si>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</si>
  <si>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</si>
  <si>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</si>
  <si>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</si>
  <si>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</si>
  <si>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</si>
  <si>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</si>
  <si>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</si>
  <si>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</si>
  <si>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</si>
  <si>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</si>
  <si>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</si>
  <si>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</si>
  <si>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</si>
  <si>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</si>
  <si>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</si>
  <si>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</si>
  <si>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</si>
  <si>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</si>
  <si>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</si>
  <si>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</si>
  <si>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</si>
  <si>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</si>
  <si>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</si>
  <si>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</si>
  <si>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</si>
  <si>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</si>
  <si>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</si>
  <si>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</si>
  <si>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</si>
  <si>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</si>
  <si>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</si>
  <si>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</si>
  <si>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</si>
  <si>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</si>
  <si>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</si>
  <si>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</si>
  <si>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</si>
  <si>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</si>
  <si>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</si>
  <si>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</si>
  <si>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</si>
  <si>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</si>
  <si>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</si>
  <si>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</si>
  <si>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</si>
  <si>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</si>
  <si>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</si>
  <si>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</si>
  <si>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</si>
  <si>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</si>
  <si>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</si>
  <si>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</si>
  <si>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</si>
  <si>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</si>
  <si>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</si>
  <si>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</si>
  <si>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</si>
  <si>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</si>
  <si>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</si>
  <si>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</si>
  <si>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</si>
  <si>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</si>
  <si>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</si>
  <si>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</si>
  <si>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</si>
  <si>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</si>
  <si>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</si>
  <si>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</si>
  <si>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</si>
  <si>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</si>
  <si>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</si>
  <si>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</si>
  <si>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</si>
  <si>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</si>
  <si>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</si>
  <si>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</si>
  <si>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</si>
  <si>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</si>
  <si>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</si>
  <si>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</si>
  <si>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</si>
  <si>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</si>
  <si>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</si>
  <si>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</si>
  <si>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</si>
  <si>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</si>
  <si>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</si>
  <si>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</si>
  <si>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</si>
  <si>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</si>
  <si>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</si>
  <si>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</si>
  <si>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</si>
  <si>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</si>
  <si>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</si>
  <si>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</si>
  <si>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</si>
  <si>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</si>
  <si>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</si>
  <si>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</si>
  <si>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</si>
  <si>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</si>
  <si>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</si>
  <si>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</si>
  <si>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</si>
  <si>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</si>
  <si>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</si>
  <si>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</si>
  <si>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</si>
  <si>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</si>
  <si>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</si>
  <si>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</si>
  <si>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</si>
  <si>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</si>
  <si>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</si>
  <si>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</si>
  <si>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</si>
  <si>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</si>
  <si>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</si>
  <si>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</si>
  <si>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</si>
  <si>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</si>
  <si>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</si>
  <si>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</si>
  <si>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</si>
  <si>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</si>
  <si>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</si>
  <si>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</si>
  <si>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</si>
  <si>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</si>
  <si>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</si>
  <si>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</si>
  <si>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</si>
  <si>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</si>
  <si>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</si>
  <si>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</si>
  <si>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</si>
  <si>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</si>
  <si>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</si>
  <si>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</si>
  <si>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</si>
  <si>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</si>
  <si>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</si>
  <si>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</si>
  <si>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</si>
  <si>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</si>
  <si>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</si>
  <si>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</si>
  <si>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</si>
  <si>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</si>
  <si>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</si>
  <si>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</si>
  <si>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</si>
  <si>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</si>
  <si>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</si>
  <si>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</si>
  <si>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</si>
  <si>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</si>
  <si>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</si>
  <si>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</si>
  <si>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</si>
  <si>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</si>
  <si>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</si>
  <si>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</si>
  <si>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</si>
  <si>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</si>
  <si>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</si>
  <si>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</si>
  <si>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</si>
  <si>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</si>
  <si>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</si>
  <si>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</si>
  <si>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</si>
  <si>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</si>
  <si>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</si>
  <si>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</si>
  <si>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</si>
  <si>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</si>
  <si>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</si>
  <si>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</si>
  <si>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</si>
  <si>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</si>
  <si>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</si>
  <si>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</si>
  <si>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</si>
  <si>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</si>
  <si>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</si>
  <si>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</si>
  <si>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</si>
  <si>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</si>
  <si>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</si>
  <si>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</si>
  <si>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</si>
  <si>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</si>
  <si>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</si>
  <si>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</si>
  <si>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</si>
  <si>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</si>
  <si>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</si>
  <si>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</si>
  <si>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</si>
  <si>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</si>
  <si>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</si>
  <si>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</si>
  <si>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</si>
  <si>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</si>
  <si>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</si>
  <si>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</si>
  <si>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</si>
  <si>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</si>
  <si>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</si>
  <si>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</si>
  <si>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</si>
  <si>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</si>
  <si>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</si>
  <si>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</si>
  <si>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</si>
  <si>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</si>
  <si>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</si>
  <si>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</si>
  <si>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</si>
  <si>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</si>
  <si>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</si>
  <si>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</si>
  <si>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</si>
  <si>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</si>
  <si>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</si>
  <si>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</si>
  <si>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</si>
  <si>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</si>
  <si>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</si>
  <si>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</si>
  <si>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</si>
  <si>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</si>
  <si>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</si>
  <si>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</si>
  <si>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</si>
  <si>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</si>
  <si>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</si>
  <si>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</si>
  <si>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</si>
  <si>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</si>
  <si>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</si>
  <si>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</si>
  <si>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</si>
  <si>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</si>
  <si>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</si>
  <si>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</si>
  <si>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</si>
  <si>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</si>
  <si>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</si>
  <si>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</si>
  <si>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</si>
  <si>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</si>
  <si>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</si>
  <si>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</si>
  <si>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</si>
  <si>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</si>
  <si>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</si>
  <si>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</si>
  <si>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</si>
  <si>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</si>
  <si>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</si>
  <si>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</si>
  <si>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</si>
  <si>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</si>
  <si>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</si>
  <si>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</si>
  <si>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</si>
  <si>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</si>
  <si>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</si>
  <si>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</si>
  <si>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</si>
  <si>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</si>
  <si>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</si>
  <si>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</si>
  <si>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</si>
  <si>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</si>
  <si>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</si>
  <si>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</si>
  <si>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</si>
  <si>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</si>
  <si>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</si>
  <si>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</si>
  <si>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</si>
  <si>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</si>
  <si>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</si>
  <si>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</si>
  <si>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</si>
  <si>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</si>
  <si>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</si>
  <si>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</si>
  <si>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</si>
  <si>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</si>
  <si>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</si>
  <si>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</si>
  <si>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</si>
  <si>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</si>
  <si>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</si>
  <si>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</si>
  <si>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</si>
  <si>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</si>
  <si>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</si>
  <si>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</si>
  <si>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</si>
  <si>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</si>
  <si>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</si>
  <si>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</si>
  <si>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</si>
  <si>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</si>
  <si>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</si>
  <si>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</si>
  <si>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</si>
  <si>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</si>
  <si>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</si>
  <si>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</si>
  <si>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</si>
  <si>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</si>
  <si>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</si>
  <si>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</si>
  <si>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</si>
  <si>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</si>
  <si>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</si>
  <si>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</si>
  <si>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</si>
  <si>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</si>
  <si>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</si>
  <si>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</si>
  <si>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</si>
  <si>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</si>
  <si>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</si>
  <si>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</si>
  <si>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</si>
  <si>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</si>
  <si>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</si>
  <si>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</si>
  <si>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</si>
  <si>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</si>
  <si>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</si>
  <si>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</si>
  <si>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</si>
  <si>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</si>
  <si>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</si>
  <si>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</si>
  <si>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</si>
  <si>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</si>
  <si>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</si>
  <si>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</si>
  <si>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</si>
  <si>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</si>
  <si>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</si>
  <si>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</si>
  <si>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</si>
  <si>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</si>
  <si>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</si>
  <si>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</si>
  <si>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</si>
  <si>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</si>
  <si>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</si>
  <si>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</si>
  <si>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</si>
  <si>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</si>
  <si>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</si>
  <si>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</si>
  <si>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</si>
  <si>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</si>
  <si>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</si>
  <si>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</si>
  <si>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</si>
  <si>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</si>
  <si>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</si>
  <si>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</si>
  <si>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</si>
  <si>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</si>
  <si>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</si>
  <si>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</si>
  <si>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</si>
  <si>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</si>
  <si>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</si>
  <si>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</si>
  <si>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</si>
  <si>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</si>
  <si>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</si>
  <si>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</si>
  <si>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</si>
  <si>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</si>
  <si>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</si>
  <si>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</si>
  <si>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</si>
  <si>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</si>
  <si>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</si>
  <si>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</si>
  <si>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</si>
  <si>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</si>
  <si>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</si>
  <si>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</si>
  <si>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</si>
  <si>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</si>
  <si>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</si>
  <si>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</si>
  <si>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</si>
  <si>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</si>
  <si>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</si>
  <si>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</si>
  <si>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</si>
  <si>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</si>
  <si>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</si>
  <si>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</si>
  <si>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</si>
  <si>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</si>
  <si>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1524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</si>
  <si>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</si>
  <si>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</si>
  <si>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</si>
  <si>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</si>
  <si>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</si>
  <si>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# DE INV.VEH.USAGE AUDI</t>
  </si>
  <si>
    <t>1418@</t>
  </si>
  <si>
    <t>1418</t>
  </si>
  <si>
    <t># DE AUTRE INV. VEH. USAGE</t>
  </si>
  <si>
    <t>1420@</t>
  </si>
  <si>
    <t>1420</t>
  </si>
  <si>
    <t>MATERIAUX DE PEINTURE/ DEBOSSE</t>
  </si>
  <si>
    <t>1496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</si>
  <si>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</si>
  <si>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</si>
  <si>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</si>
  <si>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</si>
  <si>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</si>
  <si>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</si>
  <si>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</si>
  <si>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</si>
  <si>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</si>
  <si>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</si>
  <si>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</si>
  <si>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</si>
  <si>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</si>
  <si>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</si>
  <si>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boni André 100% dans Audi? Et pas payé en janvier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</si>
  <si>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</si>
  <si>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</si>
  <si>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</si>
  <si>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</si>
  <si>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</si>
  <si>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</si>
  <si>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</si>
  <si>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</si>
  <si>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</si>
  <si>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</si>
  <si>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</si>
  <si>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carry over de dec</t>
  </si>
  <si>
    <t>reprise manuf autorisatoin de carroserie</t>
  </si>
  <si>
    <t>principalement garantie</t>
  </si>
  <si>
    <t>moin de véhicule vendu (interne)</t>
  </si>
  <si>
    <t>Ration sur M/O</t>
  </si>
  <si>
    <t>Leak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</si>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</sst>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&quot;$&quot;#,##0.00"/>
    <numFmt numFmtId="175" formatCode="#,###.00;\-#,###.00;.00;@"/>
    <numFmt numFmtId="176" formatCode="_(&quot;$&quot;* #,##0_);_(&quot;$&quot;* \(#,##0\);_(&quot;$&quot;* &quot;-&quot;??_);_(@_)"/>
  </numFmts>
  <fonts count="7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</fills>
  <borders count="20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5" fillId="0" borderId="1"/>
    <xf numFmtId="0" fontId="4" fillId="0" borderId="1"/>
    <xf numFmtId="9" fontId="4" fillId="0" borderId="1" applyFont="0" applyFill="0" applyBorder="0" applyAlignment="0" applyProtection="0"/>
    <xf numFmtId="43" fontId="73" fillId="0" borderId="0" applyFont="0" applyFill="0" applyBorder="0" applyAlignment="0" applyProtection="0"/>
    <xf numFmtId="0" fontId="2" fillId="0" borderId="1"/>
    <xf numFmtId="0" fontId="1" fillId="0" borderId="1"/>
    <xf numFmtId="44" fontId="77" fillId="0" borderId="0" applyFont="0" applyFill="0" applyBorder="0" applyAlignment="0" applyProtection="0"/>
  </cellStyleXfs>
  <cellXfs count="1120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/>
    <xf numFmtId="0" fontId="10" fillId="0" borderId="2" xfId="0" applyFont="1" applyBorder="1"/>
    <xf numFmtId="0" fontId="12" fillId="0" borderId="4" xfId="0" applyFont="1" applyBorder="1"/>
    <xf numFmtId="0" fontId="10" fillId="0" borderId="6" xfId="0" applyFont="1" applyBorder="1"/>
    <xf numFmtId="0" fontId="12" fillId="0" borderId="6" xfId="0" applyFont="1" applyBorder="1"/>
    <xf numFmtId="0" fontId="12" fillId="3" borderId="8" xfId="0" applyFont="1" applyFill="1" applyBorder="1"/>
    <xf numFmtId="0" fontId="12" fillId="3" borderId="10" xfId="0" applyFont="1" applyFill="1" applyBorder="1"/>
    <xf numFmtId="0" fontId="11" fillId="0" borderId="6" xfId="0" applyFont="1" applyBorder="1"/>
    <xf numFmtId="166" fontId="7" fillId="0" borderId="0" xfId="0" applyNumberFormat="1" applyFont="1"/>
    <xf numFmtId="0" fontId="7" fillId="0" borderId="6" xfId="0" applyFont="1" applyBorder="1"/>
    <xf numFmtId="167" fontId="7" fillId="0" borderId="0" xfId="0" applyNumberFormat="1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3" fontId="9" fillId="0" borderId="0" xfId="0" applyNumberFormat="1" applyFont="1"/>
    <xf numFmtId="0" fontId="14" fillId="0" borderId="0" xfId="0" applyFont="1"/>
    <xf numFmtId="168" fontId="15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37" fontId="18" fillId="3" borderId="14" xfId="0" applyNumberFormat="1" applyFont="1" applyFill="1" applyBorder="1"/>
    <xf numFmtId="3" fontId="18" fillId="3" borderId="14" xfId="0" applyNumberFormat="1" applyFont="1" applyFill="1" applyBorder="1"/>
    <xf numFmtId="37" fontId="18" fillId="3" borderId="9" xfId="0" applyNumberFormat="1" applyFont="1" applyFill="1" applyBorder="1"/>
    <xf numFmtId="37" fontId="18" fillId="3" borderId="8" xfId="0" applyNumberFormat="1" applyFont="1" applyFill="1" applyBorder="1"/>
    <xf numFmtId="170" fontId="18" fillId="3" borderId="14" xfId="0" applyNumberFormat="1" applyFont="1" applyFill="1" applyBorder="1"/>
    <xf numFmtId="0" fontId="18" fillId="3" borderId="10" xfId="0" applyFont="1" applyFill="1" applyBorder="1"/>
    <xf numFmtId="0" fontId="18" fillId="3" borderId="11" xfId="0" applyFont="1" applyFill="1" applyBorder="1"/>
    <xf numFmtId="169" fontId="18" fillId="3" borderId="10" xfId="0" applyNumberFormat="1" applyFont="1" applyFill="1" applyBorder="1"/>
    <xf numFmtId="169" fontId="18" fillId="3" borderId="11" xfId="0" applyNumberFormat="1" applyFont="1" applyFill="1" applyBorder="1"/>
    <xf numFmtId="0" fontId="18" fillId="4" borderId="1" xfId="0" applyFont="1" applyFill="1" applyBorder="1"/>
    <xf numFmtId="0" fontId="17" fillId="0" borderId="0" xfId="0" applyFont="1" applyAlignment="1">
      <alignment horizontal="right"/>
    </xf>
    <xf numFmtId="37" fontId="17" fillId="0" borderId="0" xfId="0" applyNumberFormat="1" applyFont="1"/>
    <xf numFmtId="0" fontId="18" fillId="3" borderId="16" xfId="0" applyFont="1" applyFill="1" applyBorder="1"/>
    <xf numFmtId="0" fontId="18" fillId="3" borderId="17" xfId="0" applyFont="1" applyFill="1" applyBorder="1" applyAlignment="1">
      <alignment horizontal="center"/>
    </xf>
    <xf numFmtId="169" fontId="18" fillId="3" borderId="17" xfId="0" applyNumberFormat="1" applyFont="1" applyFill="1" applyBorder="1"/>
    <xf numFmtId="37" fontId="18" fillId="3" borderId="18" xfId="0" applyNumberFormat="1" applyFont="1" applyFill="1" applyBorder="1"/>
    <xf numFmtId="0" fontId="18" fillId="3" borderId="16" xfId="0" applyFont="1" applyFill="1" applyBorder="1" applyAlignment="1">
      <alignment horizontal="center"/>
    </xf>
    <xf numFmtId="0" fontId="17" fillId="3" borderId="13" xfId="0" applyFont="1" applyFill="1" applyBorder="1"/>
    <xf numFmtId="0" fontId="17" fillId="3" borderId="16" xfId="0" applyFont="1" applyFill="1" applyBorder="1"/>
    <xf numFmtId="37" fontId="18" fillId="0" borderId="0" xfId="0" applyNumberFormat="1" applyFont="1"/>
    <xf numFmtId="37" fontId="18" fillId="3" borderId="19" xfId="0" applyNumberFormat="1" applyFont="1" applyFill="1" applyBorder="1"/>
    <xf numFmtId="0" fontId="17" fillId="4" borderId="1" xfId="0" applyFont="1" applyFill="1" applyBorder="1"/>
    <xf numFmtId="37" fontId="18" fillId="4" borderId="15" xfId="0" applyNumberFormat="1" applyFont="1" applyFill="1" applyBorder="1"/>
    <xf numFmtId="0" fontId="17" fillId="4" borderId="12" xfId="0" applyFont="1" applyFill="1" applyBorder="1"/>
    <xf numFmtId="0" fontId="17" fillId="4" borderId="13" xfId="0" applyFont="1" applyFill="1" applyBorder="1"/>
    <xf numFmtId="0" fontId="17" fillId="4" borderId="22" xfId="0" applyFont="1" applyFill="1" applyBorder="1"/>
    <xf numFmtId="37" fontId="18" fillId="4" borderId="19" xfId="0" applyNumberFormat="1" applyFont="1" applyFill="1" applyBorder="1"/>
    <xf numFmtId="0" fontId="21" fillId="0" borderId="0" xfId="0" applyFont="1"/>
    <xf numFmtId="0" fontId="22" fillId="0" borderId="0" xfId="0" applyFont="1"/>
    <xf numFmtId="37" fontId="22" fillId="0" borderId="0" xfId="0" applyNumberFormat="1" applyFont="1"/>
    <xf numFmtId="0" fontId="18" fillId="0" borderId="0" xfId="0" applyFont="1"/>
    <xf numFmtId="37" fontId="15" fillId="0" borderId="0" xfId="0" applyNumberFormat="1" applyFont="1"/>
    <xf numFmtId="37" fontId="18" fillId="4" borderId="14" xfId="0" applyNumberFormat="1" applyFont="1" applyFill="1" applyBorder="1"/>
    <xf numFmtId="37" fontId="18" fillId="4" borderId="9" xfId="0" applyNumberFormat="1" applyFont="1" applyFill="1" applyBorder="1"/>
    <xf numFmtId="37" fontId="18" fillId="4" borderId="8" xfId="0" applyNumberFormat="1" applyFont="1" applyFill="1" applyBorder="1"/>
    <xf numFmtId="169" fontId="18" fillId="4" borderId="8" xfId="0" applyNumberFormat="1" applyFont="1" applyFill="1" applyBorder="1"/>
    <xf numFmtId="37" fontId="18" fillId="4" borderId="22" xfId="0" applyNumberFormat="1" applyFont="1" applyFill="1" applyBorder="1"/>
    <xf numFmtId="169" fontId="18" fillId="4" borderId="19" xfId="0" applyNumberFormat="1" applyFont="1" applyFill="1" applyBorder="1"/>
    <xf numFmtId="37" fontId="18" fillId="4" borderId="13" xfId="0" applyNumberFormat="1" applyFont="1" applyFill="1" applyBorder="1"/>
    <xf numFmtId="39" fontId="18" fillId="4" borderId="22" xfId="0" applyNumberFormat="1" applyFont="1" applyFill="1" applyBorder="1"/>
    <xf numFmtId="37" fontId="18" fillId="4" borderId="24" xfId="0" applyNumberFormat="1" applyFont="1" applyFill="1" applyBorder="1"/>
    <xf numFmtId="170" fontId="18" fillId="4" borderId="24" xfId="0" applyNumberFormat="1" applyFont="1" applyFill="1" applyBorder="1"/>
    <xf numFmtId="37" fontId="18" fillId="4" borderId="25" xfId="0" applyNumberFormat="1" applyFont="1" applyFill="1" applyBorder="1"/>
    <xf numFmtId="37" fontId="18" fillId="4" borderId="23" xfId="0" applyNumberFormat="1" applyFont="1" applyFill="1" applyBorder="1"/>
    <xf numFmtId="169" fontId="18" fillId="3" borderId="8" xfId="0" applyNumberFormat="1" applyFont="1" applyFill="1" applyBorder="1"/>
    <xf numFmtId="169" fontId="18" fillId="3" borderId="14" xfId="0" applyNumberFormat="1" applyFont="1" applyFill="1" applyBorder="1"/>
    <xf numFmtId="169" fontId="18" fillId="3" borderId="26" xfId="0" applyNumberFormat="1" applyFont="1" applyFill="1" applyBorder="1"/>
    <xf numFmtId="37" fontId="18" fillId="3" borderId="27" xfId="0" applyNumberFormat="1" applyFont="1" applyFill="1" applyBorder="1"/>
    <xf numFmtId="37" fontId="18" fillId="3" borderId="29" xfId="0" applyNumberFormat="1" applyFont="1" applyFill="1" applyBorder="1"/>
    <xf numFmtId="170" fontId="18" fillId="3" borderId="29" xfId="0" applyNumberFormat="1" applyFont="1" applyFill="1" applyBorder="1"/>
    <xf numFmtId="37" fontId="18" fillId="3" borderId="30" xfId="0" applyNumberFormat="1" applyFont="1" applyFill="1" applyBorder="1"/>
    <xf numFmtId="37" fontId="18" fillId="3" borderId="28" xfId="0" applyNumberFormat="1" applyFont="1" applyFill="1" applyBorder="1"/>
    <xf numFmtId="0" fontId="17" fillId="3" borderId="10" xfId="0" applyFont="1" applyFill="1" applyBorder="1"/>
    <xf numFmtId="0" fontId="25" fillId="0" borderId="0" xfId="0" applyFont="1"/>
    <xf numFmtId="0" fontId="14" fillId="0" borderId="0" xfId="0" applyFont="1" applyAlignment="1">
      <alignment horizontal="right" vertical="center"/>
    </xf>
    <xf numFmtId="0" fontId="26" fillId="3" borderId="22" xfId="0" applyFont="1" applyFill="1" applyBorder="1"/>
    <xf numFmtId="37" fontId="26" fillId="3" borderId="32" xfId="0" applyNumberFormat="1" applyFont="1" applyFill="1" applyBorder="1"/>
    <xf numFmtId="37" fontId="26" fillId="3" borderId="33" xfId="0" applyNumberFormat="1" applyFont="1" applyFill="1" applyBorder="1"/>
    <xf numFmtId="37" fontId="26" fillId="3" borderId="22" xfId="0" applyNumberFormat="1" applyFont="1" applyFill="1" applyBorder="1"/>
    <xf numFmtId="169" fontId="26" fillId="3" borderId="22" xfId="0" applyNumberFormat="1" applyFont="1" applyFill="1" applyBorder="1"/>
    <xf numFmtId="37" fontId="26" fillId="3" borderId="34" xfId="0" applyNumberFormat="1" applyFont="1" applyFill="1" applyBorder="1"/>
    <xf numFmtId="37" fontId="20" fillId="0" borderId="35" xfId="0" applyNumberFormat="1" applyFont="1" applyBorder="1"/>
    <xf numFmtId="0" fontId="26" fillId="3" borderId="17" xfId="0" applyFont="1" applyFill="1" applyBorder="1"/>
    <xf numFmtId="169" fontId="26" fillId="3" borderId="17" xfId="0" applyNumberFormat="1" applyFont="1" applyFill="1" applyBorder="1"/>
    <xf numFmtId="37" fontId="26" fillId="3" borderId="21" xfId="0" applyNumberFormat="1" applyFont="1" applyFill="1" applyBorder="1"/>
    <xf numFmtId="169" fontId="26" fillId="3" borderId="20" xfId="0" applyNumberFormat="1" applyFont="1" applyFill="1" applyBorder="1"/>
    <xf numFmtId="0" fontId="26" fillId="3" borderId="20" xfId="0" applyFont="1" applyFill="1" applyBorder="1"/>
    <xf numFmtId="37" fontId="26" fillId="3" borderId="17" xfId="0" applyNumberFormat="1" applyFont="1" applyFill="1" applyBorder="1"/>
    <xf numFmtId="0" fontId="26" fillId="3" borderId="36" xfId="0" applyFont="1" applyFill="1" applyBorder="1"/>
    <xf numFmtId="43" fontId="15" fillId="0" borderId="0" xfId="0" applyNumberFormat="1" applyFont="1"/>
    <xf numFmtId="43" fontId="25" fillId="0" borderId="0" xfId="0" applyNumberFormat="1" applyFont="1"/>
    <xf numFmtId="169" fontId="20" fillId="0" borderId="35" xfId="0" applyNumberFormat="1" applyFont="1" applyBorder="1"/>
    <xf numFmtId="170" fontId="26" fillId="3" borderId="17" xfId="0" applyNumberFormat="1" applyFont="1" applyFill="1" applyBorder="1"/>
    <xf numFmtId="37" fontId="26" fillId="3" borderId="20" xfId="0" applyNumberFormat="1" applyFont="1" applyFill="1" applyBorder="1"/>
    <xf numFmtId="37" fontId="26" fillId="3" borderId="36" xfId="0" applyNumberFormat="1" applyFont="1" applyFill="1" applyBorder="1"/>
    <xf numFmtId="37" fontId="25" fillId="0" borderId="0" xfId="0" applyNumberFormat="1" applyFont="1"/>
    <xf numFmtId="167" fontId="25" fillId="0" borderId="0" xfId="0" applyNumberFormat="1" applyFont="1"/>
    <xf numFmtId="0" fontId="20" fillId="3" borderId="17" xfId="0" applyFont="1" applyFill="1" applyBorder="1"/>
    <xf numFmtId="0" fontId="25" fillId="4" borderId="1" xfId="0" applyFont="1" applyFill="1" applyBorder="1"/>
    <xf numFmtId="0" fontId="20" fillId="0" borderId="35" xfId="0" applyFont="1" applyBorder="1"/>
    <xf numFmtId="37" fontId="20" fillId="4" borderId="37" xfId="0" applyNumberFormat="1" applyFont="1" applyFill="1" applyBorder="1"/>
    <xf numFmtId="0" fontId="26" fillId="4" borderId="24" xfId="0" applyFont="1" applyFill="1" applyBorder="1"/>
    <xf numFmtId="37" fontId="26" fillId="4" borderId="24" xfId="0" applyNumberFormat="1" applyFont="1" applyFill="1" applyBorder="1"/>
    <xf numFmtId="169" fontId="20" fillId="3" borderId="20" xfId="0" applyNumberFormat="1" applyFont="1" applyFill="1" applyBorder="1"/>
    <xf numFmtId="169" fontId="20" fillId="3" borderId="17" xfId="0" applyNumberFormat="1" applyFont="1" applyFill="1" applyBorder="1"/>
    <xf numFmtId="37" fontId="20" fillId="3" borderId="36" xfId="0" applyNumberFormat="1" applyFont="1" applyFill="1" applyBorder="1"/>
    <xf numFmtId="0" fontId="20" fillId="4" borderId="24" xfId="0" applyFont="1" applyFill="1" applyBorder="1"/>
    <xf numFmtId="37" fontId="20" fillId="4" borderId="24" xfId="0" applyNumberFormat="1" applyFont="1" applyFill="1" applyBorder="1"/>
    <xf numFmtId="37" fontId="20" fillId="4" borderId="38" xfId="0" applyNumberFormat="1" applyFont="1" applyFill="1" applyBorder="1"/>
    <xf numFmtId="37" fontId="20" fillId="4" borderId="1" xfId="0" applyNumberFormat="1" applyFont="1" applyFill="1" applyBorder="1"/>
    <xf numFmtId="169" fontId="20" fillId="4" borderId="1" xfId="0" applyNumberFormat="1" applyFont="1" applyFill="1" applyBorder="1"/>
    <xf numFmtId="169" fontId="20" fillId="4" borderId="38" xfId="0" applyNumberFormat="1" applyFont="1" applyFill="1" applyBorder="1"/>
    <xf numFmtId="169" fontId="20" fillId="4" borderId="24" xfId="0" applyNumberFormat="1" applyFont="1" applyFill="1" applyBorder="1"/>
    <xf numFmtId="37" fontId="20" fillId="4" borderId="42" xfId="0" applyNumberFormat="1" applyFont="1" applyFill="1" applyBorder="1"/>
    <xf numFmtId="39" fontId="20" fillId="0" borderId="0" xfId="0" applyNumberFormat="1" applyFont="1"/>
    <xf numFmtId="37" fontId="25" fillId="0" borderId="35" xfId="0" applyNumberFormat="1" applyFont="1" applyBorder="1"/>
    <xf numFmtId="0" fontId="25" fillId="0" borderId="35" xfId="0" applyFont="1" applyBorder="1"/>
    <xf numFmtId="0" fontId="25" fillId="0" borderId="40" xfId="0" applyFont="1" applyBorder="1"/>
    <xf numFmtId="0" fontId="27" fillId="0" borderId="0" xfId="0" applyFont="1"/>
    <xf numFmtId="37" fontId="27" fillId="0" borderId="0" xfId="0" applyNumberFormat="1" applyFont="1"/>
    <xf numFmtId="37" fontId="26" fillId="0" borderId="0" xfId="0" applyNumberFormat="1" applyFont="1"/>
    <xf numFmtId="37" fontId="28" fillId="0" borderId="0" xfId="0" applyNumberFormat="1" applyFont="1"/>
    <xf numFmtId="0" fontId="27" fillId="4" borderId="1" xfId="0" applyFont="1" applyFill="1" applyBorder="1"/>
    <xf numFmtId="37" fontId="25" fillId="4" borderId="1" xfId="0" applyNumberFormat="1" applyFont="1" applyFill="1" applyBorder="1"/>
    <xf numFmtId="0" fontId="29" fillId="4" borderId="1" xfId="0" applyFont="1" applyFill="1" applyBorder="1"/>
    <xf numFmtId="37" fontId="27" fillId="4" borderId="1" xfId="0" applyNumberFormat="1" applyFont="1" applyFill="1" applyBorder="1"/>
    <xf numFmtId="0" fontId="30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68" fontId="31" fillId="4" borderId="1" xfId="0" applyNumberFormat="1" applyFont="1" applyFill="1" applyBorder="1" applyAlignment="1">
      <alignment horizontal="right"/>
    </xf>
    <xf numFmtId="0" fontId="27" fillId="4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1" fillId="4" borderId="1" xfId="0" applyFont="1" applyFill="1" applyBorder="1"/>
    <xf numFmtId="169" fontId="25" fillId="4" borderId="1" xfId="0" applyNumberFormat="1" applyFont="1" applyFill="1" applyBorder="1"/>
    <xf numFmtId="9" fontId="25" fillId="4" borderId="1" xfId="0" applyNumberFormat="1" applyFont="1" applyFill="1" applyBorder="1"/>
    <xf numFmtId="169" fontId="27" fillId="4" borderId="1" xfId="0" applyNumberFormat="1" applyFont="1" applyFill="1" applyBorder="1"/>
    <xf numFmtId="0" fontId="32" fillId="4" borderId="1" xfId="0" applyFont="1" applyFill="1" applyBorder="1"/>
    <xf numFmtId="0" fontId="30" fillId="4" borderId="1" xfId="0" applyFont="1" applyFill="1" applyBorder="1" applyAlignment="1">
      <alignment horizontal="center"/>
    </xf>
    <xf numFmtId="168" fontId="25" fillId="4" borderId="1" xfId="0" applyNumberFormat="1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left"/>
    </xf>
    <xf numFmtId="0" fontId="34" fillId="4" borderId="1" xfId="0" applyFont="1" applyFill="1" applyBorder="1"/>
    <xf numFmtId="0" fontId="35" fillId="0" borderId="0" xfId="0" applyFont="1" applyAlignment="1">
      <alignment horizontal="center" vertical="top"/>
    </xf>
    <xf numFmtId="0" fontId="36" fillId="6" borderId="43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/>
    </xf>
    <xf numFmtId="172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/>
    <xf numFmtId="1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center" vertical="top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49" fontId="7" fillId="5" borderId="1" xfId="0" applyNumberFormat="1" applyFont="1" applyFill="1" applyBorder="1" applyAlignment="1">
      <alignment horizontal="left" vertical="top"/>
    </xf>
    <xf numFmtId="173" fontId="7" fillId="5" borderId="1" xfId="0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center"/>
    </xf>
    <xf numFmtId="0" fontId="36" fillId="0" borderId="0" xfId="0" applyFont="1" applyAlignment="1">
      <alignment horizontal="left" vertical="top"/>
    </xf>
    <xf numFmtId="0" fontId="0" fillId="0" borderId="0" xfId="0" applyFont="1" applyAlignment="1">
      <alignment horizontal="center"/>
    </xf>
    <xf numFmtId="0" fontId="6" fillId="9" borderId="1" xfId="0" applyFont="1" applyFill="1" applyBorder="1"/>
    <xf numFmtId="49" fontId="39" fillId="0" borderId="48" xfId="0" applyNumberFormat="1" applyFont="1" applyBorder="1" applyAlignment="1">
      <alignment horizontal="left" vertical="top"/>
    </xf>
    <xf numFmtId="0" fontId="38" fillId="0" borderId="48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0" borderId="0" xfId="0" applyFont="1"/>
    <xf numFmtId="0" fontId="7" fillId="9" borderId="1" xfId="0" applyFont="1" applyFill="1" applyBorder="1"/>
    <xf numFmtId="0" fontId="39" fillId="0" borderId="48" xfId="0" applyFont="1" applyBorder="1" applyAlignment="1">
      <alignment horizontal="left" vertical="top"/>
    </xf>
    <xf numFmtId="0" fontId="7" fillId="0" borderId="0" xfId="0" applyFont="1"/>
    <xf numFmtId="39" fontId="38" fillId="0" borderId="48" xfId="0" applyNumberFormat="1" applyFont="1" applyBorder="1" applyAlignment="1">
      <alignment horizontal="left" vertical="top"/>
    </xf>
    <xf numFmtId="39" fontId="38" fillId="10" borderId="49" xfId="0" applyNumberFormat="1" applyFont="1" applyFill="1" applyBorder="1" applyAlignment="1">
      <alignment horizontal="left" vertical="top"/>
    </xf>
    <xf numFmtId="0" fontId="39" fillId="10" borderId="49" xfId="0" applyFont="1" applyFill="1" applyBorder="1" applyAlignment="1">
      <alignment horizontal="left" vertical="top"/>
    </xf>
    <xf numFmtId="39" fontId="38" fillId="0" borderId="44" xfId="0" applyNumberFormat="1" applyFont="1" applyBorder="1" applyAlignment="1">
      <alignment horizontal="left" vertical="top"/>
    </xf>
    <xf numFmtId="0" fontId="39" fillId="0" borderId="44" xfId="0" applyFont="1" applyBorder="1" applyAlignment="1">
      <alignment horizontal="left" vertical="top"/>
    </xf>
    <xf numFmtId="0" fontId="39" fillId="0" borderId="0" xfId="0" applyFont="1" applyAlignment="1">
      <alignment horizontal="left" vertical="top"/>
    </xf>
    <xf numFmtId="39" fontId="38" fillId="0" borderId="45" xfId="0" applyNumberFormat="1" applyFont="1" applyBorder="1" applyAlignment="1">
      <alignment horizontal="left" vertical="top"/>
    </xf>
    <xf numFmtId="1" fontId="39" fillId="0" borderId="48" xfId="0" applyNumberFormat="1" applyFont="1" applyBorder="1" applyAlignment="1">
      <alignment horizontal="left" vertical="top"/>
    </xf>
    <xf numFmtId="49" fontId="38" fillId="0" borderId="48" xfId="0" applyNumberFormat="1" applyFont="1" applyBorder="1" applyAlignment="1">
      <alignment horizontal="left" vertical="top"/>
    </xf>
    <xf numFmtId="1" fontId="39" fillId="10" borderId="49" xfId="0" applyNumberFormat="1" applyFont="1" applyFill="1" applyBorder="1" applyAlignment="1">
      <alignment horizontal="left" vertical="top"/>
    </xf>
    <xf numFmtId="49" fontId="38" fillId="10" borderId="49" xfId="0" applyNumberFormat="1" applyFont="1" applyFill="1" applyBorder="1" applyAlignment="1">
      <alignment horizontal="left" vertical="top"/>
    </xf>
    <xf numFmtId="49" fontId="38" fillId="10" borderId="44" xfId="0" applyNumberFormat="1" applyFont="1" applyFill="1" applyBorder="1" applyAlignment="1">
      <alignment horizontal="left" vertical="top"/>
    </xf>
    <xf numFmtId="49" fontId="38" fillId="0" borderId="44" xfId="0" applyNumberFormat="1" applyFont="1" applyBorder="1" applyAlignment="1">
      <alignment horizontal="left" vertical="top"/>
    </xf>
    <xf numFmtId="0" fontId="38" fillId="10" borderId="49" xfId="0" applyFont="1" applyFill="1" applyBorder="1" applyAlignment="1">
      <alignment horizontal="left" vertical="top"/>
    </xf>
    <xf numFmtId="0" fontId="38" fillId="0" borderId="44" xfId="0" applyFont="1" applyBorder="1" applyAlignment="1">
      <alignment horizontal="left" vertical="top"/>
    </xf>
    <xf numFmtId="0" fontId="40" fillId="0" borderId="48" xfId="0" applyFont="1" applyBorder="1" applyAlignment="1">
      <alignment horizontal="left" vertical="top"/>
    </xf>
    <xf numFmtId="0" fontId="38" fillId="0" borderId="45" xfId="0" applyFont="1" applyBorder="1" applyAlignment="1">
      <alignment horizontal="left" vertical="top"/>
    </xf>
    <xf numFmtId="0" fontId="41" fillId="8" borderId="49" xfId="0" applyFont="1" applyFill="1" applyBorder="1" applyAlignment="1">
      <alignment horizontal="left" vertical="top"/>
    </xf>
    <xf numFmtId="0" fontId="38" fillId="8" borderId="49" xfId="0" applyFont="1" applyFill="1" applyBorder="1" applyAlignment="1">
      <alignment horizontal="left" vertical="top"/>
    </xf>
    <xf numFmtId="0" fontId="39" fillId="5" borderId="49" xfId="0" applyFont="1" applyFill="1" applyBorder="1" applyAlignment="1">
      <alignment horizontal="left" vertical="top"/>
    </xf>
    <xf numFmtId="0" fontId="38" fillId="5" borderId="49" xfId="0" applyFont="1" applyFill="1" applyBorder="1" applyAlignment="1">
      <alignment horizontal="left" vertical="top"/>
    </xf>
    <xf numFmtId="0" fontId="38" fillId="5" borderId="1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3" fontId="17" fillId="0" borderId="52" xfId="0" applyNumberFormat="1" applyFont="1" applyBorder="1"/>
    <xf numFmtId="0" fontId="17" fillId="0" borderId="1" xfId="0" applyFont="1" applyBorder="1"/>
    <xf numFmtId="3" fontId="17" fillId="0" borderId="1" xfId="0" applyNumberFormat="1" applyFont="1" applyBorder="1"/>
    <xf numFmtId="3" fontId="17" fillId="0" borderId="15" xfId="0" applyNumberFormat="1" applyFont="1" applyBorder="1"/>
    <xf numFmtId="3" fontId="17" fillId="0" borderId="53" xfId="0" applyNumberFormat="1" applyFont="1" applyBorder="1"/>
    <xf numFmtId="3" fontId="17" fillId="0" borderId="12" xfId="0" applyNumberFormat="1" applyFont="1" applyBorder="1"/>
    <xf numFmtId="3" fontId="17" fillId="0" borderId="54" xfId="0" applyNumberFormat="1" applyFont="1" applyBorder="1"/>
    <xf numFmtId="3" fontId="17" fillId="0" borderId="55" xfId="0" applyNumberFormat="1" applyFont="1" applyBorder="1"/>
    <xf numFmtId="2" fontId="17" fillId="0" borderId="1" xfId="0" applyNumberFormat="1" applyFont="1" applyBorder="1"/>
    <xf numFmtId="3" fontId="17" fillId="0" borderId="56" xfId="0" applyNumberFormat="1" applyFont="1" applyBorder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37" fontId="17" fillId="0" borderId="55" xfId="0" applyNumberFormat="1" applyFont="1" applyBorder="1"/>
    <xf numFmtId="170" fontId="17" fillId="0" borderId="55" xfId="0" applyNumberFormat="1" applyFont="1" applyBorder="1"/>
    <xf numFmtId="169" fontId="17" fillId="0" borderId="52" xfId="0" applyNumberFormat="1" applyFont="1" applyBorder="1"/>
    <xf numFmtId="0" fontId="17" fillId="0" borderId="55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169" fontId="17" fillId="0" borderId="55" xfId="0" applyNumberFormat="1" applyFont="1" applyBorder="1"/>
    <xf numFmtId="37" fontId="17" fillId="0" borderId="52" xfId="0" applyNumberFormat="1" applyFont="1" applyBorder="1"/>
    <xf numFmtId="37" fontId="17" fillId="0" borderId="1" xfId="0" applyNumberFormat="1" applyFont="1" applyBorder="1"/>
    <xf numFmtId="37" fontId="18" fillId="0" borderId="24" xfId="0" applyNumberFormat="1" applyFont="1" applyBorder="1"/>
    <xf numFmtId="37" fontId="17" fillId="0" borderId="57" xfId="0" applyNumberFormat="1" applyFont="1" applyBorder="1"/>
    <xf numFmtId="37" fontId="18" fillId="0" borderId="58" xfId="0" applyNumberFormat="1" applyFont="1" applyBorder="1"/>
    <xf numFmtId="37" fontId="17" fillId="0" borderId="58" xfId="0" applyNumberFormat="1" applyFont="1" applyBorder="1"/>
    <xf numFmtId="37" fontId="17" fillId="0" borderId="60" xfId="0" applyNumberFormat="1" applyFont="1" applyBorder="1"/>
    <xf numFmtId="37" fontId="17" fillId="11" borderId="1" xfId="0" applyNumberFormat="1" applyFont="1" applyFill="1" applyBorder="1"/>
    <xf numFmtId="169" fontId="18" fillId="3" borderId="1" xfId="0" applyNumberFormat="1" applyFont="1" applyFill="1" applyBorder="1"/>
    <xf numFmtId="0" fontId="17" fillId="0" borderId="62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7" fillId="0" borderId="63" xfId="0" applyFont="1" applyBorder="1" applyAlignment="1">
      <alignment horizontal="center"/>
    </xf>
    <xf numFmtId="37" fontId="17" fillId="11" borderId="64" xfId="0" applyNumberFormat="1" applyFont="1" applyFill="1" applyBorder="1"/>
    <xf numFmtId="37" fontId="17" fillId="0" borderId="63" xfId="0" applyNumberFormat="1" applyFont="1" applyBorder="1"/>
    <xf numFmtId="169" fontId="17" fillId="0" borderId="1" xfId="0" applyNumberFormat="1" applyFont="1" applyBorder="1"/>
    <xf numFmtId="37" fontId="17" fillId="0" borderId="54" xfId="0" applyNumberFormat="1" applyFont="1" applyBorder="1"/>
    <xf numFmtId="0" fontId="17" fillId="0" borderId="54" xfId="0" applyFont="1" applyBorder="1" applyAlignment="1">
      <alignment horizontal="center"/>
    </xf>
    <xf numFmtId="169" fontId="20" fillId="0" borderId="58" xfId="0" applyNumberFormat="1" applyFont="1" applyBorder="1"/>
    <xf numFmtId="169" fontId="20" fillId="0" borderId="57" xfId="0" applyNumberFormat="1" applyFont="1" applyBorder="1"/>
    <xf numFmtId="169" fontId="20" fillId="0" borderId="65" xfId="0" applyNumberFormat="1" applyFont="1" applyBorder="1"/>
    <xf numFmtId="169" fontId="47" fillId="0" borderId="57" xfId="0" applyNumberFormat="1" applyFont="1" applyBorder="1"/>
    <xf numFmtId="37" fontId="26" fillId="3" borderId="66" xfId="0" applyNumberFormat="1" applyFont="1" applyFill="1" applyBorder="1"/>
    <xf numFmtId="37" fontId="26" fillId="3" borderId="67" xfId="0" applyNumberFormat="1" applyFont="1" applyFill="1" applyBorder="1"/>
    <xf numFmtId="0" fontId="25" fillId="0" borderId="1" xfId="0" applyFont="1" applyBorder="1"/>
    <xf numFmtId="3" fontId="17" fillId="11" borderId="69" xfId="0" applyNumberFormat="1" applyFont="1" applyFill="1" applyBorder="1"/>
    <xf numFmtId="3" fontId="17" fillId="11" borderId="70" xfId="0" applyNumberFormat="1" applyFont="1" applyFill="1" applyBorder="1"/>
    <xf numFmtId="0" fontId="17" fillId="0" borderId="0" xfId="0" applyFont="1" applyFill="1"/>
    <xf numFmtId="37" fontId="18" fillId="0" borderId="24" xfId="0" applyNumberFormat="1" applyFont="1" applyFill="1" applyBorder="1"/>
    <xf numFmtId="170" fontId="18" fillId="0" borderId="24" xfId="0" applyNumberFormat="1" applyFont="1" applyFill="1" applyBorder="1"/>
    <xf numFmtId="37" fontId="18" fillId="0" borderId="25" xfId="0" applyNumberFormat="1" applyFont="1" applyFill="1" applyBorder="1"/>
    <xf numFmtId="37" fontId="18" fillId="0" borderId="23" xfId="0" applyNumberFormat="1" applyFont="1" applyFill="1" applyBorder="1"/>
    <xf numFmtId="0" fontId="17" fillId="0" borderId="12" xfId="0" applyFont="1" applyFill="1" applyBorder="1"/>
    <xf numFmtId="37" fontId="17" fillId="0" borderId="1" xfId="0" applyNumberFormat="1" applyFont="1" applyFill="1" applyBorder="1"/>
    <xf numFmtId="37" fontId="17" fillId="0" borderId="0" xfId="0" applyNumberFormat="1" applyFont="1" applyFill="1"/>
    <xf numFmtId="37" fontId="17" fillId="0" borderId="12" xfId="0" applyNumberFormat="1" applyFont="1" applyFill="1" applyBorder="1"/>
    <xf numFmtId="3" fontId="17" fillId="0" borderId="1" xfId="0" applyNumberFormat="1" applyFont="1" applyFill="1" applyBorder="1"/>
    <xf numFmtId="37" fontId="17" fillId="0" borderId="15" xfId="0" applyNumberFormat="1" applyFont="1" applyFill="1" applyBorder="1"/>
    <xf numFmtId="0" fontId="17" fillId="0" borderId="1" xfId="0" applyFont="1" applyFill="1" applyBorder="1"/>
    <xf numFmtId="170" fontId="17" fillId="0" borderId="1" xfId="0" applyNumberFormat="1" applyFont="1" applyFill="1" applyBorder="1"/>
    <xf numFmtId="169" fontId="17" fillId="0" borderId="15" xfId="0" applyNumberFormat="1" applyFont="1" applyFill="1" applyBorder="1"/>
    <xf numFmtId="37" fontId="18" fillId="0" borderId="12" xfId="0" applyNumberFormat="1" applyFont="1" applyFill="1" applyBorder="1"/>
    <xf numFmtId="170" fontId="18" fillId="0" borderId="1" xfId="0" applyNumberFormat="1" applyFont="1" applyFill="1" applyBorder="1"/>
    <xf numFmtId="37" fontId="18" fillId="0" borderId="15" xfId="0" applyNumberFormat="1" applyFont="1" applyFill="1" applyBorder="1"/>
    <xf numFmtId="37" fontId="18" fillId="0" borderId="1" xfId="0" applyNumberFormat="1" applyFont="1" applyFill="1" applyBorder="1"/>
    <xf numFmtId="0" fontId="18" fillId="0" borderId="12" xfId="0" applyFont="1" applyFill="1" applyBorder="1"/>
    <xf numFmtId="0" fontId="18" fillId="0" borderId="1" xfId="0" applyFont="1" applyFill="1" applyBorder="1"/>
    <xf numFmtId="169" fontId="18" fillId="0" borderId="15" xfId="0" applyNumberFormat="1" applyFont="1" applyFill="1" applyBorder="1"/>
    <xf numFmtId="169" fontId="18" fillId="0" borderId="12" xfId="0" applyNumberFormat="1" applyFont="1" applyFill="1" applyBorder="1"/>
    <xf numFmtId="3" fontId="17" fillId="0" borderId="52" xfId="0" applyNumberFormat="1" applyFont="1" applyFill="1" applyBorder="1"/>
    <xf numFmtId="3" fontId="17" fillId="0" borderId="53" xfId="0" applyNumberFormat="1" applyFont="1" applyFill="1" applyBorder="1"/>
    <xf numFmtId="37" fontId="44" fillId="0" borderId="1" xfId="0" applyNumberFormat="1" applyFont="1" applyFill="1" applyBorder="1"/>
    <xf numFmtId="0" fontId="26" fillId="0" borderId="1" xfId="0" applyFont="1" applyFill="1" applyBorder="1"/>
    <xf numFmtId="37" fontId="20" fillId="0" borderId="37" xfId="0" applyNumberFormat="1" applyFont="1" applyFill="1" applyBorder="1"/>
    <xf numFmtId="169" fontId="26" fillId="0" borderId="24" xfId="0" applyNumberFormat="1" applyFont="1" applyFill="1" applyBorder="1"/>
    <xf numFmtId="0" fontId="26" fillId="0" borderId="24" xfId="0" applyFont="1" applyFill="1" applyBorder="1"/>
    <xf numFmtId="37" fontId="26" fillId="0" borderId="38" xfId="0" applyNumberFormat="1" applyFont="1" applyFill="1" applyBorder="1"/>
    <xf numFmtId="169" fontId="26" fillId="0" borderId="38" xfId="0" applyNumberFormat="1" applyFont="1" applyFill="1" applyBorder="1"/>
    <xf numFmtId="37" fontId="26" fillId="0" borderId="24" xfId="0" applyNumberFormat="1" applyFont="1" applyFill="1" applyBorder="1"/>
    <xf numFmtId="37" fontId="20" fillId="0" borderId="35" xfId="0" applyNumberFormat="1" applyFont="1" applyFill="1" applyBorder="1"/>
    <xf numFmtId="169" fontId="26" fillId="0" borderId="1" xfId="0" applyNumberFormat="1" applyFont="1" applyFill="1" applyBorder="1"/>
    <xf numFmtId="37" fontId="26" fillId="0" borderId="39" xfId="0" applyNumberFormat="1" applyFont="1" applyFill="1" applyBorder="1"/>
    <xf numFmtId="169" fontId="20" fillId="0" borderId="35" xfId="0" applyNumberFormat="1" applyFont="1" applyFill="1" applyBorder="1"/>
    <xf numFmtId="169" fontId="26" fillId="0" borderId="39" xfId="0" applyNumberFormat="1" applyFont="1" applyFill="1" applyBorder="1"/>
    <xf numFmtId="37" fontId="20" fillId="0" borderId="40" xfId="0" applyNumberFormat="1" applyFont="1" applyFill="1" applyBorder="1"/>
    <xf numFmtId="37" fontId="26" fillId="0" borderId="1" xfId="0" applyNumberFormat="1" applyFont="1" applyFill="1" applyBorder="1"/>
    <xf numFmtId="169" fontId="20" fillId="0" borderId="57" xfId="0" applyNumberFormat="1" applyFont="1" applyFill="1" applyBorder="1"/>
    <xf numFmtId="0" fontId="17" fillId="0" borderId="1" xfId="0" applyFont="1" applyFill="1" applyBorder="1" applyAlignment="1">
      <alignment horizontal="right"/>
    </xf>
    <xf numFmtId="0" fontId="17" fillId="0" borderId="70" xfId="0" applyFont="1" applyBorder="1"/>
    <xf numFmtId="0" fontId="17" fillId="0" borderId="72" xfId="0" applyFont="1" applyBorder="1"/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7" xfId="0" applyFont="1" applyBorder="1" applyAlignment="1">
      <alignment horizontal="center"/>
    </xf>
    <xf numFmtId="0" fontId="18" fillId="3" borderId="73" xfId="0" applyFont="1" applyFill="1" applyBorder="1"/>
    <xf numFmtId="37" fontId="18" fillId="3" borderId="74" xfId="0" applyNumberFormat="1" applyFont="1" applyFill="1" applyBorder="1"/>
    <xf numFmtId="0" fontId="18" fillId="3" borderId="75" xfId="0" applyFont="1" applyFill="1" applyBorder="1"/>
    <xf numFmtId="169" fontId="18" fillId="3" borderId="76" xfId="0" applyNumberFormat="1" applyFont="1" applyFill="1" applyBorder="1"/>
    <xf numFmtId="0" fontId="18" fillId="0" borderId="72" xfId="0" applyFont="1" applyFill="1" applyBorder="1"/>
    <xf numFmtId="169" fontId="17" fillId="0" borderId="15" xfId="1" applyNumberFormat="1" applyFont="1" applyFill="1" applyBorder="1"/>
    <xf numFmtId="169" fontId="18" fillId="0" borderId="57" xfId="0" applyNumberFormat="1" applyFont="1" applyFill="1" applyBorder="1"/>
    <xf numFmtId="0" fontId="18" fillId="0" borderId="72" xfId="0" applyFont="1" applyFill="1" applyBorder="1" applyAlignment="1">
      <alignment horizontal="left"/>
    </xf>
    <xf numFmtId="0" fontId="43" fillId="0" borderId="1" xfId="0" applyFont="1" applyFill="1" applyBorder="1"/>
    <xf numFmtId="0" fontId="17" fillId="0" borderId="15" xfId="0" applyFont="1" applyFill="1" applyBorder="1"/>
    <xf numFmtId="0" fontId="17" fillId="0" borderId="57" xfId="0" applyFont="1" applyFill="1" applyBorder="1"/>
    <xf numFmtId="0" fontId="20" fillId="0" borderId="72" xfId="0" applyFont="1" applyFill="1" applyBorder="1"/>
    <xf numFmtId="3" fontId="17" fillId="0" borderId="15" xfId="0" applyNumberFormat="1" applyFont="1" applyFill="1" applyBorder="1"/>
    <xf numFmtId="0" fontId="20" fillId="0" borderId="77" xfId="0" applyFont="1" applyFill="1" applyBorder="1"/>
    <xf numFmtId="0" fontId="17" fillId="0" borderId="12" xfId="0" applyFont="1" applyFill="1" applyBorder="1" applyAlignment="1">
      <alignment horizontal="right"/>
    </xf>
    <xf numFmtId="37" fontId="17" fillId="0" borderId="57" xfId="0" applyNumberFormat="1" applyFont="1" applyFill="1" applyBorder="1"/>
    <xf numFmtId="0" fontId="17" fillId="0" borderId="24" xfId="0" applyFont="1" applyFill="1" applyBorder="1" applyAlignment="1">
      <alignment horizontal="right"/>
    </xf>
    <xf numFmtId="0" fontId="17" fillId="0" borderId="24" xfId="0" applyFont="1" applyFill="1" applyBorder="1"/>
    <xf numFmtId="0" fontId="17" fillId="0" borderId="23" xfId="0" applyFont="1" applyFill="1" applyBorder="1" applyAlignment="1">
      <alignment horizontal="right"/>
    </xf>
    <xf numFmtId="0" fontId="17" fillId="0" borderId="23" xfId="0" applyFont="1" applyFill="1" applyBorder="1"/>
    <xf numFmtId="37" fontId="17" fillId="0" borderId="25" xfId="0" applyNumberFormat="1" applyFont="1" applyFill="1" applyBorder="1"/>
    <xf numFmtId="37" fontId="17" fillId="0" borderId="58" xfId="0" applyNumberFormat="1" applyFont="1" applyFill="1" applyBorder="1"/>
    <xf numFmtId="0" fontId="17" fillId="0" borderId="72" xfId="0" applyFont="1" applyFill="1" applyBorder="1"/>
    <xf numFmtId="0" fontId="17" fillId="0" borderId="22" xfId="0" applyFont="1" applyFill="1" applyBorder="1" applyAlignment="1">
      <alignment horizontal="right"/>
    </xf>
    <xf numFmtId="0" fontId="17" fillId="0" borderId="22" xfId="0" applyFont="1" applyFill="1" applyBorder="1"/>
    <xf numFmtId="0" fontId="17" fillId="0" borderId="13" xfId="0" applyFont="1" applyFill="1" applyBorder="1" applyAlignment="1">
      <alignment horizontal="right"/>
    </xf>
    <xf numFmtId="0" fontId="17" fillId="0" borderId="13" xfId="0" applyFont="1" applyFill="1" applyBorder="1"/>
    <xf numFmtId="37" fontId="17" fillId="0" borderId="19" xfId="0" applyNumberFormat="1" applyFont="1" applyFill="1" applyBorder="1"/>
    <xf numFmtId="37" fontId="17" fillId="0" borderId="60" xfId="0" applyNumberFormat="1" applyFont="1" applyFill="1" applyBorder="1"/>
    <xf numFmtId="0" fontId="18" fillId="3" borderId="78" xfId="0" applyFont="1" applyFill="1" applyBorder="1"/>
    <xf numFmtId="37" fontId="18" fillId="3" borderId="60" xfId="0" applyNumberFormat="1" applyFont="1" applyFill="1" applyBorder="1"/>
    <xf numFmtId="0" fontId="20" fillId="0" borderId="79" xfId="0" applyFont="1" applyBorder="1"/>
    <xf numFmtId="0" fontId="17" fillId="0" borderId="1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12" xfId="0" applyFont="1" applyBorder="1"/>
    <xf numFmtId="37" fontId="17" fillId="0" borderId="15" xfId="0" applyNumberFormat="1" applyFont="1" applyBorder="1"/>
    <xf numFmtId="0" fontId="20" fillId="0" borderId="72" xfId="0" applyFont="1" applyBorder="1"/>
    <xf numFmtId="0" fontId="20" fillId="0" borderId="77" xfId="0" applyFont="1" applyBorder="1"/>
    <xf numFmtId="0" fontId="17" fillId="0" borderId="22" xfId="0" applyFont="1" applyBorder="1" applyAlignment="1">
      <alignment horizontal="right"/>
    </xf>
    <xf numFmtId="0" fontId="17" fillId="0" borderId="22" xfId="0" applyFont="1" applyBorder="1"/>
    <xf numFmtId="0" fontId="17" fillId="0" borderId="13" xfId="0" applyFont="1" applyBorder="1" applyAlignment="1">
      <alignment horizontal="right"/>
    </xf>
    <xf numFmtId="0" fontId="17" fillId="0" borderId="13" xfId="0" applyFont="1" applyBorder="1"/>
    <xf numFmtId="37" fontId="17" fillId="0" borderId="19" xfId="0" applyNumberFormat="1" applyFont="1" applyBorder="1"/>
    <xf numFmtId="0" fontId="17" fillId="0" borderId="15" xfId="0" applyFont="1" applyBorder="1"/>
    <xf numFmtId="0" fontId="18" fillId="0" borderId="12" xfId="0" applyFont="1" applyBorder="1"/>
    <xf numFmtId="0" fontId="18" fillId="0" borderId="15" xfId="0" applyFont="1" applyBorder="1"/>
    <xf numFmtId="0" fontId="18" fillId="0" borderId="57" xfId="0" applyFont="1" applyBorder="1"/>
    <xf numFmtId="37" fontId="18" fillId="3" borderId="59" xfId="0" applyNumberFormat="1" applyFont="1" applyFill="1" applyBorder="1"/>
    <xf numFmtId="0" fontId="18" fillId="3" borderId="80" xfId="0" applyFont="1" applyFill="1" applyBorder="1"/>
    <xf numFmtId="0" fontId="18" fillId="3" borderId="66" xfId="0" applyFont="1" applyFill="1" applyBorder="1"/>
    <xf numFmtId="37" fontId="18" fillId="3" borderId="81" xfId="0" applyNumberFormat="1" applyFont="1" applyFill="1" applyBorder="1"/>
    <xf numFmtId="0" fontId="18" fillId="3" borderId="82" xfId="0" applyFont="1" applyFill="1" applyBorder="1"/>
    <xf numFmtId="0" fontId="17" fillId="3" borderId="82" xfId="0" applyFont="1" applyFill="1" applyBorder="1"/>
    <xf numFmtId="0" fontId="17" fillId="3" borderId="66" xfId="0" applyFont="1" applyFill="1" applyBorder="1"/>
    <xf numFmtId="37" fontId="18" fillId="3" borderId="83" xfId="0" applyNumberFormat="1" applyFont="1" applyFill="1" applyBorder="1"/>
    <xf numFmtId="169" fontId="17" fillId="0" borderId="12" xfId="0" applyNumberFormat="1" applyFont="1" applyBorder="1"/>
    <xf numFmtId="37" fontId="17" fillId="0" borderId="12" xfId="0" applyNumberFormat="1" applyFont="1" applyBorder="1"/>
    <xf numFmtId="0" fontId="17" fillId="0" borderId="77" xfId="0" applyFont="1" applyBorder="1"/>
    <xf numFmtId="0" fontId="18" fillId="0" borderId="72" xfId="0" applyFont="1" applyBorder="1"/>
    <xf numFmtId="169" fontId="18" fillId="0" borderId="24" xfId="0" applyNumberFormat="1" applyFont="1" applyBorder="1"/>
    <xf numFmtId="37" fontId="18" fillId="0" borderId="25" xfId="0" applyNumberFormat="1" applyFont="1" applyBorder="1"/>
    <xf numFmtId="169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15" xfId="0" applyNumberFormat="1" applyFont="1" applyBorder="1"/>
    <xf numFmtId="169" fontId="18" fillId="0" borderId="57" xfId="0" applyNumberFormat="1" applyFont="1" applyBorder="1"/>
    <xf numFmtId="0" fontId="17" fillId="0" borderId="19" xfId="0" applyFont="1" applyBorder="1"/>
    <xf numFmtId="0" fontId="43" fillId="0" borderId="22" xfId="0" applyFont="1" applyBorder="1"/>
    <xf numFmtId="169" fontId="18" fillId="0" borderId="19" xfId="0" applyNumberFormat="1" applyFont="1" applyBorder="1"/>
    <xf numFmtId="169" fontId="18" fillId="0" borderId="60" xfId="0" applyNumberFormat="1" applyFont="1" applyBorder="1"/>
    <xf numFmtId="169" fontId="17" fillId="0" borderId="22" xfId="0" applyNumberFormat="1" applyFont="1" applyBorder="1"/>
    <xf numFmtId="37" fontId="17" fillId="0" borderId="13" xfId="0" applyNumberFormat="1" applyFont="1" applyBorder="1"/>
    <xf numFmtId="0" fontId="18" fillId="3" borderId="84" xfId="0" applyFont="1" applyFill="1" applyBorder="1"/>
    <xf numFmtId="0" fontId="17" fillId="3" borderId="62" xfId="0" applyFont="1" applyFill="1" applyBorder="1" applyAlignment="1">
      <alignment horizontal="right"/>
    </xf>
    <xf numFmtId="0" fontId="17" fillId="3" borderId="62" xfId="0" applyFont="1" applyFill="1" applyBorder="1"/>
    <xf numFmtId="37" fontId="18" fillId="3" borderId="61" xfId="0" applyNumberFormat="1" applyFont="1" applyFill="1" applyBorder="1"/>
    <xf numFmtId="0" fontId="17" fillId="3" borderId="63" xfId="0" applyFont="1" applyFill="1" applyBorder="1" applyAlignment="1">
      <alignment horizontal="right"/>
    </xf>
    <xf numFmtId="0" fontId="18" fillId="3" borderId="63" xfId="0" applyFont="1" applyFill="1" applyBorder="1"/>
    <xf numFmtId="0" fontId="18" fillId="3" borderId="62" xfId="0" applyFont="1" applyFill="1" applyBorder="1"/>
    <xf numFmtId="37" fontId="18" fillId="3" borderId="85" xfId="0" applyNumberFormat="1" applyFont="1" applyFill="1" applyBorder="1"/>
    <xf numFmtId="1" fontId="17" fillId="0" borderId="12" xfId="0" applyNumberFormat="1" applyFont="1" applyBorder="1"/>
    <xf numFmtId="170" fontId="17" fillId="0" borderId="1" xfId="0" applyNumberFormat="1" applyFont="1" applyBorder="1"/>
    <xf numFmtId="169" fontId="17" fillId="0" borderId="15" xfId="0" applyNumberFormat="1" applyFont="1" applyBorder="1"/>
    <xf numFmtId="0" fontId="17" fillId="0" borderId="79" xfId="0" applyFont="1" applyBorder="1"/>
    <xf numFmtId="0" fontId="17" fillId="0" borderId="24" xfId="0" applyFont="1" applyBorder="1"/>
    <xf numFmtId="1" fontId="17" fillId="0" borderId="23" xfId="0" applyNumberFormat="1" applyFont="1" applyBorder="1"/>
    <xf numFmtId="37" fontId="17" fillId="0" borderId="23" xfId="0" applyNumberFormat="1" applyFont="1" applyBorder="1"/>
    <xf numFmtId="169" fontId="17" fillId="0" borderId="23" xfId="0" applyNumberFormat="1" applyFont="1" applyBorder="1"/>
    <xf numFmtId="37" fontId="17" fillId="0" borderId="25" xfId="0" applyNumberFormat="1" applyFont="1" applyBorder="1"/>
    <xf numFmtId="37" fontId="17" fillId="0" borderId="24" xfId="0" applyNumberFormat="1" applyFont="1" applyBorder="1"/>
    <xf numFmtId="170" fontId="17" fillId="0" borderId="22" xfId="0" applyNumberFormat="1" applyFont="1" applyBorder="1"/>
    <xf numFmtId="169" fontId="17" fillId="0" borderId="19" xfId="0" applyNumberFormat="1" applyFont="1" applyBorder="1"/>
    <xf numFmtId="2" fontId="17" fillId="0" borderId="22" xfId="0" applyNumberFormat="1" applyFont="1" applyBorder="1"/>
    <xf numFmtId="169" fontId="17" fillId="0" borderId="13" xfId="0" applyNumberFormat="1" applyFont="1" applyBorder="1"/>
    <xf numFmtId="169" fontId="18" fillId="0" borderId="12" xfId="0" applyNumberFormat="1" applyFont="1" applyBorder="1"/>
    <xf numFmtId="37" fontId="18" fillId="3" borderId="86" xfId="0" applyNumberFormat="1" applyFont="1" applyFill="1" applyBorder="1"/>
    <xf numFmtId="0" fontId="18" fillId="3" borderId="87" xfId="0" applyFont="1" applyFill="1" applyBorder="1"/>
    <xf numFmtId="0" fontId="18" fillId="3" borderId="31" xfId="0" applyFont="1" applyFill="1" applyBorder="1"/>
    <xf numFmtId="169" fontId="18" fillId="0" borderId="13" xfId="0" applyNumberFormat="1" applyFont="1" applyBorder="1"/>
    <xf numFmtId="171" fontId="17" fillId="0" borderId="1" xfId="0" applyNumberFormat="1" applyFont="1" applyBorder="1"/>
    <xf numFmtId="0" fontId="17" fillId="0" borderId="23" xfId="0" applyFont="1" applyBorder="1"/>
    <xf numFmtId="0" fontId="18" fillId="0" borderId="1" xfId="0" applyFont="1" applyBorder="1"/>
    <xf numFmtId="170" fontId="18" fillId="0" borderId="1" xfId="0" applyNumberFormat="1" applyFont="1" applyBorder="1"/>
    <xf numFmtId="37" fontId="18" fillId="0" borderId="12" xfId="0" applyNumberFormat="1" applyFont="1" applyBorder="1"/>
    <xf numFmtId="37" fontId="18" fillId="0" borderId="15" xfId="0" applyNumberFormat="1" applyFont="1" applyBorder="1"/>
    <xf numFmtId="37" fontId="18" fillId="0" borderId="57" xfId="0" applyNumberFormat="1" applyFont="1" applyBorder="1"/>
    <xf numFmtId="0" fontId="18" fillId="0" borderId="22" xfId="0" applyFont="1" applyBorder="1"/>
    <xf numFmtId="170" fontId="18" fillId="0" borderId="22" xfId="0" applyNumberFormat="1" applyFont="1" applyBorder="1"/>
    <xf numFmtId="0" fontId="18" fillId="0" borderId="13" xfId="0" applyFont="1" applyBorder="1"/>
    <xf numFmtId="37" fontId="18" fillId="0" borderId="13" xfId="0" applyNumberFormat="1" applyFont="1" applyBorder="1"/>
    <xf numFmtId="37" fontId="18" fillId="0" borderId="19" xfId="0" applyNumberFormat="1" applyFont="1" applyBorder="1"/>
    <xf numFmtId="37" fontId="18" fillId="0" borderId="60" xfId="0" applyNumberFormat="1" applyFont="1" applyBorder="1"/>
    <xf numFmtId="0" fontId="18" fillId="4" borderId="73" xfId="0" applyFont="1" applyFill="1" applyBorder="1"/>
    <xf numFmtId="169" fontId="45" fillId="0" borderId="12" xfId="0" applyNumberFormat="1" applyFont="1" applyBorder="1"/>
    <xf numFmtId="37" fontId="18" fillId="4" borderId="86" xfId="0" applyNumberFormat="1" applyFont="1" applyFill="1" applyBorder="1"/>
    <xf numFmtId="0" fontId="18" fillId="4" borderId="77" xfId="0" applyFont="1" applyFill="1" applyBorder="1"/>
    <xf numFmtId="0" fontId="18" fillId="0" borderId="79" xfId="0" applyFont="1" applyFill="1" applyBorder="1"/>
    <xf numFmtId="37" fontId="18" fillId="0" borderId="58" xfId="0" applyNumberFormat="1" applyFont="1" applyFill="1" applyBorder="1"/>
    <xf numFmtId="169" fontId="17" fillId="0" borderId="12" xfId="0" applyNumberFormat="1" applyFont="1" applyFill="1" applyBorder="1"/>
    <xf numFmtId="37" fontId="18" fillId="0" borderId="57" xfId="0" applyNumberFormat="1" applyFont="1" applyFill="1" applyBorder="1"/>
    <xf numFmtId="0" fontId="18" fillId="4" borderId="79" xfId="0" applyFont="1" applyFill="1" applyBorder="1"/>
    <xf numFmtId="37" fontId="18" fillId="4" borderId="58" xfId="0" applyNumberFormat="1" applyFont="1" applyFill="1" applyBorder="1"/>
    <xf numFmtId="0" fontId="18" fillId="0" borderId="72" xfId="0" applyFont="1" applyBorder="1" applyAlignment="1">
      <alignment horizontal="left"/>
    </xf>
    <xf numFmtId="0" fontId="17" fillId="0" borderId="57" xfId="0" applyFont="1" applyBorder="1"/>
    <xf numFmtId="0" fontId="17" fillId="0" borderId="24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7" fillId="0" borderId="2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3" fontId="17" fillId="0" borderId="57" xfId="0" applyNumberFormat="1" applyFont="1" applyBorder="1"/>
    <xf numFmtId="0" fontId="18" fillId="0" borderId="79" xfId="0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23" xfId="0" applyNumberFormat="1" applyFont="1" applyBorder="1"/>
    <xf numFmtId="3" fontId="18" fillId="0" borderId="58" xfId="0" applyNumberFormat="1" applyFont="1" applyBorder="1"/>
    <xf numFmtId="3" fontId="17" fillId="0" borderId="19" xfId="0" applyNumberFormat="1" applyFont="1" applyBorder="1"/>
    <xf numFmtId="3" fontId="17" fillId="0" borderId="13" xfId="0" applyNumberFormat="1" applyFont="1" applyBorder="1"/>
    <xf numFmtId="3" fontId="17" fillId="0" borderId="22" xfId="0" applyNumberFormat="1" applyFont="1" applyBorder="1"/>
    <xf numFmtId="3" fontId="18" fillId="0" borderId="13" xfId="0" applyNumberFormat="1" applyFont="1" applyBorder="1"/>
    <xf numFmtId="3" fontId="18" fillId="0" borderId="19" xfId="0" applyNumberFormat="1" applyFont="1" applyBorder="1"/>
    <xf numFmtId="3" fontId="18" fillId="0" borderId="60" xfId="0" applyNumberFormat="1" applyFont="1" applyBorder="1"/>
    <xf numFmtId="3" fontId="17" fillId="0" borderId="23" xfId="0" applyNumberFormat="1" applyFont="1" applyBorder="1"/>
    <xf numFmtId="169" fontId="44" fillId="11" borderId="88" xfId="0" applyNumberFormat="1" applyFont="1" applyFill="1" applyBorder="1"/>
    <xf numFmtId="37" fontId="17" fillId="0" borderId="22" xfId="0" applyNumberFormat="1" applyFont="1" applyBorder="1"/>
    <xf numFmtId="0" fontId="18" fillId="0" borderId="1" xfId="0" applyFont="1" applyBorder="1" applyAlignment="1">
      <alignment horizontal="center"/>
    </xf>
    <xf numFmtId="169" fontId="18" fillId="0" borderId="1" xfId="0" applyNumberFormat="1" applyFont="1" applyBorder="1"/>
    <xf numFmtId="0" fontId="18" fillId="0" borderId="12" xfId="0" applyFont="1" applyBorder="1" applyAlignment="1">
      <alignment horizontal="center"/>
    </xf>
    <xf numFmtId="3" fontId="17" fillId="0" borderId="24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7" fillId="0" borderId="12" xfId="0" applyNumberFormat="1" applyFont="1" applyBorder="1" applyAlignment="1">
      <alignment horizontal="center"/>
    </xf>
    <xf numFmtId="3" fontId="17" fillId="0" borderId="57" xfId="0" applyNumberFormat="1" applyFont="1" applyBorder="1" applyAlignment="1">
      <alignment horizontal="center"/>
    </xf>
    <xf numFmtId="3" fontId="17" fillId="0" borderId="22" xfId="0" applyNumberFormat="1" applyFont="1" applyBorder="1" applyAlignment="1">
      <alignment horizontal="center"/>
    </xf>
    <xf numFmtId="3" fontId="17" fillId="0" borderId="13" xfId="0" applyNumberFormat="1" applyFont="1" applyBorder="1" applyAlignment="1">
      <alignment horizontal="center"/>
    </xf>
    <xf numFmtId="3" fontId="17" fillId="0" borderId="19" xfId="0" applyNumberFormat="1" applyFont="1" applyBorder="1" applyAlignment="1">
      <alignment horizontal="center"/>
    </xf>
    <xf numFmtId="3" fontId="17" fillId="0" borderId="60" xfId="0" applyNumberFormat="1" applyFont="1" applyBorder="1" applyAlignment="1">
      <alignment horizontal="center"/>
    </xf>
    <xf numFmtId="0" fontId="18" fillId="0" borderId="77" xfId="0" applyFont="1" applyBorder="1"/>
    <xf numFmtId="3" fontId="17" fillId="0" borderId="60" xfId="0" applyNumberFormat="1" applyFont="1" applyBorder="1"/>
    <xf numFmtId="3" fontId="17" fillId="0" borderId="24" xfId="0" applyNumberFormat="1" applyFont="1" applyBorder="1"/>
    <xf numFmtId="3" fontId="17" fillId="0" borderId="25" xfId="0" applyNumberFormat="1" applyFont="1" applyBorder="1"/>
    <xf numFmtId="3" fontId="17" fillId="0" borderId="58" xfId="0" applyNumberFormat="1" applyFont="1" applyBorder="1"/>
    <xf numFmtId="3" fontId="18" fillId="0" borderId="12" xfId="0" applyNumberFormat="1" applyFont="1" applyBorder="1"/>
    <xf numFmtId="0" fontId="18" fillId="4" borderId="72" xfId="0" applyFont="1" applyFill="1" applyBorder="1"/>
    <xf numFmtId="37" fontId="17" fillId="0" borderId="15" xfId="0" applyNumberFormat="1" applyFont="1" applyBorder="1" applyAlignment="1"/>
    <xf numFmtId="37" fontId="17" fillId="0" borderId="19" xfId="0" applyNumberFormat="1" applyFont="1" applyBorder="1" applyAlignment="1"/>
    <xf numFmtId="37" fontId="18" fillId="4" borderId="60" xfId="0" applyNumberFormat="1" applyFont="1" applyFill="1" applyBorder="1"/>
    <xf numFmtId="0" fontId="17" fillId="3" borderId="63" xfId="0" applyFont="1" applyFill="1" applyBorder="1"/>
    <xf numFmtId="0" fontId="2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7" fillId="0" borderId="89" xfId="0" applyFont="1" applyBorder="1" applyAlignment="1">
      <alignment horizontal="left"/>
    </xf>
    <xf numFmtId="0" fontId="18" fillId="0" borderId="90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20" fillId="0" borderId="22" xfId="0" applyFont="1" applyBorder="1"/>
    <xf numFmtId="37" fontId="20" fillId="0" borderId="32" xfId="0" applyNumberFormat="1" applyFont="1" applyBorder="1"/>
    <xf numFmtId="37" fontId="20" fillId="0" borderId="33" xfId="0" applyNumberFormat="1" applyFont="1" applyBorder="1"/>
    <xf numFmtId="37" fontId="20" fillId="0" borderId="22" xfId="0" applyNumberFormat="1" applyFont="1" applyBorder="1"/>
    <xf numFmtId="169" fontId="20" fillId="0" borderId="22" xfId="0" applyNumberFormat="1" applyFont="1" applyBorder="1"/>
    <xf numFmtId="37" fontId="20" fillId="0" borderId="34" xfId="0" applyNumberFormat="1" applyFont="1" applyBorder="1"/>
    <xf numFmtId="169" fontId="20" fillId="0" borderId="60" xfId="0" applyNumberFormat="1" applyFont="1" applyBorder="1"/>
    <xf numFmtId="0" fontId="26" fillId="3" borderId="77" xfId="0" applyFont="1" applyFill="1" applyBorder="1"/>
    <xf numFmtId="169" fontId="26" fillId="3" borderId="60" xfId="0" applyNumberFormat="1" applyFont="1" applyFill="1" applyBorder="1"/>
    <xf numFmtId="0" fontId="26" fillId="0" borderId="72" xfId="0" applyFont="1" applyBorder="1"/>
    <xf numFmtId="0" fontId="20" fillId="0" borderId="1" xfId="0" applyFont="1" applyBorder="1"/>
    <xf numFmtId="37" fontId="20" fillId="0" borderId="39" xfId="0" applyNumberFormat="1" applyFont="1" applyBorder="1"/>
    <xf numFmtId="37" fontId="20" fillId="0" borderId="1" xfId="0" applyNumberFormat="1" applyFont="1" applyBorder="1"/>
    <xf numFmtId="169" fontId="20" fillId="0" borderId="1" xfId="0" applyNumberFormat="1" applyFont="1" applyBorder="1"/>
    <xf numFmtId="37" fontId="20" fillId="0" borderId="41" xfId="0" applyNumberFormat="1" applyFont="1" applyBorder="1"/>
    <xf numFmtId="0" fontId="20" fillId="0" borderId="1" xfId="0" applyFont="1" applyBorder="1" applyAlignment="1">
      <alignment horizontal="right"/>
    </xf>
    <xf numFmtId="170" fontId="20" fillId="0" borderId="1" xfId="0" applyNumberFormat="1" applyFont="1" applyBorder="1"/>
    <xf numFmtId="0" fontId="20" fillId="0" borderId="39" xfId="0" applyFont="1" applyBorder="1"/>
    <xf numFmtId="0" fontId="20" fillId="0" borderId="22" xfId="0" applyFont="1" applyBorder="1" applyAlignment="1">
      <alignment horizontal="right"/>
    </xf>
    <xf numFmtId="170" fontId="20" fillId="0" borderId="22" xfId="0" applyNumberFormat="1" applyFont="1" applyBorder="1"/>
    <xf numFmtId="0" fontId="20" fillId="0" borderId="33" xfId="0" applyFont="1" applyBorder="1"/>
    <xf numFmtId="169" fontId="20" fillId="0" borderId="32" xfId="0" applyNumberFormat="1" applyFont="1" applyBorder="1"/>
    <xf numFmtId="0" fontId="26" fillId="3" borderId="78" xfId="0" applyFont="1" applyFill="1" applyBorder="1"/>
    <xf numFmtId="0" fontId="20" fillId="0" borderId="24" xfId="0" applyFont="1" applyBorder="1" applyAlignment="1">
      <alignment horizontal="right"/>
    </xf>
    <xf numFmtId="0" fontId="20" fillId="0" borderId="24" xfId="0" applyFont="1" applyBorder="1"/>
    <xf numFmtId="37" fontId="20" fillId="0" borderId="37" xfId="0" applyNumberFormat="1" applyFont="1" applyBorder="1"/>
    <xf numFmtId="0" fontId="20" fillId="0" borderId="38" xfId="0" applyFont="1" applyBorder="1"/>
    <xf numFmtId="170" fontId="20" fillId="0" borderId="24" xfId="0" applyNumberFormat="1" applyFont="1" applyBorder="1"/>
    <xf numFmtId="37" fontId="20" fillId="0" borderId="24" xfId="0" applyNumberFormat="1" applyFont="1" applyBorder="1"/>
    <xf numFmtId="169" fontId="20" fillId="0" borderId="24" xfId="0" applyNumberFormat="1" applyFont="1" applyBorder="1"/>
    <xf numFmtId="37" fontId="20" fillId="0" borderId="42" xfId="0" applyNumberFormat="1" applyFont="1" applyBorder="1"/>
    <xf numFmtId="169" fontId="26" fillId="0" borderId="1" xfId="0" applyNumberFormat="1" applyFont="1" applyBorder="1"/>
    <xf numFmtId="0" fontId="26" fillId="0" borderId="1" xfId="0" applyFont="1" applyBorder="1"/>
    <xf numFmtId="169" fontId="20" fillId="0" borderId="37" xfId="0" applyNumberFormat="1" applyFont="1" applyBorder="1"/>
    <xf numFmtId="0" fontId="20" fillId="0" borderId="41" xfId="0" applyFont="1" applyBorder="1"/>
    <xf numFmtId="169" fontId="20" fillId="0" borderId="94" xfId="0" applyNumberFormat="1" applyFont="1" applyBorder="1"/>
    <xf numFmtId="0" fontId="20" fillId="0" borderId="1" xfId="0" applyFont="1" applyFill="1" applyBorder="1"/>
    <xf numFmtId="37" fontId="20" fillId="0" borderId="1" xfId="0" applyNumberFormat="1" applyFont="1" applyFill="1" applyBorder="1"/>
    <xf numFmtId="169" fontId="20" fillId="0" borderId="37" xfId="0" applyNumberFormat="1" applyFont="1" applyFill="1" applyBorder="1"/>
    <xf numFmtId="37" fontId="20" fillId="0" borderId="51" xfId="0" applyNumberFormat="1" applyFont="1" applyFill="1" applyBorder="1"/>
    <xf numFmtId="0" fontId="26" fillId="4" borderId="79" xfId="0" applyFont="1" applyFill="1" applyBorder="1"/>
    <xf numFmtId="169" fontId="20" fillId="0" borderId="85" xfId="0" applyNumberFormat="1" applyFont="1" applyBorder="1"/>
    <xf numFmtId="0" fontId="26" fillId="3" borderId="80" xfId="0" applyFont="1" applyFill="1" applyBorder="1"/>
    <xf numFmtId="0" fontId="26" fillId="3" borderId="66" xfId="0" applyFont="1" applyFill="1" applyBorder="1"/>
    <xf numFmtId="0" fontId="26" fillId="3" borderId="66" xfId="0" applyFont="1" applyFill="1" applyBorder="1" applyAlignment="1">
      <alignment horizontal="center"/>
    </xf>
    <xf numFmtId="169" fontId="26" fillId="3" borderId="66" xfId="0" applyNumberFormat="1" applyFont="1" applyFill="1" applyBorder="1"/>
    <xf numFmtId="37" fontId="26" fillId="3" borderId="95" xfId="0" applyNumberFormat="1" applyFont="1" applyFill="1" applyBorder="1"/>
    <xf numFmtId="37" fontId="26" fillId="3" borderId="96" xfId="0" applyNumberFormat="1" applyFont="1" applyFill="1" applyBorder="1"/>
    <xf numFmtId="0" fontId="26" fillId="3" borderId="96" xfId="0" applyFont="1" applyFill="1" applyBorder="1" applyAlignment="1">
      <alignment horizontal="center"/>
    </xf>
    <xf numFmtId="169" fontId="26" fillId="3" borderId="88" xfId="0" applyNumberFormat="1" applyFont="1" applyFill="1" applyBorder="1"/>
    <xf numFmtId="0" fontId="26" fillId="3" borderId="97" xfId="0" applyFont="1" applyFill="1" applyBorder="1"/>
    <xf numFmtId="0" fontId="26" fillId="3" borderId="98" xfId="0" applyFont="1" applyFill="1" applyBorder="1"/>
    <xf numFmtId="0" fontId="26" fillId="3" borderId="98" xfId="0" applyFont="1" applyFill="1" applyBorder="1" applyAlignment="1">
      <alignment horizontal="center"/>
    </xf>
    <xf numFmtId="169" fontId="26" fillId="3" borderId="98" xfId="0" applyNumberFormat="1" applyFont="1" applyFill="1" applyBorder="1"/>
    <xf numFmtId="37" fontId="26" fillId="3" borderId="99" xfId="0" applyNumberFormat="1" applyFont="1" applyFill="1" applyBorder="1"/>
    <xf numFmtId="37" fontId="26" fillId="3" borderId="98" xfId="0" applyNumberFormat="1" applyFont="1" applyFill="1" applyBorder="1"/>
    <xf numFmtId="37" fontId="26" fillId="3" borderId="100" xfId="0" applyNumberFormat="1" applyFont="1" applyFill="1" applyBorder="1"/>
    <xf numFmtId="37" fontId="26" fillId="3" borderId="101" xfId="0" applyNumberFormat="1" applyFont="1" applyFill="1" applyBorder="1"/>
    <xf numFmtId="37" fontId="26" fillId="3" borderId="90" xfId="0" applyNumberFormat="1" applyFont="1" applyFill="1" applyBorder="1"/>
    <xf numFmtId="169" fontId="26" fillId="3" borderId="93" xfId="0" applyNumberFormat="1" applyFont="1" applyFill="1" applyBorder="1"/>
    <xf numFmtId="0" fontId="25" fillId="0" borderId="72" xfId="0" applyFont="1" applyBorder="1"/>
    <xf numFmtId="0" fontId="25" fillId="0" borderId="41" xfId="0" applyFont="1" applyBorder="1"/>
    <xf numFmtId="0" fontId="25" fillId="0" borderId="57" xfId="0" applyFont="1" applyBorder="1"/>
    <xf numFmtId="0" fontId="15" fillId="0" borderId="41" xfId="0" applyFont="1" applyBorder="1"/>
    <xf numFmtId="169" fontId="26" fillId="3" borderId="83" xfId="0" applyNumberFormat="1" applyFont="1" applyFill="1" applyBorder="1"/>
    <xf numFmtId="0" fontId="18" fillId="0" borderId="15" xfId="0" applyFont="1" applyFill="1" applyBorder="1"/>
    <xf numFmtId="169" fontId="48" fillId="0" borderId="12" xfId="1" applyNumberFormat="1" applyFont="1" applyFill="1" applyBorder="1"/>
    <xf numFmtId="3" fontId="17" fillId="0" borderId="57" xfId="0" applyNumberFormat="1" applyFont="1" applyFill="1" applyBorder="1"/>
    <xf numFmtId="3" fontId="48" fillId="0" borderId="57" xfId="0" applyNumberFormat="1" applyFont="1" applyFill="1" applyBorder="1"/>
    <xf numFmtId="0" fontId="16" fillId="0" borderId="0" xfId="0" applyFont="1" applyFill="1"/>
    <xf numFmtId="0" fontId="0" fillId="0" borderId="0" xfId="0" applyFont="1" applyFill="1" applyAlignment="1"/>
    <xf numFmtId="0" fontId="21" fillId="0" borderId="0" xfId="0" applyFont="1" applyFill="1"/>
    <xf numFmtId="0" fontId="9" fillId="0" borderId="0" xfId="0" applyFont="1" applyFill="1"/>
    <xf numFmtId="0" fontId="23" fillId="0" borderId="0" xfId="0" applyFont="1" applyFill="1"/>
    <xf numFmtId="39" fontId="17" fillId="0" borderId="0" xfId="0" applyNumberFormat="1" applyFont="1" applyFill="1"/>
    <xf numFmtId="0" fontId="15" fillId="0" borderId="0" xfId="0" applyFont="1" applyFill="1"/>
    <xf numFmtId="0" fontId="14" fillId="0" borderId="0" xfId="0" applyFont="1" applyFill="1"/>
    <xf numFmtId="0" fontId="14" fillId="0" borderId="1" xfId="0" applyFont="1" applyFill="1" applyBorder="1"/>
    <xf numFmtId="0" fontId="15" fillId="0" borderId="1" xfId="0" applyFont="1" applyFill="1" applyBorder="1"/>
    <xf numFmtId="0" fontId="24" fillId="0" borderId="0" xfId="0" applyFont="1" applyFill="1"/>
    <xf numFmtId="37" fontId="18" fillId="0" borderId="0" xfId="0" applyNumberFormat="1" applyFont="1" applyFill="1"/>
    <xf numFmtId="0" fontId="22" fillId="0" borderId="0" xfId="0" applyFont="1" applyFill="1"/>
    <xf numFmtId="169" fontId="17" fillId="0" borderId="0" xfId="0" applyNumberFormat="1" applyFont="1" applyFill="1"/>
    <xf numFmtId="169" fontId="18" fillId="0" borderId="0" xfId="0" applyNumberFormat="1" applyFont="1" applyFill="1"/>
    <xf numFmtId="37" fontId="15" fillId="0" borderId="1" xfId="0" applyNumberFormat="1" applyFont="1" applyFill="1" applyBorder="1"/>
    <xf numFmtId="0" fontId="14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69" fontId="17" fillId="0" borderId="1" xfId="0" applyNumberFormat="1" applyFont="1" applyFill="1" applyBorder="1"/>
    <xf numFmtId="0" fontId="25" fillId="0" borderId="0" xfId="0" applyFont="1" applyFill="1"/>
    <xf numFmtId="0" fontId="46" fillId="0" borderId="0" xfId="0" applyFont="1"/>
    <xf numFmtId="166" fontId="11" fillId="0" borderId="1" xfId="0" applyNumberFormat="1" applyFont="1" applyBorder="1"/>
    <xf numFmtId="166" fontId="13" fillId="0" borderId="1" xfId="0" applyNumberFormat="1" applyFont="1" applyBorder="1"/>
    <xf numFmtId="166" fontId="12" fillId="0" borderId="1" xfId="0" applyNumberFormat="1" applyFont="1" applyFill="1" applyBorder="1"/>
    <xf numFmtId="0" fontId="12" fillId="0" borderId="1" xfId="0" applyFont="1" applyFill="1" applyBorder="1"/>
    <xf numFmtId="166" fontId="11" fillId="0" borderId="1" xfId="0" applyNumberFormat="1" applyFont="1" applyFill="1" applyBorder="1"/>
    <xf numFmtId="166" fontId="13" fillId="0" borderId="1" xfId="0" applyNumberFormat="1" applyFont="1" applyFill="1" applyBorder="1"/>
    <xf numFmtId="0" fontId="7" fillId="0" borderId="0" xfId="0" applyFont="1" applyFill="1"/>
    <xf numFmtId="169" fontId="26" fillId="3" borderId="102" xfId="0" applyNumberFormat="1" applyFont="1" applyFill="1" applyBorder="1"/>
    <xf numFmtId="0" fontId="17" fillId="0" borderId="103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9" fillId="0" borderId="0" xfId="0" applyFont="1" applyAlignment="1">
      <alignment horizontal="left" vertical="top"/>
    </xf>
    <xf numFmtId="0" fontId="48" fillId="0" borderId="72" xfId="0" applyFont="1" applyBorder="1"/>
    <xf numFmtId="0" fontId="46" fillId="9" borderId="1" xfId="0" applyFont="1" applyFill="1" applyBorder="1"/>
    <xf numFmtId="0" fontId="50" fillId="0" borderId="79" xfId="0" applyFont="1" applyBorder="1"/>
    <xf numFmtId="4" fontId="51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6" fillId="3" borderId="17" xfId="0" applyNumberFormat="1" applyFont="1" applyFill="1" applyBorder="1" applyAlignment="1">
      <alignment horizontal="center"/>
    </xf>
    <xf numFmtId="0" fontId="39" fillId="10" borderId="48" xfId="0" applyFont="1" applyFill="1" applyBorder="1" applyAlignment="1">
      <alignment horizontal="left" vertical="top"/>
    </xf>
    <xf numFmtId="49" fontId="39" fillId="0" borderId="49" xfId="0" applyNumberFormat="1" applyFont="1" applyBorder="1" applyAlignment="1">
      <alignment horizontal="left" vertical="top"/>
    </xf>
    <xf numFmtId="1" fontId="39" fillId="10" borderId="48" xfId="0" applyNumberFormat="1" applyFont="1" applyFill="1" applyBorder="1" applyAlignment="1">
      <alignment horizontal="left" vertical="top"/>
    </xf>
    <xf numFmtId="1" fontId="39" fillId="0" borderId="49" xfId="0" applyNumberFormat="1" applyFont="1" applyBorder="1" applyAlignment="1">
      <alignment horizontal="left" vertical="top"/>
    </xf>
    <xf numFmtId="39" fontId="38" fillId="0" borderId="49" xfId="0" applyNumberFormat="1" applyFont="1" applyBorder="1" applyAlignment="1">
      <alignment horizontal="left" vertical="top"/>
    </xf>
    <xf numFmtId="0" fontId="39" fillId="0" borderId="49" xfId="0" applyFont="1" applyBorder="1" applyAlignment="1">
      <alignment horizontal="left" vertical="top"/>
    </xf>
    <xf numFmtId="0" fontId="39" fillId="0" borderId="0" xfId="0" applyFont="1" applyBorder="1" applyAlignment="1">
      <alignment horizontal="left" vertical="top"/>
    </xf>
    <xf numFmtId="0" fontId="38" fillId="0" borderId="49" xfId="0" applyFont="1" applyBorder="1" applyAlignment="1">
      <alignment horizontal="left" vertical="top"/>
    </xf>
    <xf numFmtId="49" fontId="38" fillId="0" borderId="49" xfId="0" applyNumberFormat="1" applyFont="1" applyBorder="1" applyAlignment="1">
      <alignment horizontal="left" vertical="top"/>
    </xf>
    <xf numFmtId="39" fontId="38" fillId="10" borderId="48" xfId="0" applyNumberFormat="1" applyFont="1" applyFill="1" applyBorder="1" applyAlignment="1">
      <alignment horizontal="left" vertical="top"/>
    </xf>
    <xf numFmtId="49" fontId="38" fillId="10" borderId="48" xfId="0" applyNumberFormat="1" applyFont="1" applyFill="1" applyBorder="1" applyAlignment="1">
      <alignment horizontal="left" vertical="top"/>
    </xf>
    <xf numFmtId="39" fontId="38" fillId="10" borderId="44" xfId="0" applyNumberFormat="1" applyFont="1" applyFill="1" applyBorder="1" applyAlignment="1">
      <alignment horizontal="left" vertical="top"/>
    </xf>
    <xf numFmtId="37" fontId="26" fillId="12" borderId="17" xfId="0" applyNumberFormat="1" applyFont="1" applyFill="1" applyBorder="1"/>
    <xf numFmtId="0" fontId="7" fillId="0" borderId="104" xfId="0" applyFont="1" applyBorder="1"/>
    <xf numFmtId="166" fontId="52" fillId="0" borderId="52" xfId="0" applyNumberFormat="1" applyFont="1" applyBorder="1"/>
    <xf numFmtId="164" fontId="11" fillId="0" borderId="7" xfId="0" applyNumberFormat="1" applyFont="1" applyBorder="1"/>
    <xf numFmtId="164" fontId="12" fillId="3" borderId="9" xfId="0" applyNumberFormat="1" applyFont="1" applyFill="1" applyBorder="1"/>
    <xf numFmtId="164" fontId="12" fillId="3" borderId="11" xfId="0" applyNumberFormat="1" applyFont="1" applyFill="1" applyBorder="1"/>
    <xf numFmtId="164" fontId="13" fillId="0" borderId="5" xfId="0" applyNumberFormat="1" applyFont="1" applyBorder="1"/>
    <xf numFmtId="164" fontId="7" fillId="0" borderId="7" xfId="0" applyNumberFormat="1" applyFont="1" applyBorder="1"/>
    <xf numFmtId="164" fontId="11" fillId="0" borderId="53" xfId="0" applyNumberFormat="1" applyFont="1" applyBorder="1"/>
    <xf numFmtId="164" fontId="13" fillId="0" borderId="53" xfId="0" applyNumberFormat="1" applyFont="1" applyBorder="1"/>
    <xf numFmtId="164" fontId="11" fillId="0" borderId="3" xfId="0" applyNumberFormat="1" applyFont="1" applyBorder="1"/>
    <xf numFmtId="0" fontId="17" fillId="0" borderId="13" xfId="0" applyFont="1" applyBorder="1" applyAlignment="1"/>
    <xf numFmtId="3" fontId="17" fillId="0" borderId="12" xfId="0" applyNumberFormat="1" applyFont="1" applyBorder="1" applyAlignment="1"/>
    <xf numFmtId="0" fontId="37" fillId="0" borderId="0" xfId="0" applyFont="1" applyAlignment="1">
      <alignment horizontal="center"/>
    </xf>
    <xf numFmtId="0" fontId="0" fillId="0" borderId="0" xfId="0" applyFont="1" applyAlignment="1"/>
    <xf numFmtId="0" fontId="39" fillId="10" borderId="0" xfId="0" applyFont="1" applyFill="1" applyBorder="1" applyAlignment="1">
      <alignment horizontal="left" vertical="top"/>
    </xf>
    <xf numFmtId="49" fontId="39" fillId="0" borderId="44" xfId="0" applyNumberFormat="1" applyFont="1" applyBorder="1" applyAlignment="1">
      <alignment horizontal="left" vertical="top"/>
    </xf>
    <xf numFmtId="39" fontId="38" fillId="10" borderId="1" xfId="0" applyNumberFormat="1" applyFont="1" applyFill="1" applyBorder="1" applyAlignment="1">
      <alignment horizontal="left" vertical="top"/>
    </xf>
    <xf numFmtId="1" fontId="39" fillId="14" borderId="48" xfId="0" applyNumberFormat="1" applyFont="1" applyFill="1" applyBorder="1" applyAlignment="1">
      <alignment horizontal="left" vertical="top"/>
    </xf>
    <xf numFmtId="4" fontId="7" fillId="13" borderId="0" xfId="0" applyNumberFormat="1" applyFont="1" applyFill="1" applyAlignment="1">
      <alignment horizontal="center" vertical="top"/>
    </xf>
    <xf numFmtId="39" fontId="43" fillId="0" borderId="105" xfId="0" applyNumberFormat="1" applyFont="1" applyBorder="1"/>
    <xf numFmtId="165" fontId="35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65" fontId="7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7" fillId="15" borderId="0" xfId="0" applyNumberFormat="1" applyFont="1" applyFill="1" applyAlignment="1">
      <alignment horizontal="left" vertical="top"/>
    </xf>
    <xf numFmtId="165" fontId="7" fillId="15" borderId="0" xfId="0" applyNumberFormat="1" applyFont="1" applyFill="1" applyAlignment="1">
      <alignment horizontal="center" vertical="top"/>
    </xf>
    <xf numFmtId="4" fontId="7" fillId="15" borderId="0" xfId="0" applyNumberFormat="1" applyFont="1" applyFill="1" applyAlignment="1">
      <alignment horizontal="center" vertical="top"/>
    </xf>
    <xf numFmtId="37" fontId="18" fillId="3" borderId="17" xfId="0" applyNumberFormat="1" applyFont="1" applyFill="1" applyBorder="1"/>
    <xf numFmtId="0" fontId="17" fillId="3" borderId="20" xfId="0" applyFont="1" applyFill="1" applyBorder="1"/>
    <xf numFmtId="0" fontId="5" fillId="0" borderId="1" xfId="2"/>
    <xf numFmtId="0" fontId="53" fillId="0" borderId="1" xfId="2" applyFont="1" applyAlignment="1">
      <alignment horizontal="center"/>
    </xf>
    <xf numFmtId="0" fontId="53" fillId="0" borderId="1" xfId="2" applyFont="1"/>
    <xf numFmtId="0" fontId="53" fillId="0" borderId="1" xfId="2" applyFont="1" applyAlignment="1">
      <alignment horizontal="center"/>
    </xf>
    <xf numFmtId="0" fontId="54" fillId="0" borderId="1" xfId="2" applyFont="1"/>
    <xf numFmtId="168" fontId="55" fillId="0" borderId="1" xfId="2" applyNumberFormat="1" applyFont="1" applyAlignment="1">
      <alignment horizontal="left"/>
    </xf>
    <xf numFmtId="0" fontId="55" fillId="0" borderId="1" xfId="2" applyFont="1"/>
    <xf numFmtId="0" fontId="56" fillId="0" borderId="1" xfId="2" applyFont="1"/>
    <xf numFmtId="0" fontId="43" fillId="0" borderId="1" xfId="2" applyFont="1"/>
    <xf numFmtId="0" fontId="57" fillId="0" borderId="1" xfId="2" applyFont="1"/>
    <xf numFmtId="0" fontId="58" fillId="0" borderId="1" xfId="2" applyFont="1"/>
    <xf numFmtId="0" fontId="59" fillId="0" borderId="1" xfId="2" applyFont="1"/>
    <xf numFmtId="0" fontId="61" fillId="16" borderId="1" xfId="2" applyFont="1" applyFill="1"/>
    <xf numFmtId="0" fontId="59" fillId="16" borderId="1" xfId="2" applyFont="1" applyFill="1"/>
    <xf numFmtId="0" fontId="62" fillId="16" borderId="1" xfId="2" applyFont="1" applyFill="1"/>
    <xf numFmtId="0" fontId="63" fillId="16" borderId="1" xfId="2" applyFont="1" applyFill="1" applyAlignment="1">
      <alignment horizontal="centerContinuous" vertical="center"/>
    </xf>
    <xf numFmtId="0" fontId="59" fillId="16" borderId="1" xfId="2" applyFont="1" applyFill="1" applyAlignment="1">
      <alignment horizontal="centerContinuous" vertical="center"/>
    </xf>
    <xf numFmtId="0" fontId="61" fillId="16" borderId="1" xfId="2" applyFont="1" applyFill="1" applyAlignment="1">
      <alignment horizontal="centerContinuous"/>
    </xf>
    <xf numFmtId="0" fontId="59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center"/>
    </xf>
    <xf numFmtId="169" fontId="59" fillId="16" borderId="1" xfId="2" applyNumberFormat="1" applyFont="1" applyFill="1"/>
    <xf numFmtId="37" fontId="59" fillId="16" borderId="1" xfId="2" applyNumberFormat="1" applyFont="1" applyFill="1"/>
    <xf numFmtId="169" fontId="61" fillId="16" borderId="1" xfId="2" applyNumberFormat="1" applyFont="1" applyFill="1"/>
    <xf numFmtId="37" fontId="61" fillId="16" borderId="1" xfId="2" applyNumberFormat="1" applyFont="1" applyFill="1"/>
    <xf numFmtId="0" fontId="65" fillId="16" borderId="1" xfId="2" applyFont="1" applyFill="1"/>
    <xf numFmtId="0" fontId="64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left"/>
    </xf>
    <xf numFmtId="0" fontId="66" fillId="16" borderId="1" xfId="2" applyFont="1" applyFill="1" applyProtection="1">
      <protection locked="0"/>
    </xf>
    <xf numFmtId="0" fontId="59" fillId="16" borderId="1" xfId="2" applyFont="1" applyFill="1" applyAlignment="1">
      <alignment horizontal="center"/>
    </xf>
    <xf numFmtId="0" fontId="67" fillId="16" borderId="1" xfId="2" applyFont="1" applyFill="1" applyAlignment="1">
      <alignment horizontal="centerContinuous"/>
    </xf>
    <xf numFmtId="0" fontId="61" fillId="16" borderId="1" xfId="2" applyFont="1" applyFill="1" applyAlignment="1">
      <alignment horizontal="left"/>
    </xf>
    <xf numFmtId="0" fontId="5" fillId="0" borderId="1" xfId="2" applyAlignment="1">
      <alignment horizontal="center"/>
    </xf>
    <xf numFmtId="0" fontId="68" fillId="0" borderId="1" xfId="2" applyFont="1" applyBorder="1" applyAlignment="1">
      <alignment horizontal="center"/>
    </xf>
    <xf numFmtId="0" fontId="53" fillId="13" borderId="56" xfId="2" applyFont="1" applyFill="1" applyBorder="1" applyAlignment="1">
      <alignment horizontal="center"/>
    </xf>
    <xf numFmtId="0" fontId="56" fillId="0" borderId="1" xfId="2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1" xfId="2" applyFill="1" applyAlignment="1">
      <alignment horizontal="center"/>
    </xf>
    <xf numFmtId="0" fontId="68" fillId="0" borderId="1" xfId="2" applyFont="1" applyFill="1" applyBorder="1" applyAlignment="1">
      <alignment horizontal="center"/>
    </xf>
    <xf numFmtId="0" fontId="53" fillId="0" borderId="1" xfId="2" applyFont="1" applyFill="1" applyBorder="1" applyAlignment="1">
      <alignment horizontal="center"/>
    </xf>
    <xf numFmtId="0" fontId="5" fillId="0" borderId="1" xfId="2" applyFill="1"/>
    <xf numFmtId="0" fontId="16" fillId="17" borderId="0" xfId="0" applyFont="1" applyFill="1"/>
    <xf numFmtId="169" fontId="17" fillId="0" borderId="1" xfId="1" applyNumberFormat="1" applyFont="1" applyFill="1" applyBorder="1"/>
    <xf numFmtId="169" fontId="18" fillId="0" borderId="9" xfId="0" applyNumberFormat="1" applyFont="1" applyFill="1" applyBorder="1"/>
    <xf numFmtId="3" fontId="17" fillId="0" borderId="22" xfId="0" applyNumberFormat="1" applyFont="1" applyBorder="1" applyAlignment="1">
      <alignment horizontal="right"/>
    </xf>
    <xf numFmtId="0" fontId="69" fillId="0" borderId="0" xfId="0" applyFont="1" applyAlignment="1"/>
    <xf numFmtId="0" fontId="19" fillId="0" borderId="0" xfId="0" applyFont="1" applyAlignment="1"/>
    <xf numFmtId="3" fontId="17" fillId="0" borderId="169" xfId="0" applyNumberFormat="1" applyFont="1" applyBorder="1"/>
    <xf numFmtId="3" fontId="17" fillId="0" borderId="170" xfId="0" applyNumberFormat="1" applyFont="1" applyBorder="1"/>
    <xf numFmtId="3" fontId="17" fillId="0" borderId="171" xfId="0" applyNumberFormat="1" applyFont="1" applyBorder="1"/>
    <xf numFmtId="3" fontId="17" fillId="0" borderId="24" xfId="0" applyNumberFormat="1" applyFont="1" applyFill="1" applyBorder="1"/>
    <xf numFmtId="3" fontId="17" fillId="0" borderId="25" xfId="0" applyNumberFormat="1" applyFont="1" applyFill="1" applyBorder="1"/>
    <xf numFmtId="0" fontId="70" fillId="0" borderId="0" xfId="0" applyFont="1" applyAlignment="1"/>
    <xf numFmtId="0" fontId="43" fillId="0" borderId="110" xfId="0" applyFont="1" applyBorder="1"/>
    <xf numFmtId="169" fontId="26" fillId="3" borderId="59" xfId="0" applyNumberFormat="1" applyFont="1" applyFill="1" applyBorder="1"/>
    <xf numFmtId="0" fontId="4" fillId="0" borderId="1" xfId="3"/>
    <xf numFmtId="0" fontId="71" fillId="0" borderId="174" xfId="3" applyFont="1" applyBorder="1"/>
    <xf numFmtId="0" fontId="4" fillId="0" borderId="174" xfId="3" applyBorder="1"/>
    <xf numFmtId="0" fontId="4" fillId="0" borderId="174" xfId="3" applyBorder="1" applyAlignment="1">
      <alignment horizontal="left" indent="1"/>
    </xf>
    <xf numFmtId="0" fontId="71" fillId="0" borderId="192" xfId="3" applyFont="1" applyBorder="1"/>
    <xf numFmtId="0" fontId="71" fillId="18" borderId="172" xfId="3" applyFont="1" applyFill="1" applyBorder="1" applyAlignment="1">
      <alignment horizontal="center"/>
    </xf>
    <xf numFmtId="0" fontId="71" fillId="18" borderId="180" xfId="3" applyFont="1" applyFill="1" applyBorder="1" applyAlignment="1">
      <alignment horizontal="center"/>
    </xf>
    <xf numFmtId="0" fontId="71" fillId="18" borderId="181" xfId="3" applyFont="1" applyFill="1" applyBorder="1" applyAlignment="1">
      <alignment horizontal="center"/>
    </xf>
    <xf numFmtId="0" fontId="71" fillId="18" borderId="182" xfId="3" applyFont="1" applyFill="1" applyBorder="1" applyAlignment="1">
      <alignment horizontal="center"/>
    </xf>
    <xf numFmtId="0" fontId="71" fillId="18" borderId="129" xfId="3" applyFont="1" applyFill="1" applyBorder="1" applyAlignment="1">
      <alignment horizontal="center"/>
    </xf>
    <xf numFmtId="0" fontId="71" fillId="18" borderId="173" xfId="3" applyFont="1" applyFill="1" applyBorder="1" applyAlignment="1">
      <alignment horizontal="center"/>
    </xf>
    <xf numFmtId="0" fontId="71" fillId="19" borderId="172" xfId="3" applyFont="1" applyFill="1" applyBorder="1" applyAlignment="1">
      <alignment horizontal="center"/>
    </xf>
    <xf numFmtId="0" fontId="71" fillId="19" borderId="180" xfId="3" applyFont="1" applyFill="1" applyBorder="1" applyAlignment="1">
      <alignment horizontal="center"/>
    </xf>
    <xf numFmtId="0" fontId="71" fillId="19" borderId="181" xfId="3" applyFont="1" applyFill="1" applyBorder="1" applyAlignment="1">
      <alignment horizontal="center"/>
    </xf>
    <xf numFmtId="0" fontId="71" fillId="19" borderId="182" xfId="3" applyFont="1" applyFill="1" applyBorder="1" applyAlignment="1">
      <alignment horizontal="center"/>
    </xf>
    <xf numFmtId="0" fontId="71" fillId="19" borderId="129" xfId="3" applyFont="1" applyFill="1" applyBorder="1" applyAlignment="1">
      <alignment horizontal="center"/>
    </xf>
    <xf numFmtId="0" fontId="71" fillId="19" borderId="173" xfId="3" applyFont="1" applyFill="1" applyBorder="1" applyAlignment="1">
      <alignment horizontal="center"/>
    </xf>
    <xf numFmtId="0" fontId="4" fillId="0" borderId="1" xfId="3" applyAlignment="1">
      <alignment horizontal="center"/>
    </xf>
    <xf numFmtId="0" fontId="71" fillId="11" borderId="172" xfId="3" applyFont="1" applyFill="1" applyBorder="1" applyAlignment="1">
      <alignment horizontal="center"/>
    </xf>
    <xf numFmtId="0" fontId="71" fillId="11" borderId="180" xfId="3" applyFont="1" applyFill="1" applyBorder="1" applyAlignment="1">
      <alignment horizontal="center"/>
    </xf>
    <xf numFmtId="0" fontId="71" fillId="11" borderId="181" xfId="3" applyFont="1" applyFill="1" applyBorder="1" applyAlignment="1">
      <alignment horizontal="center"/>
    </xf>
    <xf numFmtId="0" fontId="71" fillId="11" borderId="182" xfId="3" applyFont="1" applyFill="1" applyBorder="1" applyAlignment="1">
      <alignment horizontal="center"/>
    </xf>
    <xf numFmtId="0" fontId="71" fillId="11" borderId="129" xfId="3" applyFont="1" applyFill="1" applyBorder="1" applyAlignment="1">
      <alignment horizontal="center"/>
    </xf>
    <xf numFmtId="0" fontId="71" fillId="11" borderId="173" xfId="3" applyFont="1" applyFill="1" applyBorder="1" applyAlignment="1">
      <alignment horizontal="center"/>
    </xf>
    <xf numFmtId="37" fontId="71" fillId="0" borderId="183" xfId="3" applyNumberFormat="1" applyFont="1" applyBorder="1" applyAlignment="1">
      <alignment horizontal="center"/>
    </xf>
    <xf numFmtId="1" fontId="71" fillId="0" borderId="184" xfId="3" applyNumberFormat="1" applyFont="1" applyBorder="1" applyAlignment="1">
      <alignment horizontal="center"/>
    </xf>
    <xf numFmtId="37" fontId="71" fillId="0" borderId="185" xfId="3" applyNumberFormat="1" applyFont="1" applyBorder="1" applyAlignment="1">
      <alignment horizontal="center"/>
    </xf>
    <xf numFmtId="1" fontId="71" fillId="0" borderId="163" xfId="3" applyNumberFormat="1" applyFont="1" applyBorder="1" applyAlignment="1">
      <alignment horizontal="center"/>
    </xf>
    <xf numFmtId="1" fontId="71" fillId="0" borderId="175" xfId="3" applyNumberFormat="1" applyFont="1" applyBorder="1" applyAlignment="1">
      <alignment horizontal="center"/>
    </xf>
    <xf numFmtId="165" fontId="71" fillId="0" borderId="183" xfId="3" applyNumberFormat="1" applyFont="1" applyBorder="1" applyAlignment="1">
      <alignment horizontal="center"/>
    </xf>
    <xf numFmtId="165" fontId="71" fillId="0" borderId="184" xfId="3" applyNumberFormat="1" applyFont="1" applyBorder="1" applyAlignment="1">
      <alignment horizontal="center"/>
    </xf>
    <xf numFmtId="165" fontId="71" fillId="0" borderId="185" xfId="3" applyNumberFormat="1" applyFont="1" applyBorder="1" applyAlignment="1">
      <alignment horizontal="center"/>
    </xf>
    <xf numFmtId="165" fontId="71" fillId="0" borderId="163" xfId="3" applyNumberFormat="1" applyFont="1" applyBorder="1" applyAlignment="1">
      <alignment horizontal="center"/>
    </xf>
    <xf numFmtId="165" fontId="71" fillId="0" borderId="175" xfId="3" applyNumberFormat="1" applyFont="1" applyBorder="1" applyAlignment="1">
      <alignment horizontal="center"/>
    </xf>
    <xf numFmtId="0" fontId="4" fillId="0" borderId="177" xfId="3" applyBorder="1"/>
    <xf numFmtId="0" fontId="71" fillId="20" borderId="172" xfId="3" applyFont="1" applyFill="1" applyBorder="1" applyAlignment="1">
      <alignment horizontal="center"/>
    </xf>
    <xf numFmtId="0" fontId="71" fillId="20" borderId="180" xfId="3" applyFont="1" applyFill="1" applyBorder="1" applyAlignment="1">
      <alignment horizontal="center"/>
    </xf>
    <xf numFmtId="0" fontId="71" fillId="20" borderId="181" xfId="3" applyFont="1" applyFill="1" applyBorder="1" applyAlignment="1">
      <alignment horizontal="center"/>
    </xf>
    <xf numFmtId="0" fontId="71" fillId="20" borderId="182" xfId="3" applyFont="1" applyFill="1" applyBorder="1" applyAlignment="1">
      <alignment horizontal="center"/>
    </xf>
    <xf numFmtId="0" fontId="71" fillId="20" borderId="129" xfId="3" applyFont="1" applyFill="1" applyBorder="1" applyAlignment="1">
      <alignment horizontal="center"/>
    </xf>
    <xf numFmtId="0" fontId="71" fillId="20" borderId="173" xfId="3" applyFont="1" applyFill="1" applyBorder="1" applyAlignment="1">
      <alignment horizontal="center"/>
    </xf>
    <xf numFmtId="0" fontId="71" fillId="0" borderId="174" xfId="3" applyFont="1" applyBorder="1" applyAlignment="1">
      <alignment horizontal="left"/>
    </xf>
    <xf numFmtId="0" fontId="3" fillId="0" borderId="174" xfId="3" applyFont="1" applyBorder="1" applyAlignment="1">
      <alignment horizontal="left" indent="1"/>
    </xf>
    <xf numFmtId="165" fontId="3" fillId="0" borderId="183" xfId="3" applyNumberFormat="1" applyFont="1" applyBorder="1" applyAlignment="1">
      <alignment horizontal="center"/>
    </xf>
    <xf numFmtId="9" fontId="71" fillId="0" borderId="186" xfId="4" applyFont="1" applyBorder="1" applyAlignment="1">
      <alignment horizontal="center"/>
    </xf>
    <xf numFmtId="9" fontId="71" fillId="0" borderId="187" xfId="4" applyFont="1" applyBorder="1" applyAlignment="1">
      <alignment horizontal="center"/>
    </xf>
    <xf numFmtId="9" fontId="71" fillId="0" borderId="188" xfId="4" applyFont="1" applyBorder="1" applyAlignment="1">
      <alignment horizontal="center"/>
    </xf>
    <xf numFmtId="165" fontId="3" fillId="0" borderId="184" xfId="3" applyNumberFormat="1" applyFont="1" applyBorder="1" applyAlignment="1">
      <alignment horizontal="center"/>
    </xf>
    <xf numFmtId="165" fontId="3" fillId="0" borderId="185" xfId="3" applyNumberFormat="1" applyFont="1" applyBorder="1" applyAlignment="1">
      <alignment horizontal="center"/>
    </xf>
    <xf numFmtId="165" fontId="3" fillId="0" borderId="163" xfId="3" applyNumberFormat="1" applyFont="1" applyBorder="1" applyAlignment="1">
      <alignment horizontal="center"/>
    </xf>
    <xf numFmtId="165" fontId="3" fillId="0" borderId="175" xfId="3" applyNumberFormat="1" applyFont="1" applyBorder="1" applyAlignment="1">
      <alignment horizontal="center"/>
    </xf>
    <xf numFmtId="9" fontId="3" fillId="0" borderId="183" xfId="4" applyFont="1" applyBorder="1" applyAlignment="1">
      <alignment horizontal="center"/>
    </xf>
    <xf numFmtId="9" fontId="3" fillId="0" borderId="184" xfId="4" applyFont="1" applyBorder="1" applyAlignment="1">
      <alignment horizontal="center"/>
    </xf>
    <xf numFmtId="9" fontId="3" fillId="0" borderId="185" xfId="4" applyFont="1" applyBorder="1" applyAlignment="1">
      <alignment horizontal="center"/>
    </xf>
    <xf numFmtId="37" fontId="3" fillId="0" borderId="184" xfId="3" applyNumberFormat="1" applyFont="1" applyBorder="1" applyAlignment="1">
      <alignment horizontal="center"/>
    </xf>
    <xf numFmtId="9" fontId="3" fillId="0" borderId="183" xfId="4" applyFont="1" applyFill="1" applyBorder="1" applyAlignment="1">
      <alignment horizontal="center"/>
    </xf>
    <xf numFmtId="9" fontId="3" fillId="0" borderId="184" xfId="4" applyFont="1" applyFill="1" applyBorder="1" applyAlignment="1">
      <alignment horizontal="center"/>
    </xf>
    <xf numFmtId="9" fontId="3" fillId="0" borderId="185" xfId="4" applyFont="1" applyFill="1" applyBorder="1" applyAlignment="1">
      <alignment horizontal="center"/>
    </xf>
    <xf numFmtId="9" fontId="3" fillId="0" borderId="163" xfId="4" applyFont="1" applyBorder="1" applyAlignment="1">
      <alignment horizontal="center"/>
    </xf>
    <xf numFmtId="9" fontId="3" fillId="0" borderId="175" xfId="4" applyFont="1" applyBorder="1" applyAlignment="1">
      <alignment horizontal="center"/>
    </xf>
    <xf numFmtId="0" fontId="3" fillId="0" borderId="193" xfId="3" applyFont="1" applyBorder="1"/>
    <xf numFmtId="0" fontId="3" fillId="0" borderId="194" xfId="3" applyFont="1" applyBorder="1"/>
    <xf numFmtId="0" fontId="3" fillId="0" borderId="195" xfId="3" applyFont="1" applyBorder="1"/>
    <xf numFmtId="165" fontId="3" fillId="0" borderId="196" xfId="3" applyNumberFormat="1" applyFont="1" applyBorder="1" applyAlignment="1">
      <alignment horizontal="center"/>
    </xf>
    <xf numFmtId="165" fontId="3" fillId="0" borderId="194" xfId="3" applyNumberFormat="1" applyFont="1" applyBorder="1" applyAlignment="1">
      <alignment horizontal="center"/>
    </xf>
    <xf numFmtId="165" fontId="3" fillId="0" borderId="197" xfId="3" applyNumberFormat="1" applyFont="1" applyBorder="1" applyAlignment="1">
      <alignment horizontal="center"/>
    </xf>
    <xf numFmtId="9" fontId="3" fillId="0" borderId="193" xfId="4" applyFont="1" applyBorder="1" applyAlignment="1">
      <alignment horizontal="center"/>
    </xf>
    <xf numFmtId="9" fontId="3" fillId="0" borderId="194" xfId="4" applyFont="1" applyBorder="1" applyAlignment="1">
      <alignment horizontal="center"/>
    </xf>
    <xf numFmtId="9" fontId="3" fillId="0" borderId="195" xfId="4" applyFont="1" applyBorder="1" applyAlignment="1">
      <alignment horizontal="center"/>
    </xf>
    <xf numFmtId="165" fontId="3" fillId="0" borderId="189" xfId="3" applyNumberFormat="1" applyFont="1" applyBorder="1" applyAlignment="1">
      <alignment horizontal="center"/>
    </xf>
    <xf numFmtId="165" fontId="3" fillId="0" borderId="190" xfId="3" applyNumberFormat="1" applyFont="1" applyBorder="1" applyAlignment="1">
      <alignment horizontal="center"/>
    </xf>
    <xf numFmtId="165" fontId="3" fillId="0" borderId="191" xfId="3" applyNumberFormat="1" applyFont="1" applyBorder="1" applyAlignment="1">
      <alignment horizontal="center"/>
    </xf>
    <xf numFmtId="165" fontId="3" fillId="0" borderId="178" xfId="3" applyNumberFormat="1" applyFont="1" applyBorder="1" applyAlignment="1">
      <alignment horizontal="center"/>
    </xf>
    <xf numFmtId="165" fontId="3" fillId="0" borderId="179" xfId="3" applyNumberFormat="1" applyFont="1" applyBorder="1" applyAlignment="1">
      <alignment horizontal="center"/>
    </xf>
    <xf numFmtId="9" fontId="3" fillId="0" borderId="189" xfId="4" applyFont="1" applyBorder="1" applyAlignment="1">
      <alignment horizontal="center"/>
    </xf>
    <xf numFmtId="9" fontId="3" fillId="0" borderId="190" xfId="4" applyFont="1" applyBorder="1" applyAlignment="1">
      <alignment horizontal="center"/>
    </xf>
    <xf numFmtId="9" fontId="3" fillId="0" borderId="191" xfId="4" applyFont="1" applyBorder="1" applyAlignment="1">
      <alignment horizontal="center"/>
    </xf>
    <xf numFmtId="0" fontId="3" fillId="0" borderId="1" xfId="3" applyFont="1"/>
    <xf numFmtId="9" fontId="71" fillId="0" borderId="183" xfId="4" applyFont="1" applyBorder="1" applyAlignment="1">
      <alignment horizontal="center"/>
    </xf>
    <xf numFmtId="9" fontId="71" fillId="0" borderId="184" xfId="4" applyFont="1" applyBorder="1" applyAlignment="1">
      <alignment horizontal="center"/>
    </xf>
    <xf numFmtId="9" fontId="71" fillId="0" borderId="185" xfId="4" applyFont="1" applyBorder="1" applyAlignment="1">
      <alignment horizontal="center"/>
    </xf>
    <xf numFmtId="165" fontId="3" fillId="0" borderId="183" xfId="4" applyNumberFormat="1" applyFont="1" applyFill="1" applyBorder="1" applyAlignment="1">
      <alignment horizontal="center"/>
    </xf>
    <xf numFmtId="174" fontId="3" fillId="0" borderId="183" xfId="3" applyNumberFormat="1" applyFont="1" applyBorder="1" applyAlignment="1">
      <alignment horizontal="center"/>
    </xf>
    <xf numFmtId="0" fontId="71" fillId="21" borderId="172" xfId="3" applyFont="1" applyFill="1" applyBorder="1" applyAlignment="1">
      <alignment horizontal="center"/>
    </xf>
    <xf numFmtId="0" fontId="71" fillId="21" borderId="180" xfId="3" applyFont="1" applyFill="1" applyBorder="1" applyAlignment="1">
      <alignment horizontal="center"/>
    </xf>
    <xf numFmtId="0" fontId="71" fillId="21" borderId="181" xfId="3" applyFont="1" applyFill="1" applyBorder="1" applyAlignment="1">
      <alignment horizontal="center"/>
    </xf>
    <xf numFmtId="0" fontId="71" fillId="21" borderId="182" xfId="3" applyFont="1" applyFill="1" applyBorder="1" applyAlignment="1">
      <alignment horizontal="center"/>
    </xf>
    <xf numFmtId="0" fontId="71" fillId="21" borderId="129" xfId="3" applyFont="1" applyFill="1" applyBorder="1" applyAlignment="1">
      <alignment horizontal="center"/>
    </xf>
    <xf numFmtId="0" fontId="71" fillId="21" borderId="173" xfId="3" applyFont="1" applyFill="1" applyBorder="1" applyAlignment="1">
      <alignment horizontal="center"/>
    </xf>
    <xf numFmtId="0" fontId="3" fillId="0" borderId="174" xfId="3" applyFont="1" applyBorder="1" applyAlignment="1">
      <alignment horizontal="left"/>
    </xf>
    <xf numFmtId="9" fontId="3" fillId="0" borderId="183" xfId="1" applyFont="1" applyBorder="1" applyAlignment="1">
      <alignment horizontal="center"/>
    </xf>
    <xf numFmtId="0" fontId="3" fillId="0" borderId="177" xfId="3" applyFont="1" applyBorder="1" applyAlignment="1">
      <alignment horizontal="left"/>
    </xf>
    <xf numFmtId="1" fontId="71" fillId="0" borderId="190" xfId="3" applyNumberFormat="1" applyFont="1" applyBorder="1" applyAlignment="1">
      <alignment horizontal="center"/>
    </xf>
    <xf numFmtId="37" fontId="71" fillId="0" borderId="191" xfId="3" applyNumberFormat="1" applyFont="1" applyBorder="1" applyAlignment="1">
      <alignment horizontal="center"/>
    </xf>
    <xf numFmtId="0" fontId="4" fillId="13" borderId="174" xfId="3" applyFill="1" applyBorder="1" applyAlignment="1">
      <alignment horizontal="left" indent="1"/>
    </xf>
    <xf numFmtId="0" fontId="3" fillId="13" borderId="183" xfId="3" applyFont="1" applyFill="1" applyBorder="1" applyAlignment="1">
      <alignment horizontal="center"/>
    </xf>
    <xf numFmtId="0" fontId="3" fillId="13" borderId="184" xfId="3" applyFont="1" applyFill="1" applyBorder="1" applyAlignment="1">
      <alignment horizontal="center"/>
    </xf>
    <xf numFmtId="0" fontId="3" fillId="13" borderId="185" xfId="3" applyFont="1" applyFill="1" applyBorder="1" applyAlignment="1">
      <alignment horizontal="center"/>
    </xf>
    <xf numFmtId="0" fontId="4" fillId="13" borderId="177" xfId="3" applyFill="1" applyBorder="1" applyAlignment="1">
      <alignment horizontal="left" indent="1"/>
    </xf>
    <xf numFmtId="165" fontId="3" fillId="13" borderId="189" xfId="3" applyNumberFormat="1" applyFont="1" applyFill="1" applyBorder="1" applyAlignment="1">
      <alignment horizontal="center"/>
    </xf>
    <xf numFmtId="165" fontId="3" fillId="13" borderId="190" xfId="3" applyNumberFormat="1" applyFont="1" applyFill="1" applyBorder="1" applyAlignment="1">
      <alignment horizontal="center"/>
    </xf>
    <xf numFmtId="165" fontId="3" fillId="13" borderId="191" xfId="3" applyNumberFormat="1" applyFont="1" applyFill="1" applyBorder="1" applyAlignment="1">
      <alignment horizontal="center"/>
    </xf>
    <xf numFmtId="0" fontId="3" fillId="13" borderId="174" xfId="3" applyFont="1" applyFill="1" applyBorder="1" applyAlignment="1">
      <alignment horizontal="left"/>
    </xf>
    <xf numFmtId="1" fontId="71" fillId="13" borderId="184" xfId="3" applyNumberFormat="1" applyFont="1" applyFill="1" applyBorder="1" applyAlignment="1">
      <alignment horizontal="center"/>
    </xf>
    <xf numFmtId="174" fontId="3" fillId="0" borderId="163" xfId="3" applyNumberFormat="1" applyFont="1" applyBorder="1" applyAlignment="1">
      <alignment horizontal="center"/>
    </xf>
    <xf numFmtId="174" fontId="3" fillId="0" borderId="184" xfId="3" applyNumberFormat="1" applyFont="1" applyBorder="1" applyAlignment="1">
      <alignment horizontal="center"/>
    </xf>
    <xf numFmtId="174" fontId="3" fillId="0" borderId="175" xfId="3" applyNumberFormat="1" applyFont="1" applyBorder="1" applyAlignment="1">
      <alignment horizontal="center"/>
    </xf>
    <xf numFmtId="1" fontId="3" fillId="13" borderId="183" xfId="3" applyNumberFormat="1" applyFont="1" applyFill="1" applyBorder="1" applyAlignment="1">
      <alignment horizontal="center"/>
    </xf>
    <xf numFmtId="1" fontId="71" fillId="13" borderId="185" xfId="3" applyNumberFormat="1" applyFont="1" applyFill="1" applyBorder="1" applyAlignment="1">
      <alignment horizontal="center"/>
    </xf>
    <xf numFmtId="0" fontId="20" fillId="0" borderId="103" xfId="0" applyFont="1" applyBorder="1"/>
    <xf numFmtId="0" fontId="20" fillId="0" borderId="198" xfId="0" applyFont="1" applyBorder="1"/>
    <xf numFmtId="0" fontId="20" fillId="0" borderId="56" xfId="0" applyFont="1" applyBorder="1" applyAlignment="1">
      <alignment horizontal="right"/>
    </xf>
    <xf numFmtId="0" fontId="20" fillId="0" borderId="56" xfId="0" applyFont="1" applyBorder="1"/>
    <xf numFmtId="37" fontId="20" fillId="0" borderId="199" xfId="0" applyNumberFormat="1" applyFont="1" applyBorder="1"/>
    <xf numFmtId="0" fontId="20" fillId="0" borderId="200" xfId="0" applyFont="1" applyBorder="1"/>
    <xf numFmtId="170" fontId="20" fillId="0" borderId="56" xfId="0" applyNumberFormat="1" applyFont="1" applyBorder="1"/>
    <xf numFmtId="37" fontId="20" fillId="0" borderId="200" xfId="0" applyNumberFormat="1" applyFont="1" applyBorder="1"/>
    <xf numFmtId="37" fontId="20" fillId="0" borderId="56" xfId="0" applyNumberFormat="1" applyFont="1" applyBorder="1"/>
    <xf numFmtId="169" fontId="20" fillId="0" borderId="56" xfId="0" applyNumberFormat="1" applyFont="1" applyBorder="1"/>
    <xf numFmtId="37" fontId="20" fillId="0" borderId="201" xfId="0" applyNumberFormat="1" applyFont="1" applyBorder="1"/>
    <xf numFmtId="169" fontId="20" fillId="0" borderId="202" xfId="0" applyNumberFormat="1" applyFont="1" applyBorder="1"/>
    <xf numFmtId="49" fontId="39" fillId="0" borderId="0" xfId="0" applyNumberFormat="1" applyFont="1" applyBorder="1" applyAlignment="1">
      <alignment horizontal="left" vertical="top"/>
    </xf>
    <xf numFmtId="1" fontId="39" fillId="10" borderId="44" xfId="0" applyNumberFormat="1" applyFont="1" applyFill="1" applyBorder="1" applyAlignment="1">
      <alignment horizontal="left" vertical="top"/>
    </xf>
    <xf numFmtId="0" fontId="39" fillId="0" borderId="46" xfId="0" applyFont="1" applyBorder="1" applyAlignment="1">
      <alignment horizontal="left" vertical="top"/>
    </xf>
    <xf numFmtId="0" fontId="38" fillId="10" borderId="48" xfId="0" applyFont="1" applyFill="1" applyBorder="1" applyAlignment="1">
      <alignment horizontal="left" vertical="top"/>
    </xf>
    <xf numFmtId="0" fontId="38" fillId="0" borderId="0" xfId="0" applyFont="1" applyBorder="1" applyAlignment="1">
      <alignment horizontal="left" vertical="top"/>
    </xf>
    <xf numFmtId="0" fontId="38" fillId="0" borderId="50" xfId="0" applyFont="1" applyBorder="1" applyAlignment="1">
      <alignment horizontal="left" vertical="top"/>
    </xf>
    <xf numFmtId="39" fontId="38" fillId="0" borderId="47" xfId="0" applyNumberFormat="1" applyFont="1" applyBorder="1" applyAlignment="1">
      <alignment horizontal="left" vertical="top"/>
    </xf>
    <xf numFmtId="39" fontId="38" fillId="0" borderId="1" xfId="0" applyNumberFormat="1" applyFont="1" applyBorder="1" applyAlignment="1">
      <alignment horizontal="left" vertical="top"/>
    </xf>
    <xf numFmtId="0" fontId="44" fillId="22" borderId="106" xfId="0" applyFont="1" applyFill="1" applyBorder="1" applyAlignment="1">
      <alignment horizontal="center"/>
    </xf>
    <xf numFmtId="0" fontId="43" fillId="22" borderId="109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11" xfId="0" applyNumberFormat="1" applyFont="1" applyFill="1" applyBorder="1" applyAlignment="1">
      <alignment horizontal="center"/>
    </xf>
    <xf numFmtId="0" fontId="43" fillId="22" borderId="112" xfId="0" applyFont="1" applyFill="1" applyBorder="1"/>
    <xf numFmtId="3" fontId="43" fillId="22" borderId="112" xfId="0" applyNumberFormat="1" applyFont="1" applyFill="1" applyBorder="1" applyAlignment="1">
      <alignment horizontal="center"/>
    </xf>
    <xf numFmtId="3" fontId="43" fillId="22" borderId="105" xfId="0" applyNumberFormat="1" applyFont="1" applyFill="1" applyBorder="1" applyAlignment="1">
      <alignment horizontal="center"/>
    </xf>
    <xf numFmtId="3" fontId="43" fillId="22" borderId="113" xfId="0" applyNumberFormat="1" applyFont="1" applyFill="1" applyBorder="1" applyAlignment="1">
      <alignment horizontal="right"/>
    </xf>
    <xf numFmtId="3" fontId="43" fillId="22" borderId="113" xfId="0" applyNumberFormat="1" applyFont="1" applyFill="1" applyBorder="1" applyAlignment="1" applyProtection="1">
      <alignment horizontal="right"/>
      <protection locked="0"/>
    </xf>
    <xf numFmtId="0" fontId="43" fillId="22" borderId="110" xfId="0" applyFont="1" applyFill="1" applyBorder="1"/>
    <xf numFmtId="3" fontId="43" fillId="22" borderId="110" xfId="0" applyNumberFormat="1" applyFont="1" applyFill="1" applyBorder="1"/>
    <xf numFmtId="3" fontId="43" fillId="22" borderId="0" xfId="0" applyNumberFormat="1" applyFont="1" applyFill="1"/>
    <xf numFmtId="3" fontId="43" fillId="22" borderId="111" xfId="0" applyNumberFormat="1" applyFont="1" applyFill="1" applyBorder="1"/>
    <xf numFmtId="3" fontId="43" fillId="22" borderId="110" xfId="0" applyNumberFormat="1" applyFont="1" applyFill="1" applyBorder="1" applyProtection="1">
      <protection locked="0"/>
    </xf>
    <xf numFmtId="3" fontId="43" fillId="22" borderId="111" xfId="0" applyNumberFormat="1" applyFont="1" applyFill="1" applyBorder="1" applyProtection="1">
      <protection locked="0"/>
    </xf>
    <xf numFmtId="0" fontId="44" fillId="22" borderId="109" xfId="0" applyFont="1" applyFill="1" applyBorder="1"/>
    <xf numFmtId="3" fontId="44" fillId="22" borderId="109" xfId="0" applyNumberFormat="1" applyFont="1" applyFill="1" applyBorder="1"/>
    <xf numFmtId="3" fontId="44" fillId="22" borderId="114" xfId="0" applyNumberFormat="1" applyFont="1" applyFill="1" applyBorder="1"/>
    <xf numFmtId="3" fontId="44" fillId="22" borderId="115" xfId="0" applyNumberFormat="1" applyFont="1" applyFill="1" applyBorder="1"/>
    <xf numFmtId="0" fontId="43" fillId="22" borderId="111" xfId="0" applyFont="1" applyFill="1" applyBorder="1"/>
    <xf numFmtId="0" fontId="44" fillId="22" borderId="116" xfId="0" applyFont="1" applyFill="1" applyBorder="1"/>
    <xf numFmtId="3" fontId="43" fillId="22" borderId="116" xfId="0" applyNumberFormat="1" applyFont="1" applyFill="1" applyBorder="1"/>
    <xf numFmtId="3" fontId="43" fillId="22" borderId="55" xfId="0" applyNumberFormat="1" applyFont="1" applyFill="1" applyBorder="1"/>
    <xf numFmtId="3" fontId="43" fillId="22" borderId="117" xfId="0" applyNumberFormat="1" applyFont="1" applyFill="1" applyBorder="1"/>
    <xf numFmtId="3" fontId="43" fillId="22" borderId="116" xfId="0" applyNumberFormat="1" applyFont="1" applyFill="1" applyBorder="1" applyProtection="1">
      <protection locked="0"/>
    </xf>
    <xf numFmtId="3" fontId="43" fillId="22" borderId="117" xfId="0" applyNumberFormat="1" applyFont="1" applyFill="1" applyBorder="1" applyProtection="1">
      <protection locked="0"/>
    </xf>
    <xf numFmtId="0" fontId="44" fillId="22" borderId="110" xfId="0" applyFont="1" applyFill="1" applyBorder="1"/>
    <xf numFmtId="3" fontId="43" fillId="22" borderId="109" xfId="0" applyNumberFormat="1" applyFont="1" applyFill="1" applyBorder="1"/>
    <xf numFmtId="3" fontId="43" fillId="22" borderId="114" xfId="0" applyNumberFormat="1" applyFont="1" applyFill="1" applyBorder="1"/>
    <xf numFmtId="3" fontId="43" fillId="22" borderId="115" xfId="0" applyNumberFormat="1" applyFont="1" applyFill="1" applyBorder="1"/>
    <xf numFmtId="0" fontId="44" fillId="22" borderId="112" xfId="0" applyFont="1" applyFill="1" applyBorder="1"/>
    <xf numFmtId="0" fontId="43" fillId="22" borderId="0" xfId="0" applyFont="1" applyFill="1"/>
    <xf numFmtId="37" fontId="43" fillId="22" borderId="111" xfId="0" applyNumberFormat="1" applyFont="1" applyFill="1" applyBorder="1"/>
    <xf numFmtId="0" fontId="44" fillId="23" borderId="118" xfId="0" applyFont="1" applyFill="1" applyBorder="1"/>
    <xf numFmtId="37" fontId="44" fillId="23" borderId="118" xfId="0" applyNumberFormat="1" applyFont="1" applyFill="1" applyBorder="1"/>
    <xf numFmtId="170" fontId="44" fillId="23" borderId="119" xfId="0" applyNumberFormat="1" applyFont="1" applyFill="1" applyBorder="1"/>
    <xf numFmtId="37" fontId="44" fillId="23" borderId="120" xfId="0" applyNumberFormat="1" applyFont="1" applyFill="1" applyBorder="1"/>
    <xf numFmtId="0" fontId="44" fillId="23" borderId="121" xfId="0" applyFont="1" applyFill="1" applyBorder="1"/>
    <xf numFmtId="0" fontId="44" fillId="23" borderId="122" xfId="0" applyFont="1" applyFill="1" applyBorder="1"/>
    <xf numFmtId="0" fontId="44" fillId="23" borderId="123" xfId="0" applyFont="1" applyFill="1" applyBorder="1"/>
    <xf numFmtId="0" fontId="44" fillId="24" borderId="110" xfId="0" applyFont="1" applyFill="1" applyBorder="1"/>
    <xf numFmtId="0" fontId="44" fillId="24" borderId="0" xfId="0" applyFont="1" applyFill="1"/>
    <xf numFmtId="0" fontId="44" fillId="24" borderId="111" xfId="0" applyFont="1" applyFill="1" applyBorder="1"/>
    <xf numFmtId="0" fontId="44" fillId="22" borderId="110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10" xfId="1" applyFont="1" applyFill="1" applyBorder="1"/>
    <xf numFmtId="37" fontId="43" fillId="22" borderId="0" xfId="0" applyNumberFormat="1" applyFont="1" applyFill="1"/>
    <xf numFmtId="37" fontId="43" fillId="22" borderId="111" xfId="0" applyNumberFormat="1" applyFont="1" applyFill="1" applyBorder="1" applyProtection="1">
      <protection locked="0"/>
    </xf>
    <xf numFmtId="9" fontId="43" fillId="22" borderId="112" xfId="1" applyFont="1" applyFill="1" applyBorder="1"/>
    <xf numFmtId="37" fontId="43" fillId="22" borderId="105" xfId="0" applyNumberFormat="1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4" fillId="23" borderId="124" xfId="0" applyFont="1" applyFill="1" applyBorder="1"/>
    <xf numFmtId="0" fontId="44" fillId="23" borderId="124" xfId="0" applyFont="1" applyFill="1" applyBorder="1" applyAlignment="1">
      <alignment horizontal="center"/>
    </xf>
    <xf numFmtId="169" fontId="44" fillId="23" borderId="125" xfId="0" applyNumberFormat="1" applyFont="1" applyFill="1" applyBorder="1"/>
    <xf numFmtId="37" fontId="44" fillId="23" borderId="126" xfId="0" applyNumberFormat="1" applyFont="1" applyFill="1" applyBorder="1"/>
    <xf numFmtId="0" fontId="47" fillId="22" borderId="110" xfId="0" applyFont="1" applyFill="1" applyBorder="1"/>
    <xf numFmtId="0" fontId="47" fillId="22" borderId="112" xfId="0" applyFont="1" applyFill="1" applyBorder="1"/>
    <xf numFmtId="0" fontId="43" fillId="22" borderId="114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7" fillId="24" borderId="110" xfId="0" applyFont="1" applyFill="1" applyBorder="1"/>
    <xf numFmtId="0" fontId="43" fillId="22" borderId="105" xfId="0" applyFont="1" applyFill="1" applyBorder="1"/>
    <xf numFmtId="0" fontId="43" fillId="22" borderId="116" xfId="0" applyFont="1" applyFill="1" applyBorder="1"/>
    <xf numFmtId="0" fontId="43" fillId="22" borderId="55" xfId="0" applyFont="1" applyFill="1" applyBorder="1"/>
    <xf numFmtId="37" fontId="43" fillId="22" borderId="117" xfId="0" applyNumberFormat="1" applyFont="1" applyFill="1" applyBorder="1"/>
    <xf numFmtId="37" fontId="43" fillId="22" borderId="117" xfId="0" applyNumberFormat="1" applyFont="1" applyFill="1" applyBorder="1" applyProtection="1">
      <protection locked="0"/>
    </xf>
    <xf numFmtId="0" fontId="44" fillId="23" borderId="127" xfId="0" applyFont="1" applyFill="1" applyBorder="1"/>
    <xf numFmtId="37" fontId="44" fillId="23" borderId="128" xfId="0" applyNumberFormat="1" applyFont="1" applyFill="1" applyBorder="1"/>
    <xf numFmtId="0" fontId="44" fillId="23" borderId="129" xfId="0" applyFont="1" applyFill="1" applyBorder="1"/>
    <xf numFmtId="0" fontId="44" fillId="23" borderId="130" xfId="0" applyFont="1" applyFill="1" applyBorder="1" applyAlignment="1">
      <alignment horizontal="center"/>
    </xf>
    <xf numFmtId="169" fontId="44" fillId="23" borderId="131" xfId="0" applyNumberFormat="1" applyFont="1" applyFill="1" applyBorder="1"/>
    <xf numFmtId="37" fontId="44" fillId="23" borderId="132" xfId="0" applyNumberFormat="1" applyFont="1" applyFill="1" applyBorder="1"/>
    <xf numFmtId="0" fontId="43" fillId="24" borderId="112" xfId="0" applyFont="1" applyFill="1" applyBorder="1"/>
    <xf numFmtId="0" fontId="43" fillId="24" borderId="105" xfId="0" applyFont="1" applyFill="1" applyBorder="1"/>
    <xf numFmtId="37" fontId="44" fillId="24" borderId="111" xfId="0" applyNumberFormat="1" applyFont="1" applyFill="1" applyBorder="1"/>
    <xf numFmtId="0" fontId="44" fillId="23" borderId="133" xfId="0" applyFont="1" applyFill="1" applyBorder="1"/>
    <xf numFmtId="0" fontId="43" fillId="23" borderId="133" xfId="0" applyFont="1" applyFill="1" applyBorder="1"/>
    <xf numFmtId="0" fontId="43" fillId="23" borderId="134" xfId="0" applyFont="1" applyFill="1" applyBorder="1"/>
    <xf numFmtId="37" fontId="44" fillId="23" borderId="135" xfId="0" applyNumberFormat="1" applyFont="1" applyFill="1" applyBorder="1"/>
    <xf numFmtId="0" fontId="57" fillId="22" borderId="0" xfId="0" applyFont="1" applyFill="1"/>
    <xf numFmtId="37" fontId="57" fillId="22" borderId="0" xfId="0" applyNumberFormat="1" applyFont="1" applyFill="1"/>
    <xf numFmtId="0" fontId="55" fillId="22" borderId="0" xfId="0" applyFont="1" applyFill="1"/>
    <xf numFmtId="0" fontId="54" fillId="22" borderId="0" xfId="0" applyFont="1" applyFill="1"/>
    <xf numFmtId="0" fontId="53" fillId="22" borderId="0" xfId="0" applyFont="1" applyFill="1"/>
    <xf numFmtId="168" fontId="55" fillId="22" borderId="0" xfId="0" applyNumberFormat="1" applyFont="1" applyFill="1" applyAlignment="1">
      <alignment horizontal="left"/>
    </xf>
    <xf numFmtId="0" fontId="43" fillId="22" borderId="110" xfId="0" applyFont="1" applyFill="1" applyBorder="1" applyAlignment="1">
      <alignment horizontal="center"/>
    </xf>
    <xf numFmtId="0" fontId="43" fillId="22" borderId="111" xfId="0" applyFont="1" applyFill="1" applyBorder="1" applyAlignment="1">
      <alignment horizontal="center"/>
    </xf>
    <xf numFmtId="3" fontId="43" fillId="22" borderId="113" xfId="0" applyNumberFormat="1" applyFont="1" applyFill="1" applyBorder="1" applyAlignment="1" applyProtection="1">
      <alignment horizontal="center"/>
      <protection locked="0"/>
    </xf>
    <xf numFmtId="3" fontId="43" fillId="22" borderId="112" xfId="0" applyNumberFormat="1" applyFont="1" applyFill="1" applyBorder="1"/>
    <xf numFmtId="3" fontId="43" fillId="22" borderId="105" xfId="0" applyNumberFormat="1" applyFont="1" applyFill="1" applyBorder="1"/>
    <xf numFmtId="3" fontId="43" fillId="22" borderId="113" xfId="0" applyNumberFormat="1" applyFont="1" applyFill="1" applyBorder="1"/>
    <xf numFmtId="0" fontId="44" fillId="22" borderId="0" xfId="0" applyFont="1" applyFill="1"/>
    <xf numFmtId="0" fontId="44" fillId="22" borderId="111" xfId="0" applyFont="1" applyFill="1" applyBorder="1"/>
    <xf numFmtId="169" fontId="43" fillId="22" borderId="110" xfId="1" applyNumberFormat="1" applyFont="1" applyFill="1" applyBorder="1"/>
    <xf numFmtId="0" fontId="43" fillId="22" borderId="110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7" xfId="0" applyFont="1" applyFill="1" applyBorder="1" applyAlignment="1">
      <alignment horizontal="center"/>
    </xf>
    <xf numFmtId="169" fontId="44" fillId="23" borderId="136" xfId="0" applyNumberFormat="1" applyFont="1" applyFill="1" applyBorder="1"/>
    <xf numFmtId="0" fontId="44" fillId="23" borderId="134" xfId="0" applyFont="1" applyFill="1" applyBorder="1"/>
    <xf numFmtId="37" fontId="55" fillId="22" borderId="0" xfId="0" applyNumberFormat="1" applyFont="1" applyFill="1"/>
    <xf numFmtId="37" fontId="43" fillId="22" borderId="110" xfId="0" applyNumberFormat="1" applyFont="1" applyFill="1" applyBorder="1"/>
    <xf numFmtId="37" fontId="43" fillId="22" borderId="110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11" xfId="0" applyNumberFormat="1" applyFont="1" applyFill="1" applyBorder="1"/>
    <xf numFmtId="37" fontId="43" fillId="22" borderId="112" xfId="0" applyNumberFormat="1" applyFont="1" applyFill="1" applyBorder="1"/>
    <xf numFmtId="2" fontId="43" fillId="22" borderId="105" xfId="0" applyNumberFormat="1" applyFont="1" applyFill="1" applyBorder="1"/>
    <xf numFmtId="169" fontId="43" fillId="22" borderId="113" xfId="0" applyNumberFormat="1" applyFont="1" applyFill="1" applyBorder="1"/>
    <xf numFmtId="37" fontId="43" fillId="22" borderId="109" xfId="0" applyNumberFormat="1" applyFont="1" applyFill="1" applyBorder="1"/>
    <xf numFmtId="37" fontId="43" fillId="22" borderId="114" xfId="0" applyNumberFormat="1" applyFont="1" applyFill="1" applyBorder="1"/>
    <xf numFmtId="37" fontId="43" fillId="22" borderId="109" xfId="0" applyNumberFormat="1" applyFont="1" applyFill="1" applyBorder="1" applyProtection="1">
      <protection locked="0"/>
    </xf>
    <xf numFmtId="37" fontId="43" fillId="22" borderId="114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10" xfId="0" applyNumberFormat="1" applyFont="1" applyFill="1" applyBorder="1"/>
    <xf numFmtId="170" fontId="44" fillId="22" borderId="0" xfId="0" applyNumberFormat="1" applyFont="1" applyFill="1"/>
    <xf numFmtId="37" fontId="44" fillId="22" borderId="112" xfId="0" applyNumberFormat="1" applyFont="1" applyFill="1" applyBorder="1"/>
    <xf numFmtId="171" fontId="43" fillId="22" borderId="105" xfId="0" applyNumberFormat="1" applyFont="1" applyFill="1" applyBorder="1"/>
    <xf numFmtId="0" fontId="44" fillId="24" borderId="118" xfId="0" applyFont="1" applyFill="1" applyBorder="1"/>
    <xf numFmtId="37" fontId="44" fillId="24" borderId="118" xfId="0" applyNumberFormat="1" applyFont="1" applyFill="1" applyBorder="1"/>
    <xf numFmtId="37" fontId="44" fillId="24" borderId="119" xfId="0" applyNumberFormat="1" applyFont="1" applyFill="1" applyBorder="1"/>
    <xf numFmtId="37" fontId="44" fillId="24" borderId="120" xfId="0" applyNumberFormat="1" applyFont="1" applyFill="1" applyBorder="1"/>
    <xf numFmtId="0" fontId="44" fillId="24" borderId="112" xfId="0" applyFont="1" applyFill="1" applyBorder="1"/>
    <xf numFmtId="37" fontId="44" fillId="24" borderId="112" xfId="0" applyNumberFormat="1" applyFont="1" applyFill="1" applyBorder="1"/>
    <xf numFmtId="39" fontId="44" fillId="24" borderId="105" xfId="0" applyNumberFormat="1" applyFont="1" applyFill="1" applyBorder="1"/>
    <xf numFmtId="169" fontId="44" fillId="22" borderId="111" xfId="0" applyNumberFormat="1" applyFont="1" applyFill="1" applyBorder="1"/>
    <xf numFmtId="0" fontId="44" fillId="24" borderId="109" xfId="0" applyFont="1" applyFill="1" applyBorder="1"/>
    <xf numFmtId="37" fontId="43" fillId="22" borderId="137" xfId="0" applyNumberFormat="1" applyFont="1" applyFill="1" applyBorder="1"/>
    <xf numFmtId="0" fontId="43" fillId="24" borderId="110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8" xfId="0" applyFont="1" applyFill="1" applyBorder="1"/>
    <xf numFmtId="170" fontId="43" fillId="22" borderId="114" xfId="0" applyNumberFormat="1" applyFont="1" applyFill="1" applyBorder="1"/>
    <xf numFmtId="170" fontId="43" fillId="22" borderId="114" xfId="0" applyNumberFormat="1" applyFont="1" applyFill="1" applyBorder="1" applyProtection="1">
      <protection locked="0"/>
    </xf>
    <xf numFmtId="170" fontId="43" fillId="22" borderId="105" xfId="0" applyNumberFormat="1" applyFont="1" applyFill="1" applyBorder="1"/>
    <xf numFmtId="37" fontId="44" fillId="24" borderId="109" xfId="0" applyNumberFormat="1" applyFont="1" applyFill="1" applyBorder="1"/>
    <xf numFmtId="170" fontId="44" fillId="24" borderId="114" xfId="0" applyNumberFormat="1" applyFont="1" applyFill="1" applyBorder="1"/>
    <xf numFmtId="37" fontId="44" fillId="24" borderId="115" xfId="0" applyNumberFormat="1" applyFont="1" applyFill="1" applyBorder="1"/>
    <xf numFmtId="37" fontId="44" fillId="23" borderId="119" xfId="0" applyNumberFormat="1" applyFont="1" applyFill="1" applyBorder="1"/>
    <xf numFmtId="169" fontId="44" fillId="23" borderId="123" xfId="0" applyNumberFormat="1" applyFont="1" applyFill="1" applyBorder="1"/>
    <xf numFmtId="169" fontId="44" fillId="24" borderId="111" xfId="0" applyNumberFormat="1" applyFont="1" applyFill="1" applyBorder="1"/>
    <xf numFmtId="0" fontId="47" fillId="22" borderId="109" xfId="0" applyFont="1" applyFill="1" applyBorder="1"/>
    <xf numFmtId="0" fontId="47" fillId="22" borderId="138" xfId="0" applyFont="1" applyFill="1" applyBorder="1"/>
    <xf numFmtId="0" fontId="44" fillId="23" borderId="139" xfId="0" applyFont="1" applyFill="1" applyBorder="1"/>
    <xf numFmtId="37" fontId="44" fillId="22" borderId="109" xfId="0" applyNumberFormat="1" applyFont="1" applyFill="1" applyBorder="1"/>
    <xf numFmtId="169" fontId="44" fillId="22" borderId="114" xfId="0" applyNumberFormat="1" applyFont="1" applyFill="1" applyBorder="1"/>
    <xf numFmtId="37" fontId="44" fillId="22" borderId="115" xfId="0" applyNumberFormat="1" applyFont="1" applyFill="1" applyBorder="1"/>
    <xf numFmtId="0" fontId="43" fillId="22" borderId="113" xfId="0" applyFont="1" applyFill="1" applyBorder="1"/>
    <xf numFmtId="37" fontId="43" fillId="22" borderId="116" xfId="0" applyNumberFormat="1" applyFont="1" applyFill="1" applyBorder="1"/>
    <xf numFmtId="169" fontId="43" fillId="22" borderId="55" xfId="0" applyNumberFormat="1" applyFont="1" applyFill="1" applyBorder="1"/>
    <xf numFmtId="37" fontId="43" fillId="22" borderId="116" xfId="0" applyNumberFormat="1" applyFont="1" applyFill="1" applyBorder="1" applyProtection="1">
      <protection locked="0"/>
    </xf>
    <xf numFmtId="169" fontId="44" fillId="23" borderId="119" xfId="0" applyNumberFormat="1" applyFont="1" applyFill="1" applyBorder="1"/>
    <xf numFmtId="0" fontId="44" fillId="23" borderId="140" xfId="0" applyFont="1" applyFill="1" applyBorder="1"/>
    <xf numFmtId="37" fontId="44" fillId="23" borderId="140" xfId="0" applyNumberFormat="1" applyFont="1" applyFill="1" applyBorder="1"/>
    <xf numFmtId="170" fontId="44" fillId="23" borderId="141" xfId="0" applyNumberFormat="1" applyFont="1" applyFill="1" applyBorder="1"/>
    <xf numFmtId="37" fontId="44" fillId="23" borderId="142" xfId="0" applyNumberFormat="1" applyFont="1" applyFill="1" applyBorder="1"/>
    <xf numFmtId="37" fontId="44" fillId="24" borderId="110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3" xfId="0" applyFont="1" applyFill="1" applyBorder="1"/>
    <xf numFmtId="0" fontId="43" fillId="23" borderId="143" xfId="0" applyFont="1" applyFill="1" applyBorder="1"/>
    <xf numFmtId="0" fontId="43" fillId="23" borderId="144" xfId="0" applyFont="1" applyFill="1" applyBorder="1"/>
    <xf numFmtId="37" fontId="44" fillId="23" borderId="145" xfId="0" applyNumberFormat="1" applyFont="1" applyFill="1" applyBorder="1"/>
    <xf numFmtId="0" fontId="60" fillId="22" borderId="1" xfId="0" applyFont="1" applyFill="1" applyBorder="1" applyAlignment="1">
      <alignment horizontal="center" vertical="center"/>
    </xf>
    <xf numFmtId="0" fontId="55" fillId="22" borderId="1" xfId="0" applyFont="1" applyFill="1" applyBorder="1" applyAlignment="1">
      <alignment horizontal="center"/>
    </xf>
    <xf numFmtId="0" fontId="55" fillId="22" borderId="122" xfId="0" applyFont="1" applyFill="1" applyBorder="1" applyAlignment="1">
      <alignment horizontal="center"/>
    </xf>
    <xf numFmtId="0" fontId="44" fillId="22" borderId="146" xfId="0" applyFont="1" applyFill="1" applyBorder="1" applyAlignment="1">
      <alignment horizontal="center"/>
    </xf>
    <xf numFmtId="0" fontId="43" fillId="22" borderId="147" xfId="0" applyFont="1" applyFill="1" applyBorder="1"/>
    <xf numFmtId="0" fontId="43" fillId="22" borderId="147" xfId="0" applyFont="1" applyFill="1" applyBorder="1" applyAlignment="1">
      <alignment horizontal="center"/>
    </xf>
    <xf numFmtId="0" fontId="43" fillId="22" borderId="105" xfId="0" applyFont="1" applyFill="1" applyBorder="1" applyAlignment="1">
      <alignment horizontal="center"/>
    </xf>
    <xf numFmtId="0" fontId="43" fillId="22" borderId="148" xfId="0" applyFont="1" applyFill="1" applyBorder="1" applyAlignment="1">
      <alignment horizontal="center"/>
    </xf>
    <xf numFmtId="0" fontId="47" fillId="22" borderId="147" xfId="0" applyFont="1" applyFill="1" applyBorder="1"/>
    <xf numFmtId="37" fontId="47" fillId="22" borderId="147" xfId="0" applyNumberFormat="1" applyFont="1" applyFill="1" applyBorder="1"/>
    <xf numFmtId="37" fontId="47" fillId="22" borderId="105" xfId="0" applyNumberFormat="1" applyFont="1" applyFill="1" applyBorder="1"/>
    <xf numFmtId="37" fontId="47" fillId="22" borderId="148" xfId="0" applyNumberFormat="1" applyFont="1" applyFill="1" applyBorder="1"/>
    <xf numFmtId="0" fontId="60" fillId="23" borderId="147" xfId="0" applyFont="1" applyFill="1" applyBorder="1"/>
    <xf numFmtId="37" fontId="60" fillId="23" borderId="147" xfId="0" applyNumberFormat="1" applyFont="1" applyFill="1" applyBorder="1"/>
    <xf numFmtId="37" fontId="60" fillId="23" borderId="105" xfId="0" applyNumberFormat="1" applyFont="1" applyFill="1" applyBorder="1"/>
    <xf numFmtId="37" fontId="60" fillId="23" borderId="148" xfId="0" applyNumberFormat="1" applyFont="1" applyFill="1" applyBorder="1"/>
    <xf numFmtId="0" fontId="60" fillId="22" borderId="72" xfId="0" applyFont="1" applyFill="1" applyBorder="1"/>
    <xf numFmtId="37" fontId="47" fillId="22" borderId="72" xfId="0" applyNumberFormat="1" applyFont="1" applyFill="1" applyBorder="1"/>
    <xf numFmtId="0" fontId="47" fillId="22" borderId="1" xfId="0" applyFont="1" applyFill="1" applyBorder="1"/>
    <xf numFmtId="37" fontId="47" fillId="22" borderId="57" xfId="0" applyNumberFormat="1" applyFont="1" applyFill="1" applyBorder="1"/>
    <xf numFmtId="0" fontId="47" fillId="22" borderId="72" xfId="0" applyFont="1" applyFill="1" applyBorder="1"/>
    <xf numFmtId="169" fontId="47" fillId="22" borderId="72" xfId="1" applyNumberFormat="1" applyFont="1" applyFill="1" applyBorder="1"/>
    <xf numFmtId="170" fontId="47" fillId="22" borderId="1" xfId="0" applyNumberFormat="1" applyFont="1" applyFill="1" applyBorder="1"/>
    <xf numFmtId="169" fontId="47" fillId="22" borderId="147" xfId="1" applyNumberFormat="1" applyFont="1" applyFill="1" applyBorder="1"/>
    <xf numFmtId="170" fontId="47" fillId="22" borderId="105" xfId="0" applyNumberFormat="1" applyFont="1" applyFill="1" applyBorder="1"/>
    <xf numFmtId="0" fontId="43" fillId="22" borderId="72" xfId="0" applyFont="1" applyFill="1" applyBorder="1"/>
    <xf numFmtId="0" fontId="60" fillId="23" borderId="149" xfId="0" applyFont="1" applyFill="1" applyBorder="1"/>
    <xf numFmtId="169" fontId="60" fillId="23" borderId="149" xfId="0" applyNumberFormat="1" applyFont="1" applyFill="1" applyBorder="1"/>
    <xf numFmtId="0" fontId="60" fillId="23" borderId="125" xfId="0" applyFont="1" applyFill="1" applyBorder="1"/>
    <xf numFmtId="37" fontId="60" fillId="23" borderId="150" xfId="0" applyNumberFormat="1" applyFont="1" applyFill="1" applyBorder="1"/>
    <xf numFmtId="37" fontId="47" fillId="22" borderId="57" xfId="0" applyNumberFormat="1" applyFont="1" applyFill="1" applyBorder="1" applyProtection="1">
      <protection locked="0"/>
    </xf>
    <xf numFmtId="0" fontId="47" fillId="24" borderId="72" xfId="0" applyFont="1" applyFill="1" applyBorder="1"/>
    <xf numFmtId="170" fontId="60" fillId="23" borderId="125" xfId="0" applyNumberFormat="1" applyFont="1" applyFill="1" applyBorder="1"/>
    <xf numFmtId="0" fontId="47" fillId="22" borderId="151" xfId="0" applyFont="1" applyFill="1" applyBorder="1"/>
    <xf numFmtId="170" fontId="47" fillId="22" borderId="114" xfId="0" applyNumberFormat="1" applyFont="1" applyFill="1" applyBorder="1"/>
    <xf numFmtId="37" fontId="47" fillId="22" borderId="152" xfId="0" applyNumberFormat="1" applyFont="1" applyFill="1" applyBorder="1"/>
    <xf numFmtId="37" fontId="47" fillId="22" borderId="148" xfId="0" applyNumberFormat="1" applyFont="1" applyFill="1" applyBorder="1" applyProtection="1">
      <protection locked="0"/>
    </xf>
    <xf numFmtId="0" fontId="47" fillId="22" borderId="57" xfId="0" applyFont="1" applyFill="1" applyBorder="1"/>
    <xf numFmtId="169" fontId="60" fillId="22" borderId="151" xfId="0" applyNumberFormat="1" applyFont="1" applyFill="1" applyBorder="1"/>
    <xf numFmtId="0" fontId="60" fillId="22" borderId="114" xfId="0" applyFont="1" applyFill="1" applyBorder="1"/>
    <xf numFmtId="37" fontId="47" fillId="24" borderId="152" xfId="0" applyNumberFormat="1" applyFont="1" applyFill="1" applyBorder="1"/>
    <xf numFmtId="169" fontId="60" fillId="22" borderId="72" xfId="0" applyNumberFormat="1" applyFont="1" applyFill="1" applyBorder="1"/>
    <xf numFmtId="0" fontId="60" fillId="22" borderId="1" xfId="0" applyFont="1" applyFill="1" applyBorder="1"/>
    <xf numFmtId="169" fontId="60" fillId="22" borderId="147" xfId="0" applyNumberFormat="1" applyFont="1" applyFill="1" applyBorder="1"/>
    <xf numFmtId="0" fontId="47" fillId="23" borderId="125" xfId="0" applyFont="1" applyFill="1" applyBorder="1"/>
    <xf numFmtId="0" fontId="60" fillId="24" borderId="151" xfId="0" applyFont="1" applyFill="1" applyBorder="1"/>
    <xf numFmtId="0" fontId="47" fillId="24" borderId="114" xfId="0" applyFont="1" applyFill="1" applyBorder="1"/>
    <xf numFmtId="0" fontId="60" fillId="23" borderId="153" xfId="0" applyFont="1" applyFill="1" applyBorder="1"/>
    <xf numFmtId="0" fontId="60" fillId="23" borderId="153" xfId="0" applyFont="1" applyFill="1" applyBorder="1" applyAlignment="1">
      <alignment horizontal="center"/>
    </xf>
    <xf numFmtId="169" fontId="60" fillId="23" borderId="154" xfId="0" applyNumberFormat="1" applyFont="1" applyFill="1" applyBorder="1"/>
    <xf numFmtId="37" fontId="60" fillId="23" borderId="155" xfId="0" applyNumberFormat="1" applyFont="1" applyFill="1" applyBorder="1"/>
    <xf numFmtId="0" fontId="60" fillId="23" borderId="156" xfId="0" applyFont="1" applyFill="1" applyBorder="1" applyAlignment="1">
      <alignment horizontal="center"/>
    </xf>
    <xf numFmtId="169" fontId="60" fillId="23" borderId="144" xfId="0" applyNumberFormat="1" applyFont="1" applyFill="1" applyBorder="1"/>
    <xf numFmtId="37" fontId="60" fillId="23" borderId="157" xfId="0" applyNumberFormat="1" applyFont="1" applyFill="1" applyBorder="1"/>
    <xf numFmtId="39" fontId="47" fillId="22" borderId="0" xfId="0" applyNumberFormat="1" applyFont="1" applyFill="1"/>
    <xf numFmtId="0" fontId="60" fillId="23" borderId="158" xfId="0" applyFont="1" applyFill="1" applyBorder="1"/>
    <xf numFmtId="0" fontId="60" fillId="23" borderId="160" xfId="0" applyFont="1" applyFill="1" applyBorder="1" applyAlignment="1">
      <alignment horizontal="center"/>
    </xf>
    <xf numFmtId="169" fontId="60" fillId="23" borderId="159" xfId="0" applyNumberFormat="1" applyFont="1" applyFill="1" applyBorder="1"/>
    <xf numFmtId="37" fontId="60" fillId="23" borderId="161" xfId="0" applyNumberFormat="1" applyFont="1" applyFill="1" applyBorder="1"/>
    <xf numFmtId="0" fontId="59" fillId="22" borderId="162" xfId="0" applyFont="1" applyFill="1" applyBorder="1"/>
    <xf numFmtId="0" fontId="59" fillId="22" borderId="72" xfId="0" applyFont="1" applyFill="1" applyBorder="1"/>
    <xf numFmtId="0" fontId="59" fillId="22" borderId="1" xfId="0" applyFont="1" applyFill="1" applyBorder="1"/>
    <xf numFmtId="0" fontId="59" fillId="22" borderId="57" xfId="0" applyFont="1" applyFill="1" applyBorder="1"/>
    <xf numFmtId="0" fontId="47" fillId="22" borderId="162" xfId="0" applyFont="1" applyFill="1" applyBorder="1"/>
    <xf numFmtId="0" fontId="55" fillId="22" borderId="72" xfId="0" applyFont="1" applyFill="1" applyBorder="1"/>
    <xf numFmtId="0" fontId="43" fillId="22" borderId="1" xfId="0" applyFont="1" applyFill="1" applyBorder="1"/>
    <xf numFmtId="0" fontId="44" fillId="22" borderId="72" xfId="0" applyFont="1" applyFill="1" applyBorder="1"/>
    <xf numFmtId="0" fontId="44" fillId="22" borderId="1" xfId="0" applyFont="1" applyFill="1" applyBorder="1"/>
    <xf numFmtId="0" fontId="43" fillId="22" borderId="162" xfId="0" applyFont="1" applyFill="1" applyBorder="1"/>
    <xf numFmtId="0" fontId="43" fillId="22" borderId="164" xfId="0" applyFont="1" applyFill="1" applyBorder="1"/>
    <xf numFmtId="0" fontId="60" fillId="23" borderId="165" xfId="0" applyFont="1" applyFill="1" applyBorder="1"/>
    <xf numFmtId="0" fontId="60" fillId="23" borderId="167" xfId="0" applyFont="1" applyFill="1" applyBorder="1" applyAlignment="1">
      <alignment horizontal="center"/>
    </xf>
    <xf numFmtId="169" fontId="60" fillId="23" borderId="166" xfId="0" applyNumberFormat="1" applyFont="1" applyFill="1" applyBorder="1"/>
    <xf numFmtId="37" fontId="60" fillId="23" borderId="168" xfId="0" applyNumberFormat="1" applyFont="1" applyFill="1" applyBorder="1"/>
    <xf numFmtId="3" fontId="43" fillId="17" borderId="15" xfId="0" applyNumberFormat="1" applyFont="1" applyFill="1" applyBorder="1"/>
    <xf numFmtId="3" fontId="17" fillId="17" borderId="15" xfId="0" applyNumberFormat="1" applyFont="1" applyFill="1" applyBorder="1"/>
    <xf numFmtId="167" fontId="60" fillId="23" borderId="125" xfId="5" applyNumberFormat="1" applyFont="1" applyFill="1" applyBorder="1"/>
    <xf numFmtId="0" fontId="60" fillId="23" borderId="159" xfId="0" applyFont="1" applyFill="1" applyBorder="1" applyAlignment="1">
      <alignment horizontal="center"/>
    </xf>
    <xf numFmtId="37" fontId="60" fillId="23" borderId="159" xfId="0" applyNumberFormat="1" applyFont="1" applyFill="1" applyBorder="1"/>
    <xf numFmtId="37" fontId="47" fillId="22" borderId="1" xfId="0" applyNumberFormat="1" applyFont="1" applyFill="1" applyBorder="1"/>
    <xf numFmtId="0" fontId="55" fillId="22" borderId="1" xfId="0" applyFont="1" applyFill="1" applyBorder="1"/>
    <xf numFmtId="0" fontId="60" fillId="23" borderId="166" xfId="0" applyFont="1" applyFill="1" applyBorder="1" applyAlignment="1">
      <alignment horizontal="center"/>
    </xf>
    <xf numFmtId="37" fontId="60" fillId="23" borderId="166" xfId="0" applyNumberFormat="1" applyFont="1" applyFill="1" applyBorder="1"/>
    <xf numFmtId="49" fontId="74" fillId="13" borderId="1" xfId="6" applyNumberFormat="1" applyFont="1" applyFill="1" applyAlignment="1">
      <alignment horizontal="left" vertical="center"/>
    </xf>
    <xf numFmtId="175" fontId="74" fillId="13" borderId="1" xfId="6" applyNumberFormat="1" applyFont="1" applyFill="1" applyAlignment="1">
      <alignment horizontal="right" vertical="center"/>
    </xf>
    <xf numFmtId="49" fontId="2" fillId="13" borderId="1" xfId="6" applyNumberFormat="1" applyFill="1" applyAlignment="1">
      <alignment horizontal="left" vertical="center"/>
    </xf>
    <xf numFmtId="175" fontId="2" fillId="13" borderId="1" xfId="6" applyNumberFormat="1" applyFill="1" applyAlignment="1">
      <alignment horizontal="right" vertical="center"/>
    </xf>
    <xf numFmtId="0" fontId="2" fillId="13" borderId="1" xfId="6" applyFill="1"/>
    <xf numFmtId="0" fontId="0" fillId="13" borderId="0" xfId="0" applyFont="1" applyFill="1" applyAlignment="1"/>
    <xf numFmtId="49" fontId="39" fillId="10" borderId="49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1" fontId="39" fillId="14" borderId="49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0" fontId="38" fillId="10" borderId="0" xfId="0" applyFont="1" applyFill="1" applyAlignment="1">
      <alignment horizontal="left" vertical="top"/>
    </xf>
    <xf numFmtId="0" fontId="36" fillId="25" borderId="0" xfId="0" applyFont="1" applyFill="1" applyAlignment="1">
      <alignment horizontal="left" vertical="top"/>
    </xf>
    <xf numFmtId="0" fontId="38" fillId="10" borderId="44" xfId="0" applyFont="1" applyFill="1" applyBorder="1" applyAlignment="1">
      <alignment horizontal="left" vertical="top"/>
    </xf>
    <xf numFmtId="0" fontId="38" fillId="10" borderId="1" xfId="0" applyFont="1" applyFill="1" applyBorder="1" applyAlignment="1">
      <alignment horizontal="left" vertical="top"/>
    </xf>
    <xf numFmtId="0" fontId="38" fillId="10" borderId="50" xfId="0" applyFont="1" applyFill="1" applyBorder="1" applyAlignment="1">
      <alignment horizontal="left" vertical="top"/>
    </xf>
    <xf numFmtId="0" fontId="38" fillId="10" borderId="47" xfId="0" applyFont="1" applyFill="1" applyBorder="1" applyAlignment="1">
      <alignment horizontal="left" vertical="top"/>
    </xf>
    <xf numFmtId="39" fontId="38" fillId="10" borderId="47" xfId="0" applyNumberFormat="1" applyFont="1" applyFill="1" applyBorder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40" fillId="10" borderId="49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/>
    <xf numFmtId="0" fontId="18" fillId="0" borderId="90" xfId="0" applyFont="1" applyBorder="1" applyAlignment="1">
      <alignment horizontal="center" vertical="center"/>
    </xf>
    <xf numFmtId="49" fontId="1" fillId="13" borderId="1" xfId="7" applyNumberFormat="1" applyFill="1" applyAlignment="1">
      <alignment horizontal="left" vertical="center"/>
    </xf>
    <xf numFmtId="0" fontId="1" fillId="13" borderId="1" xfId="7" applyFill="1"/>
    <xf numFmtId="175" fontId="1" fillId="13" borderId="1" xfId="7" applyNumberFormat="1" applyFill="1" applyAlignment="1">
      <alignment horizontal="right" vertical="center"/>
    </xf>
    <xf numFmtId="49" fontId="7" fillId="13" borderId="1" xfId="0" applyNumberFormat="1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top"/>
    </xf>
    <xf numFmtId="0" fontId="7" fillId="13" borderId="1" xfId="0" applyFont="1" applyFill="1" applyBorder="1"/>
    <xf numFmtId="172" fontId="7" fillId="13" borderId="1" xfId="0" applyNumberFormat="1" applyFont="1" applyFill="1" applyBorder="1" applyAlignment="1">
      <alignment horizontal="right" vertical="center"/>
    </xf>
    <xf numFmtId="0" fontId="75" fillId="0" borderId="0" xfId="0" applyFont="1"/>
    <xf numFmtId="0" fontId="7" fillId="0" borderId="0" xfId="0" applyNumberFormat="1" applyFont="1" applyAlignment="1">
      <alignment horizontal="center"/>
    </xf>
    <xf numFmtId="169" fontId="17" fillId="0" borderId="12" xfId="1" applyNumberFormat="1" applyFont="1" applyBorder="1"/>
    <xf numFmtId="169" fontId="17" fillId="0" borderId="13" xfId="1" applyNumberFormat="1" applyFont="1" applyBorder="1"/>
    <xf numFmtId="3" fontId="16" fillId="0" borderId="0" xfId="0" applyNumberFormat="1" applyFont="1" applyFill="1"/>
    <xf numFmtId="3" fontId="17" fillId="0" borderId="0" xfId="0" applyNumberFormat="1" applyFont="1" applyFill="1"/>
    <xf numFmtId="167" fontId="17" fillId="0" borderId="15" xfId="5" applyNumberFormat="1" applyFont="1" applyBorder="1"/>
    <xf numFmtId="6" fontId="17" fillId="0" borderId="0" xfId="0" applyNumberFormat="1" applyFont="1" applyFill="1"/>
    <xf numFmtId="10" fontId="0" fillId="0" borderId="0" xfId="0" applyNumberFormat="1"/>
    <xf numFmtId="0" fontId="76" fillId="0" borderId="0" xfId="0" applyFont="1"/>
    <xf numFmtId="10" fontId="76" fillId="0" borderId="0" xfId="0" applyNumberFormat="1" applyFont="1"/>
    <xf numFmtId="3" fontId="43" fillId="0" borderId="15" xfId="0" applyNumberFormat="1" applyFont="1" applyFill="1" applyBorder="1"/>
    <xf numFmtId="169" fontId="18" fillId="0" borderId="1" xfId="0" applyNumberFormat="1" applyFont="1" applyFill="1" applyBorder="1"/>
    <xf numFmtId="0" fontId="19" fillId="0" borderId="90" xfId="0" applyFont="1" applyBorder="1"/>
    <xf numFmtId="37" fontId="17" fillId="13" borderId="15" xfId="0" applyNumberFormat="1" applyFont="1" applyFill="1" applyBorder="1"/>
    <xf numFmtId="3" fontId="17" fillId="13" borderId="1" xfId="0" applyNumberFormat="1" applyFont="1" applyFill="1" applyBorder="1"/>
    <xf numFmtId="3" fontId="17" fillId="13" borderId="15" xfId="0" applyNumberFormat="1" applyFont="1" applyFill="1" applyBorder="1"/>
    <xf numFmtId="0" fontId="44" fillId="0" borderId="106" xfId="2" applyFont="1" applyBorder="1" applyAlignment="1">
      <alignment horizontal="center"/>
    </xf>
    <xf numFmtId="0" fontId="44" fillId="0" borderId="107" xfId="2" applyFont="1" applyBorder="1" applyAlignment="1">
      <alignment horizontal="center"/>
    </xf>
    <xf numFmtId="0" fontId="44" fillId="0" borderId="108" xfId="2" applyFont="1" applyBorder="1" applyAlignment="1">
      <alignment horizontal="center"/>
    </xf>
    <xf numFmtId="0" fontId="53" fillId="0" borderId="55" xfId="2" applyFont="1" applyBorder="1" applyAlignment="1">
      <alignment horizontal="center"/>
    </xf>
    <xf numFmtId="0" fontId="53" fillId="0" borderId="1" xfId="2" applyFont="1" applyAlignment="1">
      <alignment horizontal="center"/>
    </xf>
    <xf numFmtId="0" fontId="72" fillId="0" borderId="55" xfId="3" applyFont="1" applyBorder="1" applyAlignment="1">
      <alignment horizontal="center"/>
    </xf>
    <xf numFmtId="0" fontId="4" fillId="0" borderId="176" xfId="3" applyBorder="1" applyAlignment="1">
      <alignment horizontal="center" vertical="center"/>
    </xf>
    <xf numFmtId="0" fontId="4" fillId="0" borderId="174" xfId="3" applyBorder="1" applyAlignment="1">
      <alignment horizontal="center" vertical="center"/>
    </xf>
    <xf numFmtId="0" fontId="4" fillId="0" borderId="177" xfId="3" applyBorder="1" applyAlignment="1">
      <alignment horizontal="center" vertical="center"/>
    </xf>
    <xf numFmtId="0" fontId="18" fillId="0" borderId="68" xfId="0" applyFont="1" applyBorder="1" applyAlignment="1">
      <alignment horizontal="center"/>
    </xf>
    <xf numFmtId="0" fontId="19" fillId="0" borderId="68" xfId="0" applyFont="1" applyBorder="1"/>
    <xf numFmtId="0" fontId="19" fillId="0" borderId="69" xfId="0" applyFont="1" applyBorder="1"/>
    <xf numFmtId="0" fontId="18" fillId="0" borderId="71" xfId="0" applyFont="1" applyBorder="1" applyAlignment="1">
      <alignment horizontal="center"/>
    </xf>
    <xf numFmtId="0" fontId="19" fillId="0" borderId="64" xfId="0" applyFont="1" applyBorder="1"/>
    <xf numFmtId="0" fontId="18" fillId="0" borderId="92" xfId="0" applyFont="1" applyBorder="1" applyAlignment="1">
      <alignment horizontal="center" vertical="center"/>
    </xf>
    <xf numFmtId="0" fontId="19" fillId="0" borderId="90" xfId="0" applyFont="1" applyBorder="1"/>
    <xf numFmtId="0" fontId="19" fillId="0" borderId="93" xfId="0" applyFont="1" applyBorder="1"/>
    <xf numFmtId="0" fontId="18" fillId="0" borderId="90" xfId="0" applyFont="1" applyBorder="1" applyAlignment="1">
      <alignment horizontal="center" vertical="center"/>
    </xf>
    <xf numFmtId="0" fontId="19" fillId="0" borderId="91" xfId="0" applyFont="1" applyBorder="1"/>
    <xf numFmtId="0" fontId="56" fillId="22" borderId="0" xfId="0" applyFont="1" applyFill="1"/>
    <xf numFmtId="169" fontId="43" fillId="22" borderId="0" xfId="1" applyNumberFormat="1" applyFont="1" applyFill="1"/>
    <xf numFmtId="176" fontId="43" fillId="22" borderId="0" xfId="8" applyNumberFormat="1" applyFont="1" applyFill="1"/>
    <xf numFmtId="167" fontId="43" fillId="22" borderId="0" xfId="5" applyNumberFormat="1" applyFont="1" applyFill="1"/>
    <xf numFmtId="37" fontId="20" fillId="0" borderId="24" xfId="0" applyNumberFormat="1" applyFont="1" applyFill="1" applyBorder="1"/>
  </cellXfs>
  <cellStyles count="9">
    <cellStyle name="Milliers" xfId="5" builtinId="3"/>
    <cellStyle name="Monétaire" xfId="8" builtinId="4"/>
    <cellStyle name="Normal" xfId="0" builtinId="0"/>
    <cellStyle name="Normal 2" xfId="2" xr:uid="{14FD14B7-464A-4658-BB89-88733517B02C}"/>
    <cellStyle name="Normal 3" xfId="3" xr:uid="{F7182055-3BDD-4002-838B-78E8064D423C}"/>
    <cellStyle name="Normal 4" xfId="6" xr:uid="{750DFFF2-1F04-4C47-B2B4-C738890F64C2}"/>
    <cellStyle name="Normal 5" xfId="7" xr:uid="{C7157F26-45A0-4C6A-9F25-163A7F4B94FE}"/>
    <cellStyle name="Pourcentage" xfId="1" builtinId="5"/>
    <cellStyle name="Pourcentage 2" xfId="4" xr:uid="{C2B9B46B-6F06-4E83-855A-2D29DC79967E}"/>
  </cellStyles>
  <dxfs count="69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4"/>
      <tableStyleElement type="firstRowStripe" dxfId="693"/>
      <tableStyleElement type="secondRowStripe" dxfId="692"/>
    </tableStyle>
    <tableStyle name="Data_Validation ex-style" pivot="0" count="3" xr9:uid="{00000000-0011-0000-FFFF-FFFF01000000}">
      <tableStyleElement type="headerRow" dxfId="691"/>
      <tableStyleElement type="firstRowStripe" dxfId="690"/>
      <tableStyleElement type="secondRowStripe" dxfId="689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3">
  <autoFilter ref="A1:G1063" xr:uid="{00000000-0009-0000-0100-000001000000}">
    <filterColumn colId="1">
      <filters>
        <filter val="ABS., VACANCE &amp; SAL. JOURS FER"/>
        <filter val="ABS.,VACANCES &amp; SAL. JOURS FER"/>
        <filter val="ABSENCES, VACANCES, ETC"/>
      </filters>
    </filterColumn>
  </autoFilter>
  <sortState xmlns:xlrd2="http://schemas.microsoft.com/office/spreadsheetml/2017/richdata2" ref="A2:G1063">
    <sortCondition ref="A1:A106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688"/>
    <tableColumn id="7" xr3:uid="{00000000-0010-0000-0000-000007000000}" name="Comptes de ventes" dataDxfId="687"/>
    <tableColumn id="6" xr3:uid="{91B9CCB2-6087-4D4A-8416-A1DC2761000C}" name="Type de compte" dataDxfId="686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A9" sqref="A9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2" t="s">
        <v>1933</v>
      </c>
      <c r="N2" s="162" t="s">
        <v>1944</v>
      </c>
    </row>
    <row r="3" spans="1:14">
      <c r="A3" s="1" t="s">
        <v>2</v>
      </c>
      <c r="B3" s="3" t="s">
        <v>1934</v>
      </c>
      <c r="C3" s="162">
        <f>+VLOOKUP(B3,$K$3:$L$14,2,0)</f>
        <v>1</v>
      </c>
      <c r="G3" s="2" t="s">
        <v>4</v>
      </c>
      <c r="K3" t="s">
        <v>1934</v>
      </c>
      <c r="L3" s="162">
        <v>1</v>
      </c>
      <c r="M3" s="162" t="str">
        <f t="shared" ref="M3:M14" si="0">+IF($K3=$B$3,"X","")</f>
        <v>X</v>
      </c>
      <c r="N3" s="162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2">
        <v>2</v>
      </c>
      <c r="M4" s="162" t="str">
        <f t="shared" si="0"/>
        <v/>
      </c>
      <c r="N4" s="162" t="str">
        <f t="shared" ref="N4:N14" si="1">+IF(K4=B4,"X",IF(L4&lt;=$C$3,"X",""))</f>
        <v/>
      </c>
    </row>
    <row r="5" spans="1:14" ht="15" customHeight="1">
      <c r="K5" t="s">
        <v>1936</v>
      </c>
      <c r="L5" s="162">
        <v>3</v>
      </c>
      <c r="M5" s="162" t="str">
        <f t="shared" si="0"/>
        <v/>
      </c>
      <c r="N5" s="162" t="str">
        <f t="shared" si="1"/>
        <v/>
      </c>
    </row>
    <row r="6" spans="1:14">
      <c r="A6" s="1067"/>
      <c r="B6" s="1068"/>
      <c r="K6" t="s">
        <v>1937</v>
      </c>
      <c r="L6" s="162">
        <v>4</v>
      </c>
      <c r="M6" s="162" t="str">
        <f t="shared" si="0"/>
        <v/>
      </c>
      <c r="N6" s="162" t="str">
        <f t="shared" si="1"/>
        <v/>
      </c>
    </row>
    <row r="7" spans="1:14">
      <c r="A7" s="562"/>
      <c r="B7" s="1069"/>
      <c r="K7" t="s">
        <v>1938</v>
      </c>
      <c r="L7" s="162">
        <v>5</v>
      </c>
      <c r="M7" s="162" t="str">
        <f t="shared" si="0"/>
        <v/>
      </c>
      <c r="N7" s="162" t="str">
        <f t="shared" si="1"/>
        <v/>
      </c>
    </row>
    <row r="8" spans="1:14">
      <c r="A8" s="562"/>
      <c r="B8" s="1069"/>
      <c r="K8" t="s">
        <v>1916</v>
      </c>
      <c r="L8" s="162">
        <v>6</v>
      </c>
      <c r="M8" s="162" t="str">
        <f t="shared" si="0"/>
        <v/>
      </c>
      <c r="N8" s="162" t="str">
        <f t="shared" si="1"/>
        <v/>
      </c>
    </row>
    <row r="9" spans="1:14" ht="15" customHeight="1">
      <c r="A9" s="1070" t="s">
        <v>2863</v>
      </c>
      <c r="K9" t="s">
        <v>1939</v>
      </c>
      <c r="L9" s="162">
        <v>7</v>
      </c>
      <c r="M9" s="162" t="str">
        <f t="shared" si="0"/>
        <v/>
      </c>
      <c r="N9" s="162" t="str">
        <f t="shared" si="1"/>
        <v/>
      </c>
    </row>
    <row r="10" spans="1:14">
      <c r="A10" s="2" t="s">
        <v>2861</v>
      </c>
      <c r="I10" s="2"/>
      <c r="K10" t="s">
        <v>1940</v>
      </c>
      <c r="L10" s="162">
        <v>8</v>
      </c>
      <c r="M10" s="162" t="str">
        <f t="shared" si="0"/>
        <v/>
      </c>
      <c r="N10" s="162" t="str">
        <f t="shared" si="1"/>
        <v/>
      </c>
    </row>
    <row r="11" spans="1:14">
      <c r="A11" s="2" t="s">
        <v>2862</v>
      </c>
      <c r="I11" s="2"/>
      <c r="K11" t="s">
        <v>3</v>
      </c>
      <c r="L11" s="162">
        <v>9</v>
      </c>
      <c r="M11" s="162" t="str">
        <f t="shared" si="0"/>
        <v/>
      </c>
      <c r="N11" s="162" t="str">
        <f t="shared" si="1"/>
        <v/>
      </c>
    </row>
    <row r="12" spans="1:14">
      <c r="A12" s="2" t="s">
        <v>2860</v>
      </c>
      <c r="I12" s="2"/>
      <c r="K12" t="s">
        <v>1941</v>
      </c>
      <c r="L12" s="162">
        <v>10</v>
      </c>
      <c r="M12" s="162" t="str">
        <f t="shared" si="0"/>
        <v/>
      </c>
      <c r="N12" s="162" t="str">
        <f t="shared" si="1"/>
        <v/>
      </c>
    </row>
    <row r="13" spans="1:14">
      <c r="A13" s="2"/>
      <c r="I13" s="2"/>
      <c r="K13" t="s">
        <v>1942</v>
      </c>
      <c r="L13" s="162">
        <v>11</v>
      </c>
      <c r="M13" s="162" t="str">
        <f t="shared" si="0"/>
        <v/>
      </c>
      <c r="N13" s="162" t="str">
        <f t="shared" si="1"/>
        <v/>
      </c>
    </row>
    <row r="14" spans="1:14">
      <c r="A14" s="2"/>
      <c r="I14" s="2"/>
      <c r="K14" t="s">
        <v>1943</v>
      </c>
      <c r="L14" s="162">
        <v>12</v>
      </c>
      <c r="M14" s="162" t="str">
        <f t="shared" si="0"/>
        <v/>
      </c>
      <c r="N14" s="162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B8E3A402-AA47-4B10-B6F9-CD4419FAD36C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4" workbookViewId="0">
      <selection activeCell="E50" sqref="E50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206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70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Janvier 2021</v>
      </c>
      <c r="B3" s="2"/>
      <c r="C3" s="1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70"/>
      <c r="D4" s="2"/>
      <c r="E4" s="58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96">
        <f>SUMIFS(BV_Data_An_Cour!$P:$P,BV_Data_An_Cour!$U:$U,$A$1,BV_Data_An_Cour!$V:$V,$A5)</f>
        <v>2590519.04</v>
      </c>
      <c r="C5" s="556"/>
      <c r="D5" s="8" t="s">
        <v>9</v>
      </c>
      <c r="E5" s="588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92">
        <f>SUM(B5)</f>
        <v>2590519.04</v>
      </c>
      <c r="C6" s="557"/>
      <c r="D6" s="10"/>
      <c r="E6" s="58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89"/>
      <c r="C7" s="556"/>
      <c r="D7" s="9" t="s">
        <v>11</v>
      </c>
      <c r="E7" s="595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89">
        <f>SUMIFS(BV_Data_An_Cour!$P:$P,BV_Data_An_Cour!$U:$U,$A$1,BV_Data_An_Cour!$V:$V,$A8)</f>
        <v>495338.93</v>
      </c>
      <c r="C8" s="556"/>
      <c r="D8" s="10"/>
      <c r="E8" s="58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89">
        <f>SUMIFS(BV_Data_An_Cour!$P:$P,BV_Data_An_Cour!$U:$U,$A$1,BV_Data_An_Cour!$V:$V,$A9)</f>
        <v>200708.19</v>
      </c>
      <c r="C9" s="556"/>
      <c r="D9" s="10" t="s">
        <v>14</v>
      </c>
      <c r="E9" s="589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89">
        <f>SUMIFS(BV_Data_An_Cour!$P:$P,BV_Data_An_Cour!$U:$U,$A$1,BV_Data_An_Cour!$V:$V,$A10)</f>
        <v>61395.65</v>
      </c>
      <c r="C10" s="556"/>
      <c r="D10" s="10" t="s">
        <v>16</v>
      </c>
      <c r="E10" s="589">
        <f>-SUMIFS(BV_Data_An_Cour!$P:$P,BV_Data_An_Cour!$U:$U,$A$1,BV_Data_An_Cour!$V:$V,$D10)</f>
        <v>-144792.09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89">
        <f>SUMIFS(BV_Data_An_Cour!$P:$P,BV_Data_An_Cour!$U:$U,$A$1,BV_Data_An_Cour!$V:$V,$A11)</f>
        <v>81355.210000000006</v>
      </c>
      <c r="C11" s="556"/>
      <c r="D11" s="10" t="s">
        <v>18</v>
      </c>
      <c r="E11" s="589">
        <f>-SUMIFS(BV_Data_An_Cour!$P:$P,BV_Data_An_Cour!$U:$U,$A$1,BV_Data_An_Cour!$V:$V,$D11)</f>
        <v>58712.319999999978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89">
        <f>SUMIFS(BV_Data_An_Cour!$P:$P,BV_Data_An_Cour!$U:$U,$A$1,BV_Data_An_Cour!$V:$V,$A12)</f>
        <v>87408.31</v>
      </c>
      <c r="C12" s="556"/>
      <c r="D12" s="10" t="s">
        <v>20</v>
      </c>
      <c r="E12" s="589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89">
        <f>SUMIFS(BV_Data_An_Cour!$P:$P,BV_Data_An_Cour!$U:$U,$A$1,BV_Data_An_Cour!$V:$V,$A13)</f>
        <v>29016.22</v>
      </c>
      <c r="C13" s="556"/>
      <c r="D13" s="10" t="s">
        <v>22</v>
      </c>
      <c r="E13" s="589">
        <f>-SUMIFS(BV_Data_An_Cour!$P:$P,BV_Data_An_Cour!$U:$U,$A$1,BV_Data_An_Cour!$V:$V,$D13)</f>
        <v>3850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89">
        <f>SUMIFS(BV_Data_An_Cour!$P:$P,BV_Data_An_Cour!$U:$U,$A$1,BV_Data_An_Cour!$V:$V,$A14)</f>
        <v>0</v>
      </c>
      <c r="C14" s="556"/>
      <c r="D14" s="10" t="s">
        <v>24</v>
      </c>
      <c r="E14" s="589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89">
        <f>SUMIFS(BV_Data_An_Cour!$P:$P,BV_Data_An_Cour!$U:$U,$A$1,BV_Data_An_Cour!$V:$V,$A15)</f>
        <v>56528.549999999996</v>
      </c>
      <c r="C15" s="556"/>
      <c r="D15" s="10" t="s">
        <v>26</v>
      </c>
      <c r="E15" s="589">
        <f>-SUMIFS(BV_Data_An_Cour!$P:$P,BV_Data_An_Cour!$U:$U,$A$1,BV_Data_An_Cour!$V:$V,$D15)</f>
        <v>230899.55000000002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92">
        <f>+SUM(B8:B15)</f>
        <v>1011751.06</v>
      </c>
      <c r="C16" s="557"/>
      <c r="D16" s="9" t="s">
        <v>28</v>
      </c>
      <c r="E16" s="595">
        <f>+SUM(E10:E15)</f>
        <v>148669.78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89"/>
      <c r="C17" s="556"/>
      <c r="D17" s="11"/>
      <c r="E17" s="58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89">
        <f>SUMIFS(BV_Data_An_Cour!$P:$P,BV_Data_An_Cour!$U:$U,$A$1,BV_Data_An_Cour!$V:$V,$A18)</f>
        <v>3553237</v>
      </c>
      <c r="C18" s="556"/>
      <c r="D18" s="10" t="s">
        <v>30</v>
      </c>
      <c r="E18" s="589">
        <f>-SUMIFS(BV_Data_An_Cour!$P:$P,BV_Data_An_Cour!$U:$U,$A$1,BV_Data_An_Cour!$V:$V,$D18)</f>
        <v>4383477.9400000004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89">
        <f>SUMIFS(BV_Data_An_Cour!$P:$P,BV_Data_An_Cour!$U:$U,$A$1,BV_Data_An_Cour!$V:$V,$A19)</f>
        <v>1282311.23</v>
      </c>
      <c r="C19" s="556"/>
      <c r="D19" s="10" t="s">
        <v>32</v>
      </c>
      <c r="E19" s="589">
        <f>-SUMIFS(BV_Data_An_Cour!$P:$P,BV_Data_An_Cour!$U:$U,$A$1,BV_Data_An_Cour!$V:$V,$D19)</f>
        <v>345495.8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89">
        <f>SUMIFS(BV_Data_An_Cour!$P:$P,BV_Data_An_Cour!$U:$U,$A$1,BV_Data_An_Cour!$V:$V,$A20)</f>
        <v>389300.39</v>
      </c>
      <c r="C20" s="556"/>
      <c r="D20" s="9" t="s">
        <v>34</v>
      </c>
      <c r="E20" s="595">
        <f>+SUM(E18:E19)</f>
        <v>4728973.74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92">
        <f>SUM(B18:B20)</f>
        <v>5224848.62</v>
      </c>
      <c r="C21" s="557"/>
      <c r="D21" s="10"/>
      <c r="E21" s="58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89"/>
      <c r="C22" s="556"/>
      <c r="D22" s="10" t="s">
        <v>36</v>
      </c>
      <c r="E22" s="589">
        <f>-SUMIFS(BV_Data_An_Cour!$P:$P,BV_Data_An_Cour!$U:$U,$A$1,BV_Data_An_Cour!$V:$V,$D22)</f>
        <v>371498.91000000003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89">
        <f>SUMIFS(BV_Data_An_Cour!$P:$P,BV_Data_An_Cour!$U:$U,$A$1,BV_Data_An_Cour!$V:$V,$A23)</f>
        <v>0</v>
      </c>
      <c r="C23" s="556"/>
      <c r="D23" s="10" t="s">
        <v>38</v>
      </c>
      <c r="E23" s="589">
        <f>-SUMIFS(BV_Data_An_Cour!$P:$P,BV_Data_An_Cour!$U:$U,$A$1,BV_Data_An_Cour!$V:$V,$D23)</f>
        <v>20587.13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89">
        <f>SUMIFS(BV_Data_An_Cour!$P:$P,BV_Data_An_Cour!$U:$U,$A$1,BV_Data_An_Cour!$V:$V,$A24)</f>
        <v>7123.04</v>
      </c>
      <c r="C24" s="556"/>
      <c r="D24" s="10" t="s">
        <v>40</v>
      </c>
      <c r="E24" s="589">
        <f>-SUMIFS(BV_Data_An_Cour!$P:$P,BV_Data_An_Cour!$U:$U,$A$1,BV_Data_An_Cour!$V:$V,$D24)</f>
        <v>34676.97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89">
        <f>SUMIFS(BV_Data_An_Cour!$P:$P,BV_Data_An_Cour!$U:$U,$A$1,BV_Data_An_Cour!$V:$V,$A25)</f>
        <v>-4121.42</v>
      </c>
      <c r="C25" s="556"/>
      <c r="D25" s="10" t="s">
        <v>42</v>
      </c>
      <c r="E25" s="589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89">
        <f>SUMIFS(BV_Data_An_Cour!$P:$P,BV_Data_An_Cour!$U:$U,$A$1,BV_Data_An_Cour!$V:$V,$A26)</f>
        <v>98829.069999999992</v>
      </c>
      <c r="C26" s="556"/>
      <c r="D26" s="10" t="s">
        <v>42</v>
      </c>
      <c r="E26" s="589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89">
        <f>SUMIFS(BV_Data_An_Cour!$P:$P,BV_Data_An_Cour!$U:$U,$A$1,BV_Data_An_Cour!$V:$V,$A27)</f>
        <v>0</v>
      </c>
      <c r="C27" s="556"/>
      <c r="D27" s="10" t="s">
        <v>42</v>
      </c>
      <c r="E27" s="589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89">
        <f>SUMIFS(BV_Data_An_Cour!$P:$P,BV_Data_An_Cour!$U:$U,$A$1,BV_Data_An_Cour!$V:$V,$A28)</f>
        <v>0</v>
      </c>
      <c r="C28" s="556"/>
      <c r="D28" s="9" t="s">
        <v>44</v>
      </c>
      <c r="E28" s="595">
        <f>SUM(E22:E24)</f>
        <v>426763.01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89">
        <f>SUMIFS(BV_Data_An_Cour!$P:$P,BV_Data_An_Cour!$U:$U,$A$1,BV_Data_An_Cour!$V:$V,$A29)</f>
        <v>0</v>
      </c>
      <c r="C29" s="556"/>
      <c r="D29" s="10"/>
      <c r="E29" s="58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92">
        <f>SUM(B23:B29)</f>
        <v>101830.68999999999</v>
      </c>
      <c r="C30" s="557"/>
      <c r="D30" s="12" t="s">
        <v>46</v>
      </c>
      <c r="E30" s="590">
        <f>+E5+E7+E16+E20+E28</f>
        <v>5320216.53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89"/>
      <c r="C31" s="556"/>
      <c r="D31" s="13"/>
      <c r="E31" s="59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90">
        <f>+B6+B16+B21+B30</f>
        <v>8928949.4100000001</v>
      </c>
      <c r="C32" s="558"/>
      <c r="D32" s="14"/>
      <c r="E32" s="58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91"/>
      <c r="C33" s="559"/>
      <c r="D33" s="9" t="s">
        <v>48</v>
      </c>
      <c r="E33" s="59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89"/>
      <c r="C34" s="560"/>
      <c r="D34" s="10"/>
      <c r="E34" s="58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89">
        <f>SUMIFS(BV_Data_An_Cour!$P:$P,BV_Data_An_Cour!$U:$U,$A$1,BV_Data_An_Cour!$V:$V,$A35)</f>
        <v>0</v>
      </c>
      <c r="C35" s="560"/>
      <c r="D35" s="10" t="s">
        <v>50</v>
      </c>
      <c r="E35" s="589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89">
        <f>SUMIFS(BV_Data_An_Cour!$P:$P,BV_Data_An_Cour!$U:$U,$A$1,BV_Data_An_Cour!$V:$V,$A36)</f>
        <v>0</v>
      </c>
      <c r="C36" s="560"/>
      <c r="D36" s="10" t="s">
        <v>52</v>
      </c>
      <c r="E36" s="589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89">
        <f>SUMIFS(BV_Data_An_Cour!$P:$P,BV_Data_An_Cour!$U:$U,$A$1,BV_Data_An_Cour!$V:$V,$A37)</f>
        <v>969.30999999999767</v>
      </c>
      <c r="C37" s="560"/>
      <c r="D37" s="10" t="s">
        <v>54</v>
      </c>
      <c r="E37" s="589">
        <f>-SUMIFS(BV_Data_An_Cour!$P:$P,BV_Data_An_Cour!$U:$U,$A$1,BV_Data_An_Cour!$V:$V,$D37)</f>
        <v>27109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89">
        <f>SUMIFS(BV_Data_An_Cour!$P:$P,BV_Data_An_Cour!$U:$U,$A$1,BV_Data_An_Cour!$V:$V,$A38)</f>
        <v>0</v>
      </c>
      <c r="C38" s="560"/>
      <c r="D38" s="10" t="s">
        <v>56</v>
      </c>
      <c r="E38" s="589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89">
        <f>SUMIFS(BV_Data_An_Cour!$P:$P,BV_Data_An_Cour!$U:$U,$A$1,BV_Data_An_Cour!$V:$V,$A39)</f>
        <v>185175.80000000005</v>
      </c>
      <c r="C39" s="560"/>
      <c r="D39" s="10" t="s">
        <v>42</v>
      </c>
      <c r="E39" s="589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89">
        <f>SUMIFS(BV_Data_An_Cour!$P:$P,BV_Data_An_Cour!$U:$U,$A$1,BV_Data_An_Cour!$V:$V,$A40)</f>
        <v>35713.950000000012</v>
      </c>
      <c r="C40" s="560"/>
      <c r="D40" s="10" t="s">
        <v>42</v>
      </c>
      <c r="E40" s="589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89">
        <f>SUMIFS(BV_Data_An_Cour!$P:$P,BV_Data_An_Cour!$U:$U,$A$1,BV_Data_An_Cour!$V:$V,$A41)</f>
        <v>24410.660000000003</v>
      </c>
      <c r="C41" s="560"/>
      <c r="D41" s="10" t="s">
        <v>42</v>
      </c>
      <c r="E41" s="589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89">
        <f>SUMIFS(BV_Data_An_Cour!$P:$P,BV_Data_An_Cour!$U:$U,$A$1,BV_Data_An_Cour!$V:$V,$A42)</f>
        <v>20</v>
      </c>
      <c r="C42" s="560"/>
      <c r="D42" s="12" t="s">
        <v>61</v>
      </c>
      <c r="E42" s="590">
        <f>+SUM(E33:E38)</f>
        <v>27109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89">
        <f>SUMIFS(BV_Data_An_Cour!$P:$P,BV_Data_An_Cour!$U:$U,$A$1,BV_Data_An_Cour!$V:$V,$A43)</f>
        <v>-184.98999999999069</v>
      </c>
      <c r="C43" s="560"/>
      <c r="D43" s="13"/>
      <c r="E43" s="59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92">
        <f>SUM(B35:B43)</f>
        <v>246104.73000000007</v>
      </c>
      <c r="C44" s="561"/>
      <c r="D44" s="10"/>
      <c r="E44" s="58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89"/>
      <c r="C45" s="560"/>
      <c r="D45" s="12" t="s">
        <v>64</v>
      </c>
      <c r="E45" s="590">
        <f>+E42+E30</f>
        <v>5347325.53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95">
        <f>SUMIFS(BV_Data_An_Cour!$P:$P,BV_Data_An_Cour!$U:$U,$A$1,BV_Data_An_Cour!$V:$V,$A46)</f>
        <v>1623600</v>
      </c>
      <c r="C46" s="561"/>
      <c r="D46" s="13"/>
      <c r="E46" s="59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89"/>
      <c r="C47" s="560"/>
      <c r="D47" s="10"/>
      <c r="E47" s="58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95">
        <f>SUMIFS(BV_Data_An_Cour!$P:$P,BV_Data_An_Cour!$U:$U,$A$1,BV_Data_An_Cour!$V:$V,$A48)</f>
        <v>0</v>
      </c>
      <c r="C48" s="561"/>
      <c r="D48" s="10" t="s">
        <v>67</v>
      </c>
      <c r="E48" s="589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89"/>
      <c r="C49" s="560"/>
      <c r="D49" s="10" t="s">
        <v>68</v>
      </c>
      <c r="E49" s="589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89">
        <f>SUMIFS(BV_Data_An_Cour!$P:$P,BV_Data_An_Cour!$U:$U,$A$1,BV_Data_An_Cour!$V:$V,$A50)</f>
        <v>0</v>
      </c>
      <c r="C50" s="560"/>
      <c r="D50" s="10" t="s">
        <v>69</v>
      </c>
      <c r="E50" s="589">
        <f>-SUMIFS(BV_Data_An_Cour!$P:$P,BV_Data_An_Cour!$U:$U,$A$1,BV_Data_An_Cour!$V:$V,$D50)+Print_AAD!AF497</f>
        <v>940360.1100000001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89">
        <f>SUMIFS(BV_Data_An_Cour!$P:$P,BV_Data_An_Cour!$U:$U,$A$1,BV_Data_An_Cour!$V:$V,$A51)</f>
        <v>0</v>
      </c>
      <c r="C51" s="560"/>
      <c r="D51" s="10" t="s">
        <v>70</v>
      </c>
      <c r="E51" s="589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89">
        <f>SUMIFS(BV_Data_An_Cour!$P:$P,BV_Data_An_Cour!$U:$U,$A$1,BV_Data_An_Cour!$V:$V,$A52)</f>
        <v>0</v>
      </c>
      <c r="C52" s="560"/>
      <c r="D52" s="16"/>
      <c r="E52" s="59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90">
        <f>+B44+B48+B46</f>
        <v>1869704.73</v>
      </c>
      <c r="C53" s="558"/>
      <c r="D53" s="12" t="s">
        <v>72</v>
      </c>
      <c r="E53" s="590">
        <f>SUM(E48:E51)</f>
        <v>5361524.6100000003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91"/>
      <c r="C54" s="559"/>
      <c r="D54" s="13"/>
      <c r="E54" s="59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89"/>
      <c r="C55" s="560"/>
      <c r="D55" s="14"/>
      <c r="E55" s="58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90">
        <f>+B32+B53</f>
        <v>10798654.140000001</v>
      </c>
      <c r="C56" s="558"/>
      <c r="D56" s="12" t="s">
        <v>74</v>
      </c>
      <c r="E56" s="590">
        <f>+E53+E45</f>
        <v>10708850.140000001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91"/>
      <c r="C57" s="559"/>
      <c r="D57" s="13"/>
      <c r="E57" s="59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6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7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7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7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7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7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89804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70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70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70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7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7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7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7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7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7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7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7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7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7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7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7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7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7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7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7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7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7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7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7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7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7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7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7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7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7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7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7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7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7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7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7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7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7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7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7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7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7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7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7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7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7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7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7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7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7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7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7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7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7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7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7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7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7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7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7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7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7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7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7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7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3298-DC85-49D2-9D29-7E956E15966D}">
  <dimension ref="A1:HK1127"/>
  <sheetViews>
    <sheetView zoomScale="55" zoomScaleNormal="55" zoomScaleSheetLayoutView="55" workbookViewId="0">
      <pane xSplit="2" ySplit="1" topLeftCell="C2" activePane="bottomRight" state="frozen"/>
      <selection activeCell="B103" sqref="B103"/>
      <selection pane="topRight" activeCell="B103" sqref="B103"/>
      <selection pane="bottomLeft" activeCell="B103" sqref="B103"/>
      <selection pane="bottomRight" activeCell="D37" sqref="D37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99" t="str">
        <f>"Budget 2021 Mensuel"&amp;" "&amp;Parametres!$B$1</f>
        <v>Budget 2021 Mensuel Volks</v>
      </c>
      <c r="C1" s="1099"/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099"/>
      <c r="O1" s="1099"/>
      <c r="P1" s="1099"/>
      <c r="Q1" s="1099"/>
      <c r="R1" s="1099"/>
      <c r="S1" s="1099"/>
      <c r="T1" s="1099"/>
      <c r="U1" s="1099"/>
      <c r="V1" s="1099"/>
      <c r="W1" s="1099"/>
      <c r="X1" s="1099"/>
      <c r="Y1" s="1099"/>
      <c r="Z1" s="1099"/>
      <c r="AA1" s="1099"/>
      <c r="AB1" s="1099"/>
      <c r="AC1" s="1099"/>
      <c r="AD1" s="1099"/>
      <c r="AE1" s="1099"/>
      <c r="AF1" s="1099"/>
      <c r="AG1" s="1099"/>
      <c r="AH1" s="1099"/>
      <c r="AI1" s="1099"/>
      <c r="AJ1" s="1099"/>
      <c r="AK1" s="1099"/>
      <c r="AL1" s="1099"/>
      <c r="AM1" s="1099"/>
      <c r="AN1" s="1099"/>
      <c r="AO1" s="1099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18"/>
      <c r="B4" s="618" t="s">
        <v>1932</v>
      </c>
      <c r="C4" s="1100" t="s">
        <v>75</v>
      </c>
      <c r="D4" s="1100"/>
      <c r="E4" s="1100"/>
      <c r="F4" s="1100"/>
      <c r="G4" s="1100"/>
      <c r="H4" s="1100"/>
      <c r="I4" s="1100"/>
      <c r="J4" s="1100"/>
      <c r="K4" s="1100"/>
      <c r="L4" s="1100"/>
      <c r="M4" s="1100"/>
      <c r="N4" s="1100"/>
      <c r="O4" s="1100"/>
      <c r="P4" s="1100"/>
      <c r="Q4" s="1100"/>
      <c r="R4" s="1100"/>
      <c r="S4" s="1100"/>
      <c r="T4" s="1100"/>
      <c r="U4" s="1100"/>
      <c r="V4" s="1100"/>
      <c r="W4" s="1100"/>
      <c r="X4" s="1100"/>
      <c r="Y4" s="1100"/>
      <c r="Z4" s="1100"/>
      <c r="AA4" s="1100"/>
      <c r="AB4" s="1100"/>
      <c r="AC4" s="1100"/>
      <c r="AD4" s="1100"/>
      <c r="AE4" s="1100"/>
      <c r="AF4" s="1100"/>
      <c r="AG4" s="1100"/>
      <c r="AH4" s="1100"/>
      <c r="AI4" s="1100"/>
      <c r="AJ4" s="1100"/>
      <c r="AK4" s="1100"/>
      <c r="AL4" s="1100"/>
      <c r="AM4" s="1100"/>
      <c r="AN4" s="1100"/>
      <c r="AO4" s="1100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96" t="s">
        <v>1639</v>
      </c>
      <c r="D6" s="1097"/>
      <c r="E6" s="1098"/>
      <c r="F6" s="1096" t="s">
        <v>1934</v>
      </c>
      <c r="G6" s="1097"/>
      <c r="H6" s="1098"/>
      <c r="I6" s="1096" t="s">
        <v>1935</v>
      </c>
      <c r="J6" s="1097"/>
      <c r="K6" s="1098"/>
      <c r="L6" s="1096" t="s">
        <v>1936</v>
      </c>
      <c r="M6" s="1097"/>
      <c r="N6" s="1098"/>
      <c r="O6" s="1096" t="s">
        <v>1937</v>
      </c>
      <c r="P6" s="1097"/>
      <c r="Q6" s="1098"/>
      <c r="R6" s="1096" t="s">
        <v>1938</v>
      </c>
      <c r="S6" s="1097"/>
      <c r="T6" s="1098"/>
      <c r="U6" s="1096" t="s">
        <v>1916</v>
      </c>
      <c r="V6" s="1097"/>
      <c r="W6" s="1098"/>
      <c r="X6" s="1096" t="s">
        <v>1939</v>
      </c>
      <c r="Y6" s="1097"/>
      <c r="Z6" s="1098"/>
      <c r="AA6" s="1096" t="s">
        <v>1940</v>
      </c>
      <c r="AB6" s="1097"/>
      <c r="AC6" s="1098"/>
      <c r="AD6" s="1096" t="s">
        <v>3</v>
      </c>
      <c r="AE6" s="1097"/>
      <c r="AF6" s="1098"/>
      <c r="AG6" s="1096" t="s">
        <v>1941</v>
      </c>
      <c r="AH6" s="1097"/>
      <c r="AI6" s="1098"/>
      <c r="AJ6" s="1096" t="s">
        <v>1942</v>
      </c>
      <c r="AK6" s="1097"/>
      <c r="AL6" s="1098"/>
      <c r="AM6" s="1096" t="s">
        <v>1943</v>
      </c>
      <c r="AN6" s="1097"/>
      <c r="AO6" s="1098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96" t="s">
        <v>1639</v>
      </c>
      <c r="D94" s="1097"/>
      <c r="E94" s="1098"/>
      <c r="F94" s="1096" t="s">
        <v>1934</v>
      </c>
      <c r="G94" s="1097"/>
      <c r="H94" s="1098"/>
      <c r="I94" s="1096" t="s">
        <v>1935</v>
      </c>
      <c r="J94" s="1097"/>
      <c r="K94" s="1098"/>
      <c r="L94" s="1096" t="s">
        <v>1936</v>
      </c>
      <c r="M94" s="1097"/>
      <c r="N94" s="1098"/>
      <c r="O94" s="1096" t="s">
        <v>1937</v>
      </c>
      <c r="P94" s="1097"/>
      <c r="Q94" s="1098"/>
      <c r="R94" s="1096" t="s">
        <v>1938</v>
      </c>
      <c r="S94" s="1097"/>
      <c r="T94" s="1098"/>
      <c r="U94" s="1096" t="s">
        <v>1916</v>
      </c>
      <c r="V94" s="1097"/>
      <c r="W94" s="1098"/>
      <c r="X94" s="1096" t="s">
        <v>1939</v>
      </c>
      <c r="Y94" s="1097"/>
      <c r="Z94" s="1098"/>
      <c r="AA94" s="1096" t="s">
        <v>1940</v>
      </c>
      <c r="AB94" s="1097"/>
      <c r="AC94" s="1098"/>
      <c r="AD94" s="1096" t="s">
        <v>3</v>
      </c>
      <c r="AE94" s="1097"/>
      <c r="AF94" s="1098"/>
      <c r="AG94" s="1096" t="s">
        <v>1941</v>
      </c>
      <c r="AH94" s="1097"/>
      <c r="AI94" s="1098"/>
      <c r="AJ94" s="1096" t="s">
        <v>1942</v>
      </c>
      <c r="AK94" s="1097"/>
      <c r="AL94" s="1098"/>
      <c r="AM94" s="1096" t="s">
        <v>1943</v>
      </c>
      <c r="AN94" s="1097"/>
      <c r="AO94" s="1098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96" t="s">
        <v>1639</v>
      </c>
      <c r="D172" s="1097"/>
      <c r="E172" s="1098"/>
      <c r="F172" s="1096" t="s">
        <v>1934</v>
      </c>
      <c r="G172" s="1097"/>
      <c r="H172" s="1098"/>
      <c r="I172" s="1096" t="s">
        <v>1935</v>
      </c>
      <c r="J172" s="1097"/>
      <c r="K172" s="1098"/>
      <c r="L172" s="1096" t="s">
        <v>1936</v>
      </c>
      <c r="M172" s="1097"/>
      <c r="N172" s="1098"/>
      <c r="O172" s="1096" t="s">
        <v>1937</v>
      </c>
      <c r="P172" s="1097"/>
      <c r="Q172" s="1098"/>
      <c r="R172" s="1096" t="s">
        <v>1938</v>
      </c>
      <c r="S172" s="1097"/>
      <c r="T172" s="1098"/>
      <c r="U172" s="1096" t="s">
        <v>1916</v>
      </c>
      <c r="V172" s="1097"/>
      <c r="W172" s="1098"/>
      <c r="X172" s="1096" t="s">
        <v>1939</v>
      </c>
      <c r="Y172" s="1097"/>
      <c r="Z172" s="1098"/>
      <c r="AA172" s="1096" t="s">
        <v>1940</v>
      </c>
      <c r="AB172" s="1097"/>
      <c r="AC172" s="1098"/>
      <c r="AD172" s="1096" t="s">
        <v>3</v>
      </c>
      <c r="AE172" s="1097"/>
      <c r="AF172" s="1098"/>
      <c r="AG172" s="1096" t="s">
        <v>1941</v>
      </c>
      <c r="AH172" s="1097"/>
      <c r="AI172" s="1098"/>
      <c r="AJ172" s="1096" t="s">
        <v>1942</v>
      </c>
      <c r="AK172" s="1097"/>
      <c r="AL172" s="1098"/>
      <c r="AM172" s="1096" t="s">
        <v>1943</v>
      </c>
      <c r="AN172" s="1097"/>
      <c r="AO172" s="1098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96" t="s">
        <v>1639</v>
      </c>
      <c r="D239" s="1097"/>
      <c r="E239" s="1098"/>
      <c r="F239" s="1096" t="s">
        <v>1934</v>
      </c>
      <c r="G239" s="1097"/>
      <c r="H239" s="1098"/>
      <c r="I239" s="1096" t="s">
        <v>1935</v>
      </c>
      <c r="J239" s="1097"/>
      <c r="K239" s="1098"/>
      <c r="L239" s="1096" t="s">
        <v>1936</v>
      </c>
      <c r="M239" s="1097"/>
      <c r="N239" s="1098"/>
      <c r="O239" s="1096" t="s">
        <v>1937</v>
      </c>
      <c r="P239" s="1097"/>
      <c r="Q239" s="1098"/>
      <c r="R239" s="1096" t="s">
        <v>1938</v>
      </c>
      <c r="S239" s="1097"/>
      <c r="T239" s="1098"/>
      <c r="U239" s="1096" t="s">
        <v>1916</v>
      </c>
      <c r="V239" s="1097"/>
      <c r="W239" s="1098"/>
      <c r="X239" s="1096" t="s">
        <v>1939</v>
      </c>
      <c r="Y239" s="1097"/>
      <c r="Z239" s="1098"/>
      <c r="AA239" s="1096" t="s">
        <v>1940</v>
      </c>
      <c r="AB239" s="1097"/>
      <c r="AC239" s="1098"/>
      <c r="AD239" s="1096" t="s">
        <v>3</v>
      </c>
      <c r="AE239" s="1097"/>
      <c r="AF239" s="1098"/>
      <c r="AG239" s="1096" t="s">
        <v>1941</v>
      </c>
      <c r="AH239" s="1097"/>
      <c r="AI239" s="1098"/>
      <c r="AJ239" s="1096" t="s">
        <v>1942</v>
      </c>
      <c r="AK239" s="1097"/>
      <c r="AL239" s="1098"/>
      <c r="AM239" s="1096" t="s">
        <v>1943</v>
      </c>
      <c r="AN239" s="1097"/>
      <c r="AO239" s="1098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96" t="s">
        <v>1639</v>
      </c>
      <c r="D293" s="1097"/>
      <c r="E293" s="1098"/>
      <c r="F293" s="1096" t="s">
        <v>1934</v>
      </c>
      <c r="G293" s="1097"/>
      <c r="H293" s="1098"/>
      <c r="I293" s="1096" t="s">
        <v>1935</v>
      </c>
      <c r="J293" s="1097"/>
      <c r="K293" s="1098"/>
      <c r="L293" s="1096" t="s">
        <v>1936</v>
      </c>
      <c r="M293" s="1097"/>
      <c r="N293" s="1098"/>
      <c r="O293" s="1096" t="s">
        <v>1937</v>
      </c>
      <c r="P293" s="1097"/>
      <c r="Q293" s="1098"/>
      <c r="R293" s="1096" t="s">
        <v>1938</v>
      </c>
      <c r="S293" s="1097"/>
      <c r="T293" s="1098"/>
      <c r="U293" s="1096" t="s">
        <v>1916</v>
      </c>
      <c r="V293" s="1097"/>
      <c r="W293" s="1098"/>
      <c r="X293" s="1096" t="s">
        <v>1939</v>
      </c>
      <c r="Y293" s="1097"/>
      <c r="Z293" s="1098"/>
      <c r="AA293" s="1096" t="s">
        <v>1940</v>
      </c>
      <c r="AB293" s="1097"/>
      <c r="AC293" s="1098"/>
      <c r="AD293" s="1096" t="s">
        <v>3</v>
      </c>
      <c r="AE293" s="1097"/>
      <c r="AF293" s="1098"/>
      <c r="AG293" s="1096" t="s">
        <v>1941</v>
      </c>
      <c r="AH293" s="1097"/>
      <c r="AI293" s="1098"/>
      <c r="AJ293" s="1096" t="s">
        <v>1942</v>
      </c>
      <c r="AK293" s="1097"/>
      <c r="AL293" s="1098"/>
      <c r="AM293" s="1096" t="s">
        <v>1943</v>
      </c>
      <c r="AN293" s="1097"/>
      <c r="AO293" s="1098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96" t="s">
        <v>1639</v>
      </c>
      <c r="D357" s="1097"/>
      <c r="E357" s="1098"/>
      <c r="F357" s="1096" t="s">
        <v>1934</v>
      </c>
      <c r="G357" s="1097"/>
      <c r="H357" s="1098"/>
      <c r="I357" s="1096" t="s">
        <v>1935</v>
      </c>
      <c r="J357" s="1097"/>
      <c r="K357" s="1098"/>
      <c r="L357" s="1096" t="s">
        <v>1936</v>
      </c>
      <c r="M357" s="1097"/>
      <c r="N357" s="1098"/>
      <c r="O357" s="1096" t="s">
        <v>1937</v>
      </c>
      <c r="P357" s="1097"/>
      <c r="Q357" s="1098"/>
      <c r="R357" s="1096" t="s">
        <v>1938</v>
      </c>
      <c r="S357" s="1097"/>
      <c r="T357" s="1098"/>
      <c r="U357" s="1096" t="s">
        <v>1916</v>
      </c>
      <c r="V357" s="1097"/>
      <c r="W357" s="1098"/>
      <c r="X357" s="1096" t="s">
        <v>1939</v>
      </c>
      <c r="Y357" s="1097"/>
      <c r="Z357" s="1098"/>
      <c r="AA357" s="1096" t="s">
        <v>1940</v>
      </c>
      <c r="AB357" s="1097"/>
      <c r="AC357" s="1098"/>
      <c r="AD357" s="1096" t="s">
        <v>3</v>
      </c>
      <c r="AE357" s="1097"/>
      <c r="AF357" s="1098"/>
      <c r="AG357" s="1096" t="s">
        <v>1941</v>
      </c>
      <c r="AH357" s="1097"/>
      <c r="AI357" s="1098"/>
      <c r="AJ357" s="1096" t="s">
        <v>1942</v>
      </c>
      <c r="AK357" s="1097"/>
      <c r="AL357" s="1098"/>
      <c r="AM357" s="1096" t="s">
        <v>1943</v>
      </c>
      <c r="AN357" s="1097"/>
      <c r="AO357" s="1098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96" t="s">
        <v>1639</v>
      </c>
      <c r="D403" s="1097"/>
      <c r="E403" s="1098"/>
      <c r="F403" s="1096" t="s">
        <v>1934</v>
      </c>
      <c r="G403" s="1097"/>
      <c r="H403" s="1098"/>
      <c r="I403" s="1096" t="s">
        <v>1935</v>
      </c>
      <c r="J403" s="1097"/>
      <c r="K403" s="1098"/>
      <c r="L403" s="1096" t="s">
        <v>1936</v>
      </c>
      <c r="M403" s="1097"/>
      <c r="N403" s="1098"/>
      <c r="O403" s="1096" t="s">
        <v>1937</v>
      </c>
      <c r="P403" s="1097"/>
      <c r="Q403" s="1098"/>
      <c r="R403" s="1096" t="s">
        <v>1938</v>
      </c>
      <c r="S403" s="1097"/>
      <c r="T403" s="1098"/>
      <c r="U403" s="1096" t="s">
        <v>1916</v>
      </c>
      <c r="V403" s="1097"/>
      <c r="W403" s="1098"/>
      <c r="X403" s="1096" t="s">
        <v>1939</v>
      </c>
      <c r="Y403" s="1097"/>
      <c r="Z403" s="1098"/>
      <c r="AA403" s="1096" t="s">
        <v>1940</v>
      </c>
      <c r="AB403" s="1097"/>
      <c r="AC403" s="1098"/>
      <c r="AD403" s="1096" t="s">
        <v>3</v>
      </c>
      <c r="AE403" s="1097"/>
      <c r="AF403" s="1098"/>
      <c r="AG403" s="1096" t="s">
        <v>1941</v>
      </c>
      <c r="AH403" s="1097"/>
      <c r="AI403" s="1098"/>
      <c r="AJ403" s="1096" t="s">
        <v>1942</v>
      </c>
      <c r="AK403" s="1097"/>
      <c r="AL403" s="1098"/>
      <c r="AM403" s="1096" t="s">
        <v>1943</v>
      </c>
      <c r="AN403" s="1097"/>
      <c r="AO403" s="1098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694D-B478-4CC9-841B-4AC9216D2C9E}">
  <dimension ref="B1:M67"/>
  <sheetViews>
    <sheetView zoomScaleNormal="100" workbookViewId="0">
      <selection activeCell="P30" sqref="P30"/>
    </sheetView>
  </sheetViews>
  <sheetFormatPr baseColWidth="10" defaultRowHeight="15"/>
  <cols>
    <col min="1" max="1" width="1.75" style="671" customWidth="1"/>
    <col min="2" max="2" width="23.25" style="671" customWidth="1"/>
    <col min="3" max="12" width="11.75" style="671" customWidth="1"/>
    <col min="13" max="13" width="58.625" style="671" customWidth="1"/>
    <col min="14" max="16" width="3.125" style="671" customWidth="1"/>
    <col min="17" max="16384" width="11" style="671"/>
  </cols>
  <sheetData>
    <row r="1" spans="2:13" ht="15.75">
      <c r="B1" s="1101" t="str">
        <f>Parametres!$B$1&amp;" "&amp;"2 pager"&amp;" "&amp;Parametres!$B$3&amp;" "&amp;Parametres!$B$4</f>
        <v>Volks 2 pager Janvier 2021</v>
      </c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</row>
    <row r="2" spans="2:13">
      <c r="B2" s="688"/>
    </row>
    <row r="3" spans="2:13">
      <c r="B3" s="682" t="s">
        <v>1951</v>
      </c>
      <c r="C3" s="683" t="s">
        <v>1952</v>
      </c>
      <c r="D3" s="684" t="s">
        <v>1975</v>
      </c>
      <c r="E3" s="684" t="s">
        <v>6</v>
      </c>
      <c r="F3" s="685">
        <v>2019</v>
      </c>
      <c r="G3" s="686" t="s">
        <v>1978</v>
      </c>
      <c r="H3" s="684" t="s">
        <v>1976</v>
      </c>
      <c r="I3" s="687" t="s">
        <v>1953</v>
      </c>
      <c r="J3" s="686" t="s">
        <v>1979</v>
      </c>
      <c r="K3" s="684" t="s">
        <v>1977</v>
      </c>
      <c r="L3" s="687" t="s">
        <v>1954</v>
      </c>
      <c r="M3" s="682" t="s">
        <v>1972</v>
      </c>
    </row>
    <row r="4" spans="2:13">
      <c r="B4" s="672" t="s">
        <v>1955</v>
      </c>
      <c r="C4" s="695">
        <f>+Print_Mois!$J$13+Print_Mois!$J$15</f>
        <v>24</v>
      </c>
      <c r="D4" s="696"/>
      <c r="E4" s="696"/>
      <c r="F4" s="697"/>
      <c r="G4" s="698">
        <f t="shared" ref="G4:H13" si="0">+$C4-D4</f>
        <v>24</v>
      </c>
      <c r="H4" s="696">
        <f t="shared" si="0"/>
        <v>24</v>
      </c>
      <c r="I4" s="699">
        <f t="shared" ref="I4:I13" si="1">+$C4-F4</f>
        <v>24</v>
      </c>
      <c r="J4" s="715">
        <f>+G4/$C4</f>
        <v>1</v>
      </c>
      <c r="K4" s="716">
        <f>+H4/$C4</f>
        <v>1</v>
      </c>
      <c r="L4" s="717">
        <f>+I4/$C4</f>
        <v>1</v>
      </c>
      <c r="M4" s="1102"/>
    </row>
    <row r="5" spans="2:13">
      <c r="B5" s="673" t="s">
        <v>1956</v>
      </c>
      <c r="C5" s="714">
        <f>+Print_Mois!$L$13+Print_Mois!$L$15</f>
        <v>29294.350000000097</v>
      </c>
      <c r="D5" s="718"/>
      <c r="E5" s="718"/>
      <c r="F5" s="719"/>
      <c r="G5" s="720">
        <f t="shared" si="0"/>
        <v>29294.350000000097</v>
      </c>
      <c r="H5" s="718">
        <f t="shared" si="0"/>
        <v>29294.350000000097</v>
      </c>
      <c r="I5" s="721">
        <f t="shared" si="1"/>
        <v>29294.350000000097</v>
      </c>
      <c r="J5" s="722">
        <f t="shared" ref="J5:K15" si="2">+G5/$C5</f>
        <v>1</v>
      </c>
      <c r="K5" s="723">
        <f t="shared" si="2"/>
        <v>1</v>
      </c>
      <c r="L5" s="724">
        <f t="shared" ref="L5:L15" si="3">+I5/$C5</f>
        <v>1</v>
      </c>
      <c r="M5" s="1103"/>
    </row>
    <row r="6" spans="2:13">
      <c r="B6" s="673" t="s">
        <v>1957</v>
      </c>
      <c r="C6" s="714">
        <f>+C5/C4</f>
        <v>1220.5979166666707</v>
      </c>
      <c r="D6" s="718"/>
      <c r="E6" s="718"/>
      <c r="F6" s="719"/>
      <c r="G6" s="720">
        <f t="shared" si="0"/>
        <v>1220.5979166666707</v>
      </c>
      <c r="H6" s="718">
        <f t="shared" si="0"/>
        <v>1220.5979166666707</v>
      </c>
      <c r="I6" s="721">
        <f t="shared" si="1"/>
        <v>1220.5979166666707</v>
      </c>
      <c r="J6" s="722">
        <f t="shared" si="2"/>
        <v>1</v>
      </c>
      <c r="K6" s="723">
        <f t="shared" si="2"/>
        <v>1</v>
      </c>
      <c r="L6" s="724">
        <f t="shared" si="3"/>
        <v>1</v>
      </c>
      <c r="M6" s="1103"/>
    </row>
    <row r="7" spans="2:13">
      <c r="B7" s="673" t="s">
        <v>1958</v>
      </c>
      <c r="C7" s="714">
        <f>+Print_Mois!$L$31</f>
        <v>19537.41</v>
      </c>
      <c r="D7" s="725"/>
      <c r="E7" s="725"/>
      <c r="F7" s="719"/>
      <c r="G7" s="720">
        <f t="shared" si="0"/>
        <v>19537.41</v>
      </c>
      <c r="H7" s="718">
        <f t="shared" si="0"/>
        <v>19537.41</v>
      </c>
      <c r="I7" s="721">
        <f t="shared" si="1"/>
        <v>19537.41</v>
      </c>
      <c r="J7" s="722">
        <f t="shared" si="2"/>
        <v>1</v>
      </c>
      <c r="K7" s="723">
        <f t="shared" si="2"/>
        <v>1</v>
      </c>
      <c r="L7" s="724">
        <f t="shared" si="3"/>
        <v>1</v>
      </c>
      <c r="M7" s="1103"/>
    </row>
    <row r="8" spans="2:13">
      <c r="B8" s="673" t="s">
        <v>1959</v>
      </c>
      <c r="C8" s="726">
        <f>+C7/C5</f>
        <v>0.66693440885358224</v>
      </c>
      <c r="D8" s="727"/>
      <c r="E8" s="727"/>
      <c r="F8" s="728"/>
      <c r="G8" s="729">
        <f t="shared" si="0"/>
        <v>0.66693440885358224</v>
      </c>
      <c r="H8" s="723">
        <f t="shared" si="0"/>
        <v>0.66693440885358224</v>
      </c>
      <c r="I8" s="730">
        <f t="shared" si="1"/>
        <v>0.66693440885358224</v>
      </c>
      <c r="J8" s="722">
        <f t="shared" si="2"/>
        <v>1</v>
      </c>
      <c r="K8" s="723">
        <f t="shared" si="2"/>
        <v>1</v>
      </c>
      <c r="L8" s="724">
        <f t="shared" si="3"/>
        <v>1</v>
      </c>
      <c r="M8" s="1103"/>
    </row>
    <row r="9" spans="2:13">
      <c r="B9" s="673" t="s">
        <v>1960</v>
      </c>
      <c r="C9" s="714">
        <f>+Print_Mois!$L$24</f>
        <v>16592.419999999998</v>
      </c>
      <c r="D9" s="718"/>
      <c r="E9" s="718"/>
      <c r="F9" s="719"/>
      <c r="G9" s="720">
        <f t="shared" si="0"/>
        <v>16592.419999999998</v>
      </c>
      <c r="H9" s="718">
        <f t="shared" si="0"/>
        <v>16592.419999999998</v>
      </c>
      <c r="I9" s="721">
        <f t="shared" si="1"/>
        <v>16592.419999999998</v>
      </c>
      <c r="J9" s="722">
        <f t="shared" si="2"/>
        <v>1</v>
      </c>
      <c r="K9" s="723">
        <f t="shared" si="2"/>
        <v>1</v>
      </c>
      <c r="L9" s="724">
        <f t="shared" si="3"/>
        <v>1</v>
      </c>
      <c r="M9" s="1103"/>
    </row>
    <row r="10" spans="2:13">
      <c r="B10" s="673" t="s">
        <v>1961</v>
      </c>
      <c r="C10" s="714">
        <f>+C9/C4</f>
        <v>691.3508333333333</v>
      </c>
      <c r="D10" s="718"/>
      <c r="E10" s="718"/>
      <c r="F10" s="719"/>
      <c r="G10" s="720">
        <f t="shared" si="0"/>
        <v>691.3508333333333</v>
      </c>
      <c r="H10" s="718">
        <f t="shared" si="0"/>
        <v>691.3508333333333</v>
      </c>
      <c r="I10" s="721">
        <f t="shared" si="1"/>
        <v>691.3508333333333</v>
      </c>
      <c r="J10" s="722">
        <f t="shared" si="2"/>
        <v>1</v>
      </c>
      <c r="K10" s="723">
        <f t="shared" si="2"/>
        <v>1</v>
      </c>
      <c r="L10" s="724">
        <f t="shared" si="3"/>
        <v>1</v>
      </c>
      <c r="M10" s="1103"/>
    </row>
    <row r="11" spans="2:13">
      <c r="B11" s="673" t="s">
        <v>1962</v>
      </c>
      <c r="C11" s="714">
        <f>+Print_Mois!$L$32</f>
        <v>4892.97</v>
      </c>
      <c r="D11" s="718"/>
      <c r="E11" s="718"/>
      <c r="F11" s="719"/>
      <c r="G11" s="720">
        <f t="shared" si="0"/>
        <v>4892.97</v>
      </c>
      <c r="H11" s="718">
        <f t="shared" si="0"/>
        <v>4892.97</v>
      </c>
      <c r="I11" s="721">
        <f t="shared" si="1"/>
        <v>4892.97</v>
      </c>
      <c r="J11" s="722">
        <f t="shared" si="2"/>
        <v>1</v>
      </c>
      <c r="K11" s="723">
        <f t="shared" si="2"/>
        <v>1</v>
      </c>
      <c r="L11" s="724">
        <f t="shared" si="3"/>
        <v>1</v>
      </c>
      <c r="M11" s="1103"/>
    </row>
    <row r="12" spans="2:13">
      <c r="B12" s="673" t="s">
        <v>1963</v>
      </c>
      <c r="C12" s="726">
        <f>+C11/C9</f>
        <v>0.29489188436647584</v>
      </c>
      <c r="D12" s="727"/>
      <c r="E12" s="727"/>
      <c r="F12" s="728"/>
      <c r="G12" s="729">
        <f t="shared" si="0"/>
        <v>0.29489188436647584</v>
      </c>
      <c r="H12" s="723">
        <f t="shared" si="0"/>
        <v>0.29489188436647584</v>
      </c>
      <c r="I12" s="730">
        <f t="shared" si="1"/>
        <v>0.29489188436647584</v>
      </c>
      <c r="J12" s="722">
        <f t="shared" si="2"/>
        <v>1</v>
      </c>
      <c r="K12" s="723">
        <f t="shared" si="2"/>
        <v>1</v>
      </c>
      <c r="L12" s="724">
        <f t="shared" si="3"/>
        <v>1</v>
      </c>
      <c r="M12" s="1103"/>
    </row>
    <row r="13" spans="2:13">
      <c r="B13" s="673" t="s">
        <v>1964</v>
      </c>
      <c r="C13" s="714">
        <f>+Print_Mois!$L$41-C7-C11</f>
        <v>24307.7</v>
      </c>
      <c r="D13" s="718"/>
      <c r="E13" s="718"/>
      <c r="F13" s="719"/>
      <c r="G13" s="720">
        <f t="shared" si="0"/>
        <v>24307.7</v>
      </c>
      <c r="H13" s="718">
        <f t="shared" si="0"/>
        <v>24307.7</v>
      </c>
      <c r="I13" s="721">
        <f t="shared" si="1"/>
        <v>24307.7</v>
      </c>
      <c r="J13" s="722">
        <f t="shared" si="2"/>
        <v>1</v>
      </c>
      <c r="K13" s="723">
        <f t="shared" si="2"/>
        <v>1</v>
      </c>
      <c r="L13" s="724">
        <f t="shared" si="3"/>
        <v>1</v>
      </c>
      <c r="M13" s="1103"/>
    </row>
    <row r="14" spans="2:13">
      <c r="B14" s="673" t="s">
        <v>1965</v>
      </c>
      <c r="C14" s="714">
        <f>+C13/C4</f>
        <v>1012.8208333333333</v>
      </c>
      <c r="D14" s="718"/>
      <c r="E14" s="718"/>
      <c r="F14" s="719"/>
      <c r="G14" s="720">
        <f>+$C14-D14</f>
        <v>1012.8208333333333</v>
      </c>
      <c r="H14" s="718">
        <f>+$C14-E14</f>
        <v>1012.8208333333333</v>
      </c>
      <c r="I14" s="721"/>
      <c r="J14" s="722">
        <f t="shared" si="2"/>
        <v>1</v>
      </c>
      <c r="K14" s="723">
        <f t="shared" si="2"/>
        <v>1</v>
      </c>
      <c r="L14" s="724">
        <f t="shared" si="3"/>
        <v>0</v>
      </c>
      <c r="M14" s="1103"/>
    </row>
    <row r="15" spans="2:13">
      <c r="B15" s="673" t="s">
        <v>1966</v>
      </c>
      <c r="C15" s="714">
        <f>+Print_Mois!$L$83</f>
        <v>40102</v>
      </c>
      <c r="D15" s="718"/>
      <c r="E15" s="718"/>
      <c r="F15" s="719"/>
      <c r="G15" s="720">
        <f>+$C15-D15</f>
        <v>40102</v>
      </c>
      <c r="H15" s="718">
        <f>+$C15-E15</f>
        <v>40102</v>
      </c>
      <c r="I15" s="721">
        <f>+$C15-F15</f>
        <v>40102</v>
      </c>
      <c r="J15" s="722">
        <f t="shared" si="2"/>
        <v>1</v>
      </c>
      <c r="K15" s="723">
        <f t="shared" si="2"/>
        <v>1</v>
      </c>
      <c r="L15" s="724">
        <f t="shared" si="3"/>
        <v>1</v>
      </c>
      <c r="M15" s="1103"/>
    </row>
    <row r="16" spans="2:13">
      <c r="B16" s="675" t="s">
        <v>1967</v>
      </c>
      <c r="C16" s="731"/>
      <c r="D16" s="732"/>
      <c r="E16" s="732"/>
      <c r="F16" s="733"/>
      <c r="G16" s="734"/>
      <c r="H16" s="735"/>
      <c r="I16" s="736"/>
      <c r="J16" s="737"/>
      <c r="K16" s="738"/>
      <c r="L16" s="739"/>
      <c r="M16" s="1103"/>
    </row>
    <row r="17" spans="2:13">
      <c r="B17" s="765" t="s">
        <v>1955</v>
      </c>
      <c r="C17" s="766"/>
      <c r="D17" s="767"/>
      <c r="E17" s="767"/>
      <c r="F17" s="768"/>
      <c r="G17" s="720">
        <f t="shared" ref="G17:I18" si="4">+$C17-D17</f>
        <v>0</v>
      </c>
      <c r="H17" s="718">
        <f t="shared" si="4"/>
        <v>0</v>
      </c>
      <c r="I17" s="721">
        <f t="shared" si="4"/>
        <v>0</v>
      </c>
      <c r="J17" s="722"/>
      <c r="K17" s="723"/>
      <c r="L17" s="724"/>
      <c r="M17" s="1103"/>
    </row>
    <row r="18" spans="2:13">
      <c r="B18" s="769" t="s">
        <v>1917</v>
      </c>
      <c r="C18" s="770"/>
      <c r="D18" s="771"/>
      <c r="E18" s="771"/>
      <c r="F18" s="772"/>
      <c r="G18" s="743">
        <f t="shared" si="4"/>
        <v>0</v>
      </c>
      <c r="H18" s="741">
        <f t="shared" si="4"/>
        <v>0</v>
      </c>
      <c r="I18" s="744">
        <f t="shared" si="4"/>
        <v>0</v>
      </c>
      <c r="J18" s="745"/>
      <c r="K18" s="746"/>
      <c r="L18" s="747"/>
      <c r="M18" s="1104"/>
    </row>
    <row r="19" spans="2:13">
      <c r="C19" s="748"/>
      <c r="D19" s="748"/>
      <c r="E19" s="748"/>
      <c r="F19" s="748"/>
      <c r="G19" s="748"/>
      <c r="H19" s="748"/>
      <c r="I19" s="748"/>
      <c r="J19" s="748"/>
      <c r="K19" s="748"/>
      <c r="L19" s="748"/>
    </row>
    <row r="20" spans="2:13">
      <c r="B20" s="676" t="s">
        <v>1949</v>
      </c>
      <c r="C20" s="677" t="s">
        <v>1952</v>
      </c>
      <c r="D20" s="678" t="s">
        <v>1975</v>
      </c>
      <c r="E20" s="678" t="s">
        <v>6</v>
      </c>
      <c r="F20" s="679">
        <v>2019</v>
      </c>
      <c r="G20" s="680" t="s">
        <v>1978</v>
      </c>
      <c r="H20" s="678" t="s">
        <v>1976</v>
      </c>
      <c r="I20" s="681" t="s">
        <v>1953</v>
      </c>
      <c r="J20" s="680" t="s">
        <v>1979</v>
      </c>
      <c r="K20" s="678" t="s">
        <v>1977</v>
      </c>
      <c r="L20" s="681" t="s">
        <v>1954</v>
      </c>
      <c r="M20" s="676" t="s">
        <v>1972</v>
      </c>
    </row>
    <row r="21" spans="2:13">
      <c r="B21" s="672" t="s">
        <v>1955</v>
      </c>
      <c r="C21" s="695">
        <f>+Print_Mois!$J$96</f>
        <v>15</v>
      </c>
      <c r="D21" s="696"/>
      <c r="E21" s="696"/>
      <c r="F21" s="697"/>
      <c r="G21" s="698">
        <f t="shared" ref="G21:G30" si="5">+$C21-D21</f>
        <v>15</v>
      </c>
      <c r="H21" s="696">
        <f t="shared" ref="H21:H30" si="6">+$C21-E21</f>
        <v>15</v>
      </c>
      <c r="I21" s="699">
        <f t="shared" ref="I21:I30" si="7">+$C21-F21</f>
        <v>15</v>
      </c>
      <c r="J21" s="715">
        <f>+G21/$C21</f>
        <v>1</v>
      </c>
      <c r="K21" s="716">
        <f>+H21/$C21</f>
        <v>1</v>
      </c>
      <c r="L21" s="717">
        <f>+I21/$C21</f>
        <v>1</v>
      </c>
      <c r="M21" s="1102"/>
    </row>
    <row r="22" spans="2:13">
      <c r="B22" s="673" t="s">
        <v>1956</v>
      </c>
      <c r="C22" s="714">
        <f>+Print_Mois!$L$96</f>
        <v>15381.959999999992</v>
      </c>
      <c r="D22" s="718"/>
      <c r="E22" s="718"/>
      <c r="F22" s="719"/>
      <c r="G22" s="720">
        <f t="shared" si="5"/>
        <v>15381.959999999992</v>
      </c>
      <c r="H22" s="718">
        <f t="shared" si="6"/>
        <v>15381.959999999992</v>
      </c>
      <c r="I22" s="721">
        <f t="shared" si="7"/>
        <v>15381.959999999992</v>
      </c>
      <c r="J22" s="722">
        <f t="shared" ref="J22:J31" si="8">+G22/$C22</f>
        <v>1</v>
      </c>
      <c r="K22" s="723">
        <f t="shared" ref="K22:K31" si="9">+H22/$C22</f>
        <v>1</v>
      </c>
      <c r="L22" s="724">
        <f t="shared" ref="L22:L31" si="10">+I22/$C22</f>
        <v>1</v>
      </c>
      <c r="M22" s="1103"/>
    </row>
    <row r="23" spans="2:13">
      <c r="B23" s="673" t="s">
        <v>1957</v>
      </c>
      <c r="C23" s="714">
        <f>+C22/C21</f>
        <v>1025.4639999999995</v>
      </c>
      <c r="D23" s="718"/>
      <c r="E23" s="718"/>
      <c r="F23" s="719"/>
      <c r="G23" s="720">
        <f t="shared" si="5"/>
        <v>1025.4639999999995</v>
      </c>
      <c r="H23" s="718">
        <f t="shared" si="6"/>
        <v>1025.4639999999995</v>
      </c>
      <c r="I23" s="721">
        <f t="shared" si="7"/>
        <v>1025.4639999999995</v>
      </c>
      <c r="J23" s="722">
        <f t="shared" si="8"/>
        <v>1</v>
      </c>
      <c r="K23" s="723">
        <f t="shared" si="9"/>
        <v>1</v>
      </c>
      <c r="L23" s="724">
        <f t="shared" si="10"/>
        <v>1</v>
      </c>
      <c r="M23" s="1103"/>
    </row>
    <row r="24" spans="2:13">
      <c r="B24" s="673" t="s">
        <v>1958</v>
      </c>
      <c r="C24" s="714">
        <f>+Print_Mois!$L$111</f>
        <v>7775.77</v>
      </c>
      <c r="D24" s="725"/>
      <c r="E24" s="725"/>
      <c r="F24" s="719"/>
      <c r="G24" s="720">
        <f t="shared" si="5"/>
        <v>7775.77</v>
      </c>
      <c r="H24" s="718">
        <f t="shared" si="6"/>
        <v>7775.77</v>
      </c>
      <c r="I24" s="721">
        <f t="shared" si="7"/>
        <v>7775.77</v>
      </c>
      <c r="J24" s="722">
        <f t="shared" si="8"/>
        <v>1</v>
      </c>
      <c r="K24" s="723">
        <f t="shared" si="9"/>
        <v>1</v>
      </c>
      <c r="L24" s="724">
        <f t="shared" si="10"/>
        <v>1</v>
      </c>
      <c r="M24" s="1103"/>
    </row>
    <row r="25" spans="2:13">
      <c r="B25" s="673" t="s">
        <v>1959</v>
      </c>
      <c r="C25" s="726">
        <f>+C24/C22</f>
        <v>0.5055123014232259</v>
      </c>
      <c r="D25" s="727"/>
      <c r="E25" s="727"/>
      <c r="F25" s="728"/>
      <c r="G25" s="729">
        <f t="shared" si="5"/>
        <v>0.5055123014232259</v>
      </c>
      <c r="H25" s="723">
        <f t="shared" si="6"/>
        <v>0.5055123014232259</v>
      </c>
      <c r="I25" s="730">
        <f t="shared" si="7"/>
        <v>0.5055123014232259</v>
      </c>
      <c r="J25" s="722">
        <f t="shared" si="8"/>
        <v>1</v>
      </c>
      <c r="K25" s="723">
        <f t="shared" si="9"/>
        <v>1</v>
      </c>
      <c r="L25" s="724">
        <f t="shared" si="10"/>
        <v>1</v>
      </c>
      <c r="M25" s="1103"/>
    </row>
    <row r="26" spans="2:13">
      <c r="B26" s="673" t="s">
        <v>1960</v>
      </c>
      <c r="C26" s="714">
        <f>+Print_Mois!$L$104</f>
        <v>25575.14</v>
      </c>
      <c r="D26" s="718"/>
      <c r="E26" s="718"/>
      <c r="F26" s="719"/>
      <c r="G26" s="720">
        <f t="shared" si="5"/>
        <v>25575.14</v>
      </c>
      <c r="H26" s="718">
        <f t="shared" si="6"/>
        <v>25575.14</v>
      </c>
      <c r="I26" s="721">
        <f t="shared" si="7"/>
        <v>25575.14</v>
      </c>
      <c r="J26" s="722">
        <f t="shared" si="8"/>
        <v>1</v>
      </c>
      <c r="K26" s="723">
        <f t="shared" si="9"/>
        <v>1</v>
      </c>
      <c r="L26" s="724">
        <f t="shared" si="10"/>
        <v>1</v>
      </c>
      <c r="M26" s="1103"/>
    </row>
    <row r="27" spans="2:13">
      <c r="B27" s="673" t="s">
        <v>1961</v>
      </c>
      <c r="C27" s="714">
        <f>+C26/C21</f>
        <v>1705.0093333333332</v>
      </c>
      <c r="D27" s="718"/>
      <c r="E27" s="718"/>
      <c r="F27" s="719"/>
      <c r="G27" s="720">
        <f t="shared" si="5"/>
        <v>1705.0093333333332</v>
      </c>
      <c r="H27" s="718">
        <f t="shared" si="6"/>
        <v>1705.0093333333332</v>
      </c>
      <c r="I27" s="721">
        <f t="shared" si="7"/>
        <v>1705.0093333333332</v>
      </c>
      <c r="J27" s="722">
        <f t="shared" si="8"/>
        <v>1</v>
      </c>
      <c r="K27" s="723">
        <f t="shared" si="9"/>
        <v>1</v>
      </c>
      <c r="L27" s="724">
        <f t="shared" si="10"/>
        <v>1</v>
      </c>
      <c r="M27" s="1103"/>
    </row>
    <row r="28" spans="2:13">
      <c r="B28" s="673" t="s">
        <v>1962</v>
      </c>
      <c r="C28" s="714">
        <f>+Print_Mois!$L$112</f>
        <v>7393.7</v>
      </c>
      <c r="D28" s="718"/>
      <c r="E28" s="718"/>
      <c r="F28" s="719"/>
      <c r="G28" s="720">
        <f t="shared" si="5"/>
        <v>7393.7</v>
      </c>
      <c r="H28" s="718">
        <f t="shared" si="6"/>
        <v>7393.7</v>
      </c>
      <c r="I28" s="721">
        <f t="shared" si="7"/>
        <v>7393.7</v>
      </c>
      <c r="J28" s="722">
        <f t="shared" si="8"/>
        <v>1</v>
      </c>
      <c r="K28" s="723">
        <f t="shared" si="9"/>
        <v>1</v>
      </c>
      <c r="L28" s="724">
        <f t="shared" si="10"/>
        <v>1</v>
      </c>
      <c r="M28" s="1103"/>
    </row>
    <row r="29" spans="2:13">
      <c r="B29" s="673" t="s">
        <v>1963</v>
      </c>
      <c r="C29" s="726">
        <f>+C28/C26</f>
        <v>0.28909714668228598</v>
      </c>
      <c r="D29" s="727"/>
      <c r="E29" s="727"/>
      <c r="F29" s="728"/>
      <c r="G29" s="729">
        <f t="shared" si="5"/>
        <v>0.28909714668228598</v>
      </c>
      <c r="H29" s="723">
        <f t="shared" si="6"/>
        <v>0.28909714668228598</v>
      </c>
      <c r="I29" s="730">
        <f t="shared" si="7"/>
        <v>0.28909714668228598</v>
      </c>
      <c r="J29" s="722">
        <f t="shared" si="8"/>
        <v>1</v>
      </c>
      <c r="K29" s="723">
        <f t="shared" si="9"/>
        <v>1</v>
      </c>
      <c r="L29" s="724">
        <f t="shared" si="10"/>
        <v>1</v>
      </c>
      <c r="M29" s="1103"/>
    </row>
    <row r="30" spans="2:13">
      <c r="B30" s="673" t="s">
        <v>1964</v>
      </c>
      <c r="C30" s="714">
        <f>+Print_Mois!$L$121-C24-C28</f>
        <v>7844.0100000000029</v>
      </c>
      <c r="D30" s="718"/>
      <c r="E30" s="718"/>
      <c r="F30" s="719"/>
      <c r="G30" s="720">
        <f t="shared" si="5"/>
        <v>7844.0100000000029</v>
      </c>
      <c r="H30" s="718">
        <f t="shared" si="6"/>
        <v>7844.0100000000029</v>
      </c>
      <c r="I30" s="721">
        <f t="shared" si="7"/>
        <v>7844.0100000000029</v>
      </c>
      <c r="J30" s="722">
        <f t="shared" si="8"/>
        <v>1</v>
      </c>
      <c r="K30" s="723">
        <f t="shared" si="9"/>
        <v>1</v>
      </c>
      <c r="L30" s="724">
        <f t="shared" si="10"/>
        <v>1</v>
      </c>
      <c r="M30" s="1103"/>
    </row>
    <row r="31" spans="2:13">
      <c r="B31" s="673" t="s">
        <v>1965</v>
      </c>
      <c r="C31" s="714">
        <f>+C30/C21</f>
        <v>522.9340000000002</v>
      </c>
      <c r="D31" s="718"/>
      <c r="E31" s="718"/>
      <c r="F31" s="719"/>
      <c r="G31" s="720">
        <f>+$C31-D31</f>
        <v>522.9340000000002</v>
      </c>
      <c r="H31" s="718">
        <f>+$C31-E31</f>
        <v>522.9340000000002</v>
      </c>
      <c r="I31" s="721"/>
      <c r="J31" s="722">
        <f t="shared" si="8"/>
        <v>1</v>
      </c>
      <c r="K31" s="723">
        <f t="shared" si="9"/>
        <v>1</v>
      </c>
      <c r="L31" s="724">
        <f t="shared" si="10"/>
        <v>0</v>
      </c>
      <c r="M31" s="1103"/>
    </row>
    <row r="32" spans="2:13">
      <c r="B32" s="673" t="s">
        <v>1966</v>
      </c>
      <c r="C32" s="714">
        <f>+Print_Mois!$L$162</f>
        <v>5235</v>
      </c>
      <c r="D32" s="718"/>
      <c r="E32" s="718"/>
      <c r="F32" s="719"/>
      <c r="G32" s="720">
        <f>+$C32-D32</f>
        <v>5235</v>
      </c>
      <c r="H32" s="718">
        <f>+$C32-E32</f>
        <v>5235</v>
      </c>
      <c r="I32" s="721">
        <f>+$C32-F32</f>
        <v>5235</v>
      </c>
      <c r="J32" s="722"/>
      <c r="K32" s="723"/>
      <c r="L32" s="724"/>
      <c r="M32" s="1103"/>
    </row>
    <row r="33" spans="2:13">
      <c r="B33" s="675" t="s">
        <v>1967</v>
      </c>
      <c r="C33" s="731"/>
      <c r="D33" s="732"/>
      <c r="E33" s="732"/>
      <c r="F33" s="733"/>
      <c r="G33" s="734"/>
      <c r="H33" s="735"/>
      <c r="I33" s="736"/>
      <c r="J33" s="737"/>
      <c r="K33" s="738"/>
      <c r="L33" s="739"/>
      <c r="M33" s="1103"/>
    </row>
    <row r="34" spans="2:13">
      <c r="B34" s="765" t="s">
        <v>1955</v>
      </c>
      <c r="C34" s="766"/>
      <c r="D34" s="767"/>
      <c r="E34" s="767"/>
      <c r="F34" s="768"/>
      <c r="G34" s="720">
        <f t="shared" ref="G34:I35" si="11">+$C34-D34</f>
        <v>0</v>
      </c>
      <c r="H34" s="718">
        <f t="shared" si="11"/>
        <v>0</v>
      </c>
      <c r="I34" s="721">
        <f t="shared" si="11"/>
        <v>0</v>
      </c>
      <c r="J34" s="722"/>
      <c r="K34" s="723"/>
      <c r="L34" s="724"/>
      <c r="M34" s="1103"/>
    </row>
    <row r="35" spans="2:13">
      <c r="B35" s="769" t="s">
        <v>1917</v>
      </c>
      <c r="C35" s="770"/>
      <c r="D35" s="771"/>
      <c r="E35" s="771"/>
      <c r="F35" s="772"/>
      <c r="G35" s="743">
        <f t="shared" si="11"/>
        <v>0</v>
      </c>
      <c r="H35" s="741">
        <f t="shared" si="11"/>
        <v>0</v>
      </c>
      <c r="I35" s="744">
        <f t="shared" si="11"/>
        <v>0</v>
      </c>
      <c r="J35" s="745"/>
      <c r="K35" s="746"/>
      <c r="L35" s="747"/>
      <c r="M35" s="1104"/>
    </row>
    <row r="36" spans="2:13">
      <c r="C36" s="748"/>
      <c r="D36" s="748"/>
      <c r="E36" s="748"/>
      <c r="F36" s="748"/>
      <c r="G36" s="748"/>
      <c r="H36" s="748"/>
      <c r="I36" s="748"/>
      <c r="J36" s="748"/>
      <c r="K36" s="748"/>
      <c r="L36" s="748"/>
    </row>
    <row r="37" spans="2:13">
      <c r="B37" s="689" t="s">
        <v>155</v>
      </c>
      <c r="C37" s="690" t="s">
        <v>1952</v>
      </c>
      <c r="D37" s="691" t="s">
        <v>1975</v>
      </c>
      <c r="E37" s="691" t="s">
        <v>6</v>
      </c>
      <c r="F37" s="692">
        <v>2019</v>
      </c>
      <c r="G37" s="693" t="s">
        <v>1978</v>
      </c>
      <c r="H37" s="691" t="s">
        <v>1976</v>
      </c>
      <c r="I37" s="694" t="s">
        <v>1953</v>
      </c>
      <c r="J37" s="693" t="s">
        <v>1979</v>
      </c>
      <c r="K37" s="691" t="s">
        <v>1977</v>
      </c>
      <c r="L37" s="694" t="s">
        <v>1954</v>
      </c>
      <c r="M37" s="689" t="s">
        <v>1972</v>
      </c>
    </row>
    <row r="38" spans="2:13">
      <c r="B38" s="672" t="s">
        <v>1968</v>
      </c>
      <c r="C38" s="700">
        <f>+Print_Mois!$K$193</f>
        <v>158971.35</v>
      </c>
      <c r="D38" s="696"/>
      <c r="E38" s="696"/>
      <c r="F38" s="697"/>
      <c r="G38" s="703">
        <f t="shared" ref="G38:G41" si="12">+$C38-D38</f>
        <v>158971.35</v>
      </c>
      <c r="H38" s="701">
        <f t="shared" ref="H38:H41" si="13">+$C38-E38</f>
        <v>158971.35</v>
      </c>
      <c r="I38" s="704">
        <f t="shared" ref="I38:I41" si="14">+$C38-F38</f>
        <v>158971.35</v>
      </c>
      <c r="J38" s="715">
        <f>+G38/$C38</f>
        <v>1</v>
      </c>
      <c r="K38" s="716">
        <f>+H38/$C38</f>
        <v>1</v>
      </c>
      <c r="L38" s="717">
        <f>+I38/$C38</f>
        <v>1</v>
      </c>
      <c r="M38" s="1102"/>
    </row>
    <row r="39" spans="2:13">
      <c r="B39" s="672" t="s">
        <v>1980</v>
      </c>
      <c r="C39" s="700">
        <f>+Print_Mois!$L$193</f>
        <v>108076.13999999998</v>
      </c>
      <c r="D39" s="701"/>
      <c r="E39" s="701"/>
      <c r="F39" s="702"/>
      <c r="G39" s="703">
        <f t="shared" si="12"/>
        <v>108076.13999999998</v>
      </c>
      <c r="H39" s="701">
        <f t="shared" si="13"/>
        <v>108076.13999999998</v>
      </c>
      <c r="I39" s="704">
        <f t="shared" si="14"/>
        <v>108076.13999999998</v>
      </c>
      <c r="J39" s="749">
        <f t="shared" ref="J39:J43" si="15">+G39/$C39</f>
        <v>1</v>
      </c>
      <c r="K39" s="750">
        <f t="shared" ref="K39:K43" si="16">+H39/$C39</f>
        <v>1</v>
      </c>
      <c r="L39" s="751">
        <f t="shared" ref="L39:L43" si="17">+I39/$C39</f>
        <v>1</v>
      </c>
      <c r="M39" s="1103"/>
    </row>
    <row r="40" spans="2:13">
      <c r="B40" s="673" t="s">
        <v>1981</v>
      </c>
      <c r="C40" s="714">
        <f>+Print_Mois!$K$171/Print_Mois!$J$171</f>
        <v>239.9453738317757</v>
      </c>
      <c r="D40" s="718"/>
      <c r="E40" s="718"/>
      <c r="F40" s="719"/>
      <c r="G40" s="720">
        <f t="shared" si="12"/>
        <v>239.9453738317757</v>
      </c>
      <c r="H40" s="718">
        <f t="shared" si="13"/>
        <v>239.9453738317757</v>
      </c>
      <c r="I40" s="721">
        <f t="shared" si="14"/>
        <v>239.9453738317757</v>
      </c>
      <c r="J40" s="722">
        <f t="shared" si="15"/>
        <v>1</v>
      </c>
      <c r="K40" s="723">
        <f t="shared" si="16"/>
        <v>1</v>
      </c>
      <c r="L40" s="724">
        <f t="shared" si="17"/>
        <v>1</v>
      </c>
      <c r="M40" s="1103"/>
    </row>
    <row r="41" spans="2:13">
      <c r="B41" s="673" t="s">
        <v>1982</v>
      </c>
      <c r="C41" s="714">
        <f>+Print_Mois!$K$174/Print_Mois!$J$174</f>
        <v>233.67802721088435</v>
      </c>
      <c r="D41" s="725"/>
      <c r="E41" s="725"/>
      <c r="F41" s="719"/>
      <c r="G41" s="720">
        <f t="shared" si="12"/>
        <v>233.67802721088435</v>
      </c>
      <c r="H41" s="718">
        <f t="shared" si="13"/>
        <v>233.67802721088435</v>
      </c>
      <c r="I41" s="721">
        <f t="shared" si="14"/>
        <v>233.67802721088435</v>
      </c>
      <c r="J41" s="722">
        <f t="shared" si="15"/>
        <v>1</v>
      </c>
      <c r="K41" s="723">
        <f t="shared" si="16"/>
        <v>1</v>
      </c>
      <c r="L41" s="724">
        <f t="shared" si="17"/>
        <v>1</v>
      </c>
      <c r="M41" s="1103"/>
    </row>
    <row r="42" spans="2:13">
      <c r="B42" s="673" t="s">
        <v>1971</v>
      </c>
      <c r="C42" s="752">
        <f>+Print_Mois!$L$183</f>
        <v>-868.59</v>
      </c>
      <c r="D42" s="727"/>
      <c r="E42" s="727"/>
      <c r="F42" s="728"/>
      <c r="G42" s="720">
        <f t="shared" ref="G42:G47" si="18">+$C42-D42</f>
        <v>-868.59</v>
      </c>
      <c r="H42" s="718">
        <f t="shared" ref="H42:H47" si="19">+$C42-E42</f>
        <v>-868.59</v>
      </c>
      <c r="I42" s="721">
        <f t="shared" ref="I42:I47" si="20">+$C42-F42</f>
        <v>-868.59</v>
      </c>
      <c r="J42" s="722">
        <f t="shared" si="15"/>
        <v>1</v>
      </c>
      <c r="K42" s="723">
        <f t="shared" si="16"/>
        <v>1</v>
      </c>
      <c r="L42" s="724">
        <f t="shared" si="17"/>
        <v>1</v>
      </c>
      <c r="M42" s="1103"/>
    </row>
    <row r="43" spans="2:13">
      <c r="B43" s="673" t="s">
        <v>1983</v>
      </c>
      <c r="C43" s="714">
        <f>+Print_Mois!$L$209</f>
        <v>83100.210000000006</v>
      </c>
      <c r="D43" s="718"/>
      <c r="E43" s="718"/>
      <c r="F43" s="719"/>
      <c r="G43" s="720">
        <f t="shared" si="18"/>
        <v>83100.210000000006</v>
      </c>
      <c r="H43" s="718">
        <f t="shared" si="19"/>
        <v>83100.210000000006</v>
      </c>
      <c r="I43" s="721">
        <f t="shared" si="20"/>
        <v>83100.210000000006</v>
      </c>
      <c r="J43" s="722">
        <f t="shared" si="15"/>
        <v>1</v>
      </c>
      <c r="K43" s="723">
        <f t="shared" si="16"/>
        <v>1</v>
      </c>
      <c r="L43" s="724">
        <f t="shared" si="17"/>
        <v>1</v>
      </c>
      <c r="M43" s="1103"/>
    </row>
    <row r="44" spans="2:13">
      <c r="B44" s="674" t="s">
        <v>1984</v>
      </c>
      <c r="C44" s="714">
        <f>+SUM(Print_Mois!$L$197:$L$204)</f>
        <v>65237.090000000004</v>
      </c>
      <c r="D44" s="718"/>
      <c r="E44" s="718"/>
      <c r="F44" s="719"/>
      <c r="G44" s="720">
        <f t="shared" si="18"/>
        <v>65237.090000000004</v>
      </c>
      <c r="H44" s="718">
        <f t="shared" si="19"/>
        <v>65237.090000000004</v>
      </c>
      <c r="I44" s="721">
        <f t="shared" si="20"/>
        <v>65237.090000000004</v>
      </c>
      <c r="J44" s="722">
        <f t="shared" ref="J44:J47" si="21">+G44/$C44</f>
        <v>1</v>
      </c>
      <c r="K44" s="723">
        <f t="shared" ref="K44:K47" si="22">+H44/$C44</f>
        <v>1</v>
      </c>
      <c r="L44" s="724">
        <f t="shared" ref="L44:L47" si="23">+I44/$C44</f>
        <v>1</v>
      </c>
      <c r="M44" s="1103"/>
    </row>
    <row r="45" spans="2:13">
      <c r="B45" s="674" t="s">
        <v>1985</v>
      </c>
      <c r="C45" s="714">
        <f>+SUM(Print_Mois!$L$205:$L$208)</f>
        <v>17863.12</v>
      </c>
      <c r="D45" s="718"/>
      <c r="E45" s="718"/>
      <c r="F45" s="719"/>
      <c r="G45" s="720">
        <f t="shared" si="18"/>
        <v>17863.12</v>
      </c>
      <c r="H45" s="718">
        <f t="shared" si="19"/>
        <v>17863.12</v>
      </c>
      <c r="I45" s="721">
        <f t="shared" si="20"/>
        <v>17863.12</v>
      </c>
      <c r="J45" s="722">
        <f t="shared" si="21"/>
        <v>1</v>
      </c>
      <c r="K45" s="723">
        <f t="shared" si="22"/>
        <v>1</v>
      </c>
      <c r="L45" s="724">
        <f t="shared" si="23"/>
        <v>1</v>
      </c>
      <c r="M45" s="1103"/>
    </row>
    <row r="46" spans="2:13">
      <c r="B46" s="673" t="s">
        <v>1994</v>
      </c>
      <c r="C46" s="753">
        <f>+C38/C43</f>
        <v>1.9130078010633185</v>
      </c>
      <c r="D46" s="718"/>
      <c r="E46" s="718"/>
      <c r="F46" s="719"/>
      <c r="G46" s="775">
        <f t="shared" si="18"/>
        <v>1.9130078010633185</v>
      </c>
      <c r="H46" s="776">
        <f t="shared" si="19"/>
        <v>1.9130078010633185</v>
      </c>
      <c r="I46" s="777">
        <f t="shared" si="20"/>
        <v>1.9130078010633185</v>
      </c>
      <c r="J46" s="722">
        <f t="shared" si="21"/>
        <v>1</v>
      </c>
      <c r="K46" s="723">
        <f t="shared" si="22"/>
        <v>1</v>
      </c>
      <c r="L46" s="724">
        <f t="shared" si="23"/>
        <v>1</v>
      </c>
      <c r="M46" s="1103"/>
    </row>
    <row r="47" spans="2:13">
      <c r="B47" s="705" t="s">
        <v>123</v>
      </c>
      <c r="C47" s="740">
        <f>+Print_Mois!$L$212</f>
        <v>12067.73</v>
      </c>
      <c r="D47" s="741"/>
      <c r="E47" s="741"/>
      <c r="F47" s="742"/>
      <c r="G47" s="743">
        <f t="shared" si="18"/>
        <v>12067.73</v>
      </c>
      <c r="H47" s="741">
        <f t="shared" si="19"/>
        <v>12067.73</v>
      </c>
      <c r="I47" s="744">
        <f t="shared" si="20"/>
        <v>12067.73</v>
      </c>
      <c r="J47" s="745">
        <f t="shared" si="21"/>
        <v>1</v>
      </c>
      <c r="K47" s="746">
        <f t="shared" si="22"/>
        <v>1</v>
      </c>
      <c r="L47" s="747">
        <f t="shared" si="23"/>
        <v>1</v>
      </c>
      <c r="M47" s="1104"/>
    </row>
    <row r="48" spans="2:13">
      <c r="C48" s="748"/>
      <c r="D48" s="748"/>
      <c r="E48" s="748"/>
      <c r="F48" s="748"/>
      <c r="G48" s="748"/>
      <c r="H48" s="748"/>
      <c r="I48" s="748"/>
      <c r="J48" s="748"/>
      <c r="K48" s="748"/>
      <c r="L48" s="748"/>
    </row>
    <row r="49" spans="2:13">
      <c r="B49" s="706" t="s">
        <v>1973</v>
      </c>
      <c r="C49" s="707" t="s">
        <v>1952</v>
      </c>
      <c r="D49" s="708" t="s">
        <v>1975</v>
      </c>
      <c r="E49" s="708" t="s">
        <v>6</v>
      </c>
      <c r="F49" s="709">
        <v>2019</v>
      </c>
      <c r="G49" s="710" t="s">
        <v>1978</v>
      </c>
      <c r="H49" s="708" t="s">
        <v>1976</v>
      </c>
      <c r="I49" s="711" t="s">
        <v>1953</v>
      </c>
      <c r="J49" s="710" t="s">
        <v>1979</v>
      </c>
      <c r="K49" s="708" t="s">
        <v>1977</v>
      </c>
      <c r="L49" s="711" t="s">
        <v>1954</v>
      </c>
      <c r="M49" s="706" t="s">
        <v>1972</v>
      </c>
    </row>
    <row r="50" spans="2:13">
      <c r="B50" s="712" t="s">
        <v>1968</v>
      </c>
      <c r="C50" s="700">
        <f>+Print_Mois!$J$313</f>
        <v>316284.04999999993</v>
      </c>
      <c r="D50" s="696"/>
      <c r="E50" s="696"/>
      <c r="F50" s="697"/>
      <c r="G50" s="703">
        <f t="shared" ref="G50:G59" si="24">+$C50-D50</f>
        <v>316284.04999999993</v>
      </c>
      <c r="H50" s="701">
        <f t="shared" ref="H50:H59" si="25">+$C50-E50</f>
        <v>316284.04999999993</v>
      </c>
      <c r="I50" s="704">
        <f t="shared" ref="I50:I59" si="26">+$C50-F50</f>
        <v>316284.04999999993</v>
      </c>
      <c r="J50" s="715">
        <f>+G50/$C50</f>
        <v>1</v>
      </c>
      <c r="K50" s="716">
        <f>+H50/$C50</f>
        <v>1</v>
      </c>
      <c r="L50" s="717">
        <f>+I50/$C50</f>
        <v>1</v>
      </c>
      <c r="M50" s="1102"/>
    </row>
    <row r="51" spans="2:13">
      <c r="B51" s="713" t="s">
        <v>1969</v>
      </c>
      <c r="C51" s="714">
        <f>+Print_Mois!$J$294</f>
        <v>45465.17</v>
      </c>
      <c r="D51" s="696"/>
      <c r="E51" s="696"/>
      <c r="F51" s="697"/>
      <c r="G51" s="720">
        <f t="shared" ref="G51:G55" si="27">+$C51-D51</f>
        <v>45465.17</v>
      </c>
      <c r="H51" s="718">
        <f t="shared" ref="H51:H55" si="28">+$C51-E51</f>
        <v>45465.17</v>
      </c>
      <c r="I51" s="721">
        <f t="shared" ref="I51:I55" si="29">+$C51-F51</f>
        <v>45465.17</v>
      </c>
      <c r="J51" s="722">
        <f t="shared" ref="J51:J55" si="30">+G51/$C51</f>
        <v>1</v>
      </c>
      <c r="K51" s="723">
        <f t="shared" ref="K51:K55" si="31">+H51/$C51</f>
        <v>1</v>
      </c>
      <c r="L51" s="724">
        <f t="shared" ref="L51:L55" si="32">+I51/$C51</f>
        <v>1</v>
      </c>
      <c r="M51" s="1103"/>
    </row>
    <row r="52" spans="2:13">
      <c r="B52" s="713" t="s">
        <v>1970</v>
      </c>
      <c r="C52" s="714">
        <f>+Print_Mois!$J$296</f>
        <v>111661.14</v>
      </c>
      <c r="D52" s="696"/>
      <c r="E52" s="696"/>
      <c r="F52" s="697"/>
      <c r="G52" s="720">
        <f t="shared" si="27"/>
        <v>111661.14</v>
      </c>
      <c r="H52" s="718">
        <f t="shared" si="28"/>
        <v>111661.14</v>
      </c>
      <c r="I52" s="721">
        <f t="shared" si="29"/>
        <v>111661.14</v>
      </c>
      <c r="J52" s="722">
        <f t="shared" si="30"/>
        <v>1</v>
      </c>
      <c r="K52" s="723">
        <f t="shared" si="31"/>
        <v>1</v>
      </c>
      <c r="L52" s="724">
        <f t="shared" si="32"/>
        <v>1</v>
      </c>
      <c r="M52" s="1103"/>
    </row>
    <row r="53" spans="2:13">
      <c r="B53" s="713" t="s">
        <v>1986</v>
      </c>
      <c r="C53" s="714">
        <f>+Print_Mois!$J$299</f>
        <v>44671.41</v>
      </c>
      <c r="D53" s="696"/>
      <c r="E53" s="696"/>
      <c r="F53" s="697"/>
      <c r="G53" s="720">
        <f t="shared" si="27"/>
        <v>44671.41</v>
      </c>
      <c r="H53" s="718">
        <f t="shared" si="28"/>
        <v>44671.41</v>
      </c>
      <c r="I53" s="721">
        <f t="shared" si="29"/>
        <v>44671.41</v>
      </c>
      <c r="J53" s="722">
        <f t="shared" si="30"/>
        <v>1</v>
      </c>
      <c r="K53" s="723">
        <f t="shared" si="31"/>
        <v>1</v>
      </c>
      <c r="L53" s="724">
        <f t="shared" si="32"/>
        <v>1</v>
      </c>
      <c r="M53" s="1103"/>
    </row>
    <row r="54" spans="2:13">
      <c r="B54" s="713" t="s">
        <v>1987</v>
      </c>
      <c r="C54" s="714">
        <f>+Print_Mois!$J$306</f>
        <v>14638.67</v>
      </c>
      <c r="D54" s="696"/>
      <c r="E54" s="696"/>
      <c r="F54" s="697"/>
      <c r="G54" s="720">
        <f t="shared" si="27"/>
        <v>14638.67</v>
      </c>
      <c r="H54" s="718">
        <f t="shared" si="28"/>
        <v>14638.67</v>
      </c>
      <c r="I54" s="721">
        <f t="shared" si="29"/>
        <v>14638.67</v>
      </c>
      <c r="J54" s="722">
        <f t="shared" si="30"/>
        <v>1</v>
      </c>
      <c r="K54" s="723">
        <f t="shared" si="31"/>
        <v>1</v>
      </c>
      <c r="L54" s="724">
        <f t="shared" si="32"/>
        <v>1</v>
      </c>
      <c r="M54" s="1103"/>
    </row>
    <row r="55" spans="2:13">
      <c r="B55" s="713" t="s">
        <v>1988</v>
      </c>
      <c r="C55" s="714">
        <f>+C50-SUM(C51:C54)</f>
        <v>99847.659999999916</v>
      </c>
      <c r="D55" s="696"/>
      <c r="E55" s="696"/>
      <c r="F55" s="697"/>
      <c r="G55" s="720">
        <f t="shared" si="27"/>
        <v>99847.659999999916</v>
      </c>
      <c r="H55" s="718">
        <f t="shared" si="28"/>
        <v>99847.659999999916</v>
      </c>
      <c r="I55" s="721">
        <f t="shared" si="29"/>
        <v>99847.659999999916</v>
      </c>
      <c r="J55" s="722">
        <f t="shared" si="30"/>
        <v>1</v>
      </c>
      <c r="K55" s="723">
        <f t="shared" si="31"/>
        <v>1</v>
      </c>
      <c r="L55" s="724">
        <f t="shared" si="32"/>
        <v>1</v>
      </c>
      <c r="M55" s="1103"/>
    </row>
    <row r="56" spans="2:13">
      <c r="B56" s="672" t="s">
        <v>1980</v>
      </c>
      <c r="C56" s="700">
        <f>+Print_Mois!$L$313</f>
        <v>83016.01999999999</v>
      </c>
      <c r="D56" s="701"/>
      <c r="E56" s="701"/>
      <c r="F56" s="702"/>
      <c r="G56" s="703">
        <f t="shared" si="24"/>
        <v>83016.01999999999</v>
      </c>
      <c r="H56" s="701">
        <f t="shared" si="25"/>
        <v>83016.01999999999</v>
      </c>
      <c r="I56" s="704">
        <f t="shared" si="26"/>
        <v>83016.01999999999</v>
      </c>
      <c r="J56" s="749">
        <f t="shared" ref="J56:J59" si="33">+G56/$C56</f>
        <v>1</v>
      </c>
      <c r="K56" s="750">
        <f t="shared" ref="K56:K59" si="34">+H56/$C56</f>
        <v>1</v>
      </c>
      <c r="L56" s="751">
        <f t="shared" ref="L56:L59" si="35">+I56/$C56</f>
        <v>1</v>
      </c>
      <c r="M56" s="1103"/>
    </row>
    <row r="57" spans="2:13">
      <c r="B57" s="673" t="s">
        <v>1981</v>
      </c>
      <c r="C57" s="714">
        <f>+Print_Mois!$J$294/Print_Mois!$J$171</f>
        <v>212.45406542056074</v>
      </c>
      <c r="D57" s="718"/>
      <c r="E57" s="718"/>
      <c r="F57" s="719"/>
      <c r="G57" s="720">
        <f t="shared" si="24"/>
        <v>212.45406542056074</v>
      </c>
      <c r="H57" s="718">
        <f t="shared" si="25"/>
        <v>212.45406542056074</v>
      </c>
      <c r="I57" s="721">
        <f t="shared" si="26"/>
        <v>212.45406542056074</v>
      </c>
      <c r="J57" s="722">
        <f t="shared" si="33"/>
        <v>1</v>
      </c>
      <c r="K57" s="723">
        <f t="shared" si="34"/>
        <v>1</v>
      </c>
      <c r="L57" s="724">
        <f t="shared" si="35"/>
        <v>1</v>
      </c>
      <c r="M57" s="1103"/>
    </row>
    <row r="58" spans="2:13">
      <c r="B58" s="673" t="s">
        <v>1982</v>
      </c>
      <c r="C58" s="714">
        <f>+Print_Mois!$J$296/Print_Mois!$J$174</f>
        <v>379.79979591836735</v>
      </c>
      <c r="D58" s="725"/>
      <c r="E58" s="725"/>
      <c r="F58" s="719"/>
      <c r="G58" s="720">
        <f t="shared" si="24"/>
        <v>379.79979591836735</v>
      </c>
      <c r="H58" s="718">
        <f t="shared" si="25"/>
        <v>379.79979591836735</v>
      </c>
      <c r="I58" s="721">
        <f t="shared" si="26"/>
        <v>379.79979591836735</v>
      </c>
      <c r="J58" s="722">
        <f t="shared" si="33"/>
        <v>1</v>
      </c>
      <c r="K58" s="723">
        <f t="shared" si="34"/>
        <v>1</v>
      </c>
      <c r="L58" s="724">
        <f t="shared" si="35"/>
        <v>1</v>
      </c>
      <c r="M58" s="1103"/>
    </row>
    <row r="59" spans="2:13">
      <c r="B59" s="705" t="s">
        <v>114</v>
      </c>
      <c r="C59" s="740">
        <f>+Print_Mois!$L$319</f>
        <v>23019.06</v>
      </c>
      <c r="D59" s="741"/>
      <c r="E59" s="741"/>
      <c r="F59" s="742"/>
      <c r="G59" s="743">
        <f t="shared" si="24"/>
        <v>23019.06</v>
      </c>
      <c r="H59" s="741">
        <f t="shared" si="25"/>
        <v>23019.06</v>
      </c>
      <c r="I59" s="744">
        <f t="shared" si="26"/>
        <v>23019.06</v>
      </c>
      <c r="J59" s="745">
        <f t="shared" si="33"/>
        <v>1</v>
      </c>
      <c r="K59" s="746">
        <f t="shared" si="34"/>
        <v>1</v>
      </c>
      <c r="L59" s="747">
        <f t="shared" si="35"/>
        <v>1</v>
      </c>
      <c r="M59" s="1104"/>
    </row>
    <row r="61" spans="2:13">
      <c r="B61" s="754" t="s">
        <v>1989</v>
      </c>
      <c r="C61" s="755" t="s">
        <v>1952</v>
      </c>
      <c r="D61" s="756" t="s">
        <v>1975</v>
      </c>
      <c r="E61" s="756" t="s">
        <v>6</v>
      </c>
      <c r="F61" s="757">
        <v>2019</v>
      </c>
      <c r="G61" s="758" t="s">
        <v>1978</v>
      </c>
      <c r="H61" s="756" t="s">
        <v>1976</v>
      </c>
      <c r="I61" s="759" t="s">
        <v>1953</v>
      </c>
      <c r="J61" s="758" t="s">
        <v>1979</v>
      </c>
      <c r="K61" s="756" t="s">
        <v>1977</v>
      </c>
      <c r="L61" s="759" t="s">
        <v>1954</v>
      </c>
      <c r="M61" s="754" t="s">
        <v>1972</v>
      </c>
    </row>
    <row r="62" spans="2:13">
      <c r="B62" s="760" t="s">
        <v>1990</v>
      </c>
      <c r="C62" s="761">
        <f>+Print_Mois!$AG$432/Print_Mois!$AG$406</f>
        <v>0.708638329211431</v>
      </c>
      <c r="D62" s="696"/>
      <c r="E62" s="696"/>
      <c r="F62" s="697"/>
      <c r="G62" s="720">
        <f t="shared" ref="G62:G67" si="36">+$C62-D62</f>
        <v>0.708638329211431</v>
      </c>
      <c r="H62" s="718">
        <f t="shared" ref="H62:H67" si="37">+$C62-E62</f>
        <v>0.708638329211431</v>
      </c>
      <c r="I62" s="721">
        <f t="shared" ref="I62:I67" si="38">+$C62-F62</f>
        <v>0.708638329211431</v>
      </c>
      <c r="J62" s="722">
        <f t="shared" ref="J62:J67" si="39">+G62/$C62</f>
        <v>1</v>
      </c>
      <c r="K62" s="723">
        <f t="shared" ref="K62:K67" si="40">+H62/$C62</f>
        <v>1</v>
      </c>
      <c r="L62" s="724">
        <f t="shared" ref="L62:L67" si="41">+I62/$C62</f>
        <v>1</v>
      </c>
      <c r="M62" s="1102"/>
    </row>
    <row r="63" spans="2:13">
      <c r="B63" s="773" t="s">
        <v>1991</v>
      </c>
      <c r="C63" s="778"/>
      <c r="D63" s="774"/>
      <c r="E63" s="774"/>
      <c r="F63" s="779"/>
      <c r="G63" s="720">
        <f t="shared" si="36"/>
        <v>0</v>
      </c>
      <c r="H63" s="718">
        <f t="shared" si="37"/>
        <v>0</v>
      </c>
      <c r="I63" s="721">
        <f t="shared" si="38"/>
        <v>0</v>
      </c>
      <c r="J63" s="722"/>
      <c r="K63" s="723"/>
      <c r="L63" s="724"/>
      <c r="M63" s="1103"/>
    </row>
    <row r="64" spans="2:13">
      <c r="B64" s="760" t="s">
        <v>1974</v>
      </c>
      <c r="C64" s="714">
        <f>+Print_Mois!$AG$413+Print_Mois!$AG$433</f>
        <v>21544.989999999998</v>
      </c>
      <c r="D64" s="696"/>
      <c r="E64" s="696"/>
      <c r="F64" s="697"/>
      <c r="G64" s="720">
        <f t="shared" si="36"/>
        <v>21544.989999999998</v>
      </c>
      <c r="H64" s="718">
        <f t="shared" si="37"/>
        <v>21544.989999999998</v>
      </c>
      <c r="I64" s="721">
        <f t="shared" si="38"/>
        <v>21544.989999999998</v>
      </c>
      <c r="J64" s="722">
        <f t="shared" si="39"/>
        <v>1</v>
      </c>
      <c r="K64" s="723">
        <f t="shared" si="40"/>
        <v>1</v>
      </c>
      <c r="L64" s="724">
        <f t="shared" si="41"/>
        <v>1</v>
      </c>
      <c r="M64" s="1103"/>
    </row>
    <row r="65" spans="2:13">
      <c r="B65" s="760" t="s">
        <v>1993</v>
      </c>
      <c r="C65" s="714">
        <f>+Print_Mois!$AG$451-Print_Mois!$AG$433</f>
        <v>61659.079999999987</v>
      </c>
      <c r="D65" s="696"/>
      <c r="E65" s="696"/>
      <c r="F65" s="697"/>
      <c r="G65" s="720">
        <f t="shared" si="36"/>
        <v>61659.079999999987</v>
      </c>
      <c r="H65" s="718">
        <f t="shared" si="37"/>
        <v>61659.079999999987</v>
      </c>
      <c r="I65" s="721">
        <f t="shared" si="38"/>
        <v>61659.079999999987</v>
      </c>
      <c r="J65" s="722">
        <f t="shared" si="39"/>
        <v>1</v>
      </c>
      <c r="K65" s="723">
        <f t="shared" si="40"/>
        <v>1</v>
      </c>
      <c r="L65" s="724">
        <f t="shared" si="41"/>
        <v>1</v>
      </c>
      <c r="M65" s="1103"/>
    </row>
    <row r="66" spans="2:13">
      <c r="B66" s="760" t="s">
        <v>1992</v>
      </c>
      <c r="C66" s="714">
        <v>16993.169999999998</v>
      </c>
      <c r="D66" s="696"/>
      <c r="E66" s="696"/>
      <c r="F66" s="697"/>
      <c r="G66" s="720">
        <f t="shared" si="36"/>
        <v>16993.169999999998</v>
      </c>
      <c r="H66" s="718">
        <f t="shared" si="37"/>
        <v>16993.169999999998</v>
      </c>
      <c r="I66" s="721">
        <f t="shared" si="38"/>
        <v>16993.169999999998</v>
      </c>
      <c r="J66" s="722">
        <f t="shared" si="39"/>
        <v>1</v>
      </c>
      <c r="K66" s="723">
        <f t="shared" si="40"/>
        <v>1</v>
      </c>
      <c r="L66" s="724">
        <f t="shared" si="41"/>
        <v>1</v>
      </c>
      <c r="M66" s="1103"/>
    </row>
    <row r="67" spans="2:13">
      <c r="B67" s="762" t="s">
        <v>1995</v>
      </c>
      <c r="C67" s="740">
        <f>+Print_Mois!$AG$468</f>
        <v>33828.54</v>
      </c>
      <c r="D67" s="763"/>
      <c r="E67" s="763"/>
      <c r="F67" s="764"/>
      <c r="G67" s="743">
        <f t="shared" si="36"/>
        <v>33828.54</v>
      </c>
      <c r="H67" s="741">
        <f t="shared" si="37"/>
        <v>33828.54</v>
      </c>
      <c r="I67" s="744">
        <f t="shared" si="38"/>
        <v>33828.54</v>
      </c>
      <c r="J67" s="745">
        <f t="shared" si="39"/>
        <v>1</v>
      </c>
      <c r="K67" s="746">
        <f t="shared" si="40"/>
        <v>1</v>
      </c>
      <c r="L67" s="747">
        <f t="shared" si="41"/>
        <v>1</v>
      </c>
      <c r="M67" s="1104"/>
    </row>
  </sheetData>
  <mergeCells count="6"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2364-D65E-49FD-A2B5-F384830B5F40}">
  <dimension ref="A1:HK1127"/>
  <sheetViews>
    <sheetView zoomScale="55" zoomScaleNormal="55" zoomScaleSheetLayoutView="55" workbookViewId="0">
      <pane xSplit="2" ySplit="1" topLeftCell="C2" activePane="bottomRight" state="frozen"/>
      <selection activeCell="C101" sqref="C101"/>
      <selection pane="topRight" activeCell="C101" sqref="C101"/>
      <selection pane="bottomLeft" activeCell="C101" sqref="C101"/>
      <selection pane="bottomRight" activeCell="B6" sqref="B6:AO496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99" t="str">
        <f>"Budget 2021 Mensuel Révisé"&amp;" "&amp;Parametres!$B$1</f>
        <v>Budget 2021 Mensuel Révisé Volks</v>
      </c>
      <c r="C1" s="1099"/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099"/>
      <c r="O1" s="1099"/>
      <c r="P1" s="1099"/>
      <c r="Q1" s="1099"/>
      <c r="R1" s="1099"/>
      <c r="S1" s="1099"/>
      <c r="T1" s="1099"/>
      <c r="U1" s="1099"/>
      <c r="V1" s="1099"/>
      <c r="W1" s="1099"/>
      <c r="X1" s="1099"/>
      <c r="Y1" s="1099"/>
      <c r="Z1" s="1099"/>
      <c r="AA1" s="1099"/>
      <c r="AB1" s="1099"/>
      <c r="AC1" s="1099"/>
      <c r="AD1" s="1099"/>
      <c r="AE1" s="1099"/>
      <c r="AF1" s="1099"/>
      <c r="AG1" s="1099"/>
      <c r="AH1" s="1099"/>
      <c r="AI1" s="1099"/>
      <c r="AJ1" s="1099"/>
      <c r="AK1" s="1099"/>
      <c r="AL1" s="1099"/>
      <c r="AM1" s="1099"/>
      <c r="AN1" s="1099"/>
      <c r="AO1" s="1099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20"/>
      <c r="B4" s="620" t="s">
        <v>1932</v>
      </c>
      <c r="C4" s="1100" t="s">
        <v>75</v>
      </c>
      <c r="D4" s="1100"/>
      <c r="E4" s="1100"/>
      <c r="F4" s="1100"/>
      <c r="G4" s="1100"/>
      <c r="H4" s="1100"/>
      <c r="I4" s="1100"/>
      <c r="J4" s="1100"/>
      <c r="K4" s="1100"/>
      <c r="L4" s="1100"/>
      <c r="M4" s="1100"/>
      <c r="N4" s="1100"/>
      <c r="O4" s="1100"/>
      <c r="P4" s="1100"/>
      <c r="Q4" s="1100"/>
      <c r="R4" s="1100"/>
      <c r="S4" s="1100"/>
      <c r="T4" s="1100"/>
      <c r="U4" s="1100"/>
      <c r="V4" s="1100"/>
      <c r="W4" s="1100"/>
      <c r="X4" s="1100"/>
      <c r="Y4" s="1100"/>
      <c r="Z4" s="1100"/>
      <c r="AA4" s="1100"/>
      <c r="AB4" s="1100"/>
      <c r="AC4" s="1100"/>
      <c r="AD4" s="1100"/>
      <c r="AE4" s="1100"/>
      <c r="AF4" s="1100"/>
      <c r="AG4" s="1100"/>
      <c r="AH4" s="1100"/>
      <c r="AI4" s="1100"/>
      <c r="AJ4" s="1100"/>
      <c r="AK4" s="1100"/>
      <c r="AL4" s="1100"/>
      <c r="AM4" s="1100"/>
      <c r="AN4" s="1100"/>
      <c r="AO4" s="1100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96" t="s">
        <v>1639</v>
      </c>
      <c r="D6" s="1097"/>
      <c r="E6" s="1098"/>
      <c r="F6" s="1096" t="s">
        <v>1934</v>
      </c>
      <c r="G6" s="1097"/>
      <c r="H6" s="1098"/>
      <c r="I6" s="1096" t="s">
        <v>1935</v>
      </c>
      <c r="J6" s="1097"/>
      <c r="K6" s="1098"/>
      <c r="L6" s="1096" t="s">
        <v>1936</v>
      </c>
      <c r="M6" s="1097"/>
      <c r="N6" s="1098"/>
      <c r="O6" s="1096" t="s">
        <v>1937</v>
      </c>
      <c r="P6" s="1097"/>
      <c r="Q6" s="1098"/>
      <c r="R6" s="1096" t="s">
        <v>1938</v>
      </c>
      <c r="S6" s="1097"/>
      <c r="T6" s="1098"/>
      <c r="U6" s="1096" t="s">
        <v>1916</v>
      </c>
      <c r="V6" s="1097"/>
      <c r="W6" s="1098"/>
      <c r="X6" s="1096" t="s">
        <v>1939</v>
      </c>
      <c r="Y6" s="1097"/>
      <c r="Z6" s="1098"/>
      <c r="AA6" s="1096" t="s">
        <v>1940</v>
      </c>
      <c r="AB6" s="1097"/>
      <c r="AC6" s="1098"/>
      <c r="AD6" s="1096" t="s">
        <v>3</v>
      </c>
      <c r="AE6" s="1097"/>
      <c r="AF6" s="1098"/>
      <c r="AG6" s="1096" t="s">
        <v>1941</v>
      </c>
      <c r="AH6" s="1097"/>
      <c r="AI6" s="1098"/>
      <c r="AJ6" s="1096" t="s">
        <v>1942</v>
      </c>
      <c r="AK6" s="1097"/>
      <c r="AL6" s="1098"/>
      <c r="AM6" s="1096" t="s">
        <v>1943</v>
      </c>
      <c r="AN6" s="1097"/>
      <c r="AO6" s="1098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96" t="s">
        <v>1639</v>
      </c>
      <c r="D94" s="1097"/>
      <c r="E94" s="1098"/>
      <c r="F94" s="1096" t="s">
        <v>1934</v>
      </c>
      <c r="G94" s="1097"/>
      <c r="H94" s="1098"/>
      <c r="I94" s="1096" t="s">
        <v>1935</v>
      </c>
      <c r="J94" s="1097"/>
      <c r="K94" s="1098"/>
      <c r="L94" s="1096" t="s">
        <v>1936</v>
      </c>
      <c r="M94" s="1097"/>
      <c r="N94" s="1098"/>
      <c r="O94" s="1096" t="s">
        <v>1937</v>
      </c>
      <c r="P94" s="1097"/>
      <c r="Q94" s="1098"/>
      <c r="R94" s="1096" t="s">
        <v>1938</v>
      </c>
      <c r="S94" s="1097"/>
      <c r="T94" s="1098"/>
      <c r="U94" s="1096" t="s">
        <v>1916</v>
      </c>
      <c r="V94" s="1097"/>
      <c r="W94" s="1098"/>
      <c r="X94" s="1096" t="s">
        <v>1939</v>
      </c>
      <c r="Y94" s="1097"/>
      <c r="Z94" s="1098"/>
      <c r="AA94" s="1096" t="s">
        <v>1940</v>
      </c>
      <c r="AB94" s="1097"/>
      <c r="AC94" s="1098"/>
      <c r="AD94" s="1096" t="s">
        <v>3</v>
      </c>
      <c r="AE94" s="1097"/>
      <c r="AF94" s="1098"/>
      <c r="AG94" s="1096" t="s">
        <v>1941</v>
      </c>
      <c r="AH94" s="1097"/>
      <c r="AI94" s="1098"/>
      <c r="AJ94" s="1096" t="s">
        <v>1942</v>
      </c>
      <c r="AK94" s="1097"/>
      <c r="AL94" s="1098"/>
      <c r="AM94" s="1096" t="s">
        <v>1943</v>
      </c>
      <c r="AN94" s="1097"/>
      <c r="AO94" s="1098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96" t="s">
        <v>1639</v>
      </c>
      <c r="D172" s="1097"/>
      <c r="E172" s="1098"/>
      <c r="F172" s="1096" t="s">
        <v>1934</v>
      </c>
      <c r="G172" s="1097"/>
      <c r="H172" s="1098"/>
      <c r="I172" s="1096" t="s">
        <v>1935</v>
      </c>
      <c r="J172" s="1097"/>
      <c r="K172" s="1098"/>
      <c r="L172" s="1096" t="s">
        <v>1936</v>
      </c>
      <c r="M172" s="1097"/>
      <c r="N172" s="1098"/>
      <c r="O172" s="1096" t="s">
        <v>1937</v>
      </c>
      <c r="P172" s="1097"/>
      <c r="Q172" s="1098"/>
      <c r="R172" s="1096" t="s">
        <v>1938</v>
      </c>
      <c r="S172" s="1097"/>
      <c r="T172" s="1098"/>
      <c r="U172" s="1096" t="s">
        <v>1916</v>
      </c>
      <c r="V172" s="1097"/>
      <c r="W172" s="1098"/>
      <c r="X172" s="1096" t="s">
        <v>1939</v>
      </c>
      <c r="Y172" s="1097"/>
      <c r="Z172" s="1098"/>
      <c r="AA172" s="1096" t="s">
        <v>1940</v>
      </c>
      <c r="AB172" s="1097"/>
      <c r="AC172" s="1098"/>
      <c r="AD172" s="1096" t="s">
        <v>3</v>
      </c>
      <c r="AE172" s="1097"/>
      <c r="AF172" s="1098"/>
      <c r="AG172" s="1096" t="s">
        <v>1941</v>
      </c>
      <c r="AH172" s="1097"/>
      <c r="AI172" s="1098"/>
      <c r="AJ172" s="1096" t="s">
        <v>1942</v>
      </c>
      <c r="AK172" s="1097"/>
      <c r="AL172" s="1098"/>
      <c r="AM172" s="1096" t="s">
        <v>1943</v>
      </c>
      <c r="AN172" s="1097"/>
      <c r="AO172" s="1098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96" t="s">
        <v>1639</v>
      </c>
      <c r="D239" s="1097"/>
      <c r="E239" s="1098"/>
      <c r="F239" s="1096" t="s">
        <v>1934</v>
      </c>
      <c r="G239" s="1097"/>
      <c r="H239" s="1098"/>
      <c r="I239" s="1096" t="s">
        <v>1935</v>
      </c>
      <c r="J239" s="1097"/>
      <c r="K239" s="1098"/>
      <c r="L239" s="1096" t="s">
        <v>1936</v>
      </c>
      <c r="M239" s="1097"/>
      <c r="N239" s="1098"/>
      <c r="O239" s="1096" t="s">
        <v>1937</v>
      </c>
      <c r="P239" s="1097"/>
      <c r="Q239" s="1098"/>
      <c r="R239" s="1096" t="s">
        <v>1938</v>
      </c>
      <c r="S239" s="1097"/>
      <c r="T239" s="1098"/>
      <c r="U239" s="1096" t="s">
        <v>1916</v>
      </c>
      <c r="V239" s="1097"/>
      <c r="W239" s="1098"/>
      <c r="X239" s="1096" t="s">
        <v>1939</v>
      </c>
      <c r="Y239" s="1097"/>
      <c r="Z239" s="1098"/>
      <c r="AA239" s="1096" t="s">
        <v>1940</v>
      </c>
      <c r="AB239" s="1097"/>
      <c r="AC239" s="1098"/>
      <c r="AD239" s="1096" t="s">
        <v>3</v>
      </c>
      <c r="AE239" s="1097"/>
      <c r="AF239" s="1098"/>
      <c r="AG239" s="1096" t="s">
        <v>1941</v>
      </c>
      <c r="AH239" s="1097"/>
      <c r="AI239" s="1098"/>
      <c r="AJ239" s="1096" t="s">
        <v>1942</v>
      </c>
      <c r="AK239" s="1097"/>
      <c r="AL239" s="1098"/>
      <c r="AM239" s="1096" t="s">
        <v>1943</v>
      </c>
      <c r="AN239" s="1097"/>
      <c r="AO239" s="1098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96" t="s">
        <v>1639</v>
      </c>
      <c r="D293" s="1097"/>
      <c r="E293" s="1098"/>
      <c r="F293" s="1096" t="s">
        <v>1934</v>
      </c>
      <c r="G293" s="1097"/>
      <c r="H293" s="1098"/>
      <c r="I293" s="1096" t="s">
        <v>1935</v>
      </c>
      <c r="J293" s="1097"/>
      <c r="K293" s="1098"/>
      <c r="L293" s="1096" t="s">
        <v>1936</v>
      </c>
      <c r="M293" s="1097"/>
      <c r="N293" s="1098"/>
      <c r="O293" s="1096" t="s">
        <v>1937</v>
      </c>
      <c r="P293" s="1097"/>
      <c r="Q293" s="1098"/>
      <c r="R293" s="1096" t="s">
        <v>1938</v>
      </c>
      <c r="S293" s="1097"/>
      <c r="T293" s="1098"/>
      <c r="U293" s="1096" t="s">
        <v>1916</v>
      </c>
      <c r="V293" s="1097"/>
      <c r="W293" s="1098"/>
      <c r="X293" s="1096" t="s">
        <v>1939</v>
      </c>
      <c r="Y293" s="1097"/>
      <c r="Z293" s="1098"/>
      <c r="AA293" s="1096" t="s">
        <v>1940</v>
      </c>
      <c r="AB293" s="1097"/>
      <c r="AC293" s="1098"/>
      <c r="AD293" s="1096" t="s">
        <v>3</v>
      </c>
      <c r="AE293" s="1097"/>
      <c r="AF293" s="1098"/>
      <c r="AG293" s="1096" t="s">
        <v>1941</v>
      </c>
      <c r="AH293" s="1097"/>
      <c r="AI293" s="1098"/>
      <c r="AJ293" s="1096" t="s">
        <v>1942</v>
      </c>
      <c r="AK293" s="1097"/>
      <c r="AL293" s="1098"/>
      <c r="AM293" s="1096" t="s">
        <v>1943</v>
      </c>
      <c r="AN293" s="1097"/>
      <c r="AO293" s="1098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96" t="s">
        <v>1639</v>
      </c>
      <c r="D357" s="1097"/>
      <c r="E357" s="1098"/>
      <c r="F357" s="1096" t="s">
        <v>1934</v>
      </c>
      <c r="G357" s="1097"/>
      <c r="H357" s="1098"/>
      <c r="I357" s="1096" t="s">
        <v>1935</v>
      </c>
      <c r="J357" s="1097"/>
      <c r="K357" s="1098"/>
      <c r="L357" s="1096" t="s">
        <v>1936</v>
      </c>
      <c r="M357" s="1097"/>
      <c r="N357" s="1098"/>
      <c r="O357" s="1096" t="s">
        <v>1937</v>
      </c>
      <c r="P357" s="1097"/>
      <c r="Q357" s="1098"/>
      <c r="R357" s="1096" t="s">
        <v>1938</v>
      </c>
      <c r="S357" s="1097"/>
      <c r="T357" s="1098"/>
      <c r="U357" s="1096" t="s">
        <v>1916</v>
      </c>
      <c r="V357" s="1097"/>
      <c r="W357" s="1098"/>
      <c r="X357" s="1096" t="s">
        <v>1939</v>
      </c>
      <c r="Y357" s="1097"/>
      <c r="Z357" s="1098"/>
      <c r="AA357" s="1096" t="s">
        <v>1940</v>
      </c>
      <c r="AB357" s="1097"/>
      <c r="AC357" s="1098"/>
      <c r="AD357" s="1096" t="s">
        <v>3</v>
      </c>
      <c r="AE357" s="1097"/>
      <c r="AF357" s="1098"/>
      <c r="AG357" s="1096" t="s">
        <v>1941</v>
      </c>
      <c r="AH357" s="1097"/>
      <c r="AI357" s="1098"/>
      <c r="AJ357" s="1096" t="s">
        <v>1942</v>
      </c>
      <c r="AK357" s="1097"/>
      <c r="AL357" s="1098"/>
      <c r="AM357" s="1096" t="s">
        <v>1943</v>
      </c>
      <c r="AN357" s="1097"/>
      <c r="AO357" s="1098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96" t="s">
        <v>1639</v>
      </c>
      <c r="D403" s="1097"/>
      <c r="E403" s="1098"/>
      <c r="F403" s="1096" t="s">
        <v>1934</v>
      </c>
      <c r="G403" s="1097"/>
      <c r="H403" s="1098"/>
      <c r="I403" s="1096" t="s">
        <v>1935</v>
      </c>
      <c r="J403" s="1097"/>
      <c r="K403" s="1098"/>
      <c r="L403" s="1096" t="s">
        <v>1936</v>
      </c>
      <c r="M403" s="1097"/>
      <c r="N403" s="1098"/>
      <c r="O403" s="1096" t="s">
        <v>1937</v>
      </c>
      <c r="P403" s="1097"/>
      <c r="Q403" s="1098"/>
      <c r="R403" s="1096" t="s">
        <v>1938</v>
      </c>
      <c r="S403" s="1097"/>
      <c r="T403" s="1098"/>
      <c r="U403" s="1096" t="s">
        <v>1916</v>
      </c>
      <c r="V403" s="1097"/>
      <c r="W403" s="1098"/>
      <c r="X403" s="1096" t="s">
        <v>1939</v>
      </c>
      <c r="Y403" s="1097"/>
      <c r="Z403" s="1098"/>
      <c r="AA403" s="1096" t="s">
        <v>1940</v>
      </c>
      <c r="AB403" s="1097"/>
      <c r="AC403" s="1098"/>
      <c r="AD403" s="1096" t="s">
        <v>3</v>
      </c>
      <c r="AE403" s="1097"/>
      <c r="AF403" s="1098"/>
      <c r="AG403" s="1096" t="s">
        <v>1941</v>
      </c>
      <c r="AH403" s="1097"/>
      <c r="AI403" s="1098"/>
      <c r="AJ403" s="1096" t="s">
        <v>1942</v>
      </c>
      <c r="AK403" s="1097"/>
      <c r="AL403" s="1098"/>
      <c r="AM403" s="1096" t="s">
        <v>1943</v>
      </c>
      <c r="AN403" s="1097"/>
      <c r="AO403" s="1098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A403:AC403"/>
    <mergeCell ref="AD403:AF403"/>
    <mergeCell ref="AJ357:AL357"/>
    <mergeCell ref="C357:E357"/>
    <mergeCell ref="F357:H357"/>
    <mergeCell ref="I357:K357"/>
    <mergeCell ref="L357:N357"/>
    <mergeCell ref="O357:Q357"/>
    <mergeCell ref="R357:T357"/>
    <mergeCell ref="AG403:AI403"/>
    <mergeCell ref="AJ403:AL403"/>
    <mergeCell ref="AA293:AC293"/>
    <mergeCell ref="AD293:AF293"/>
    <mergeCell ref="AG293:AI293"/>
    <mergeCell ref="AJ293:AL293"/>
    <mergeCell ref="AM293:AO293"/>
    <mergeCell ref="R293:T293"/>
    <mergeCell ref="U293:W293"/>
    <mergeCell ref="X293:Z293"/>
    <mergeCell ref="U239:W239"/>
    <mergeCell ref="X239:Z239"/>
    <mergeCell ref="C293:E293"/>
    <mergeCell ref="F293:H293"/>
    <mergeCell ref="I293:K293"/>
    <mergeCell ref="L293:N293"/>
    <mergeCell ref="O293:Q293"/>
    <mergeCell ref="AG172:AI172"/>
    <mergeCell ref="AJ172:AL172"/>
    <mergeCell ref="AM172:AO172"/>
    <mergeCell ref="AJ239:AL239"/>
    <mergeCell ref="C239:E239"/>
    <mergeCell ref="F239:H239"/>
    <mergeCell ref="I239:K239"/>
    <mergeCell ref="L239:N239"/>
    <mergeCell ref="O239:Q239"/>
    <mergeCell ref="R239:T239"/>
    <mergeCell ref="AM239:AO239"/>
    <mergeCell ref="AA239:AC239"/>
    <mergeCell ref="AD239:AF239"/>
    <mergeCell ref="AG239:AI239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A172:AC172"/>
    <mergeCell ref="AD172:AF172"/>
    <mergeCell ref="AJ94:AL94"/>
    <mergeCell ref="C94:E94"/>
    <mergeCell ref="F94:H94"/>
    <mergeCell ref="I94:K94"/>
    <mergeCell ref="L94:N94"/>
    <mergeCell ref="O94:Q94"/>
    <mergeCell ref="R94:T94"/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97"/>
  <sheetViews>
    <sheetView view="pageBreakPreview" topLeftCell="L448" zoomScale="55" zoomScaleNormal="55" zoomScaleSheetLayoutView="55" workbookViewId="0">
      <selection activeCell="AG458" sqref="AG458"/>
    </sheetView>
  </sheetViews>
  <sheetFormatPr baseColWidth="10" defaultColWidth="12.625" defaultRowHeight="15" customHeight="1"/>
  <cols>
    <col min="1" max="1" width="24.125" style="600" customWidth="1"/>
    <col min="2" max="2" width="36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30.75" bestFit="1" customWidth="1"/>
    <col min="29" max="29" width="17.5" customWidth="1"/>
    <col min="30" max="30" width="17.5" style="600" customWidth="1"/>
    <col min="31" max="31" width="10.875" customWidth="1"/>
    <col min="32" max="32" width="12" customWidth="1"/>
    <col min="33" max="33" width="18.875" customWidth="1"/>
    <col min="34" max="34" width="10.875" customWidth="1"/>
    <col min="35" max="35" width="16.25" customWidth="1"/>
    <col min="36" max="36" width="12.375" customWidth="1"/>
    <col min="37" max="37" width="10.875" customWidth="1"/>
    <col min="38" max="38" width="10" customWidth="1"/>
    <col min="39" max="39" width="17.5" customWidth="1"/>
    <col min="40" max="40" width="10.875" customWidth="1"/>
    <col min="41" max="41" width="16" customWidth="1"/>
    <col min="42" max="42" width="12.375" customWidth="1"/>
    <col min="43" max="63" width="11" customWidth="1"/>
  </cols>
  <sheetData>
    <row r="1" spans="1:55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55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5" ht="21" thickTop="1">
      <c r="B3" s="24"/>
      <c r="C3" s="280"/>
      <c r="D3" s="1105" t="s">
        <v>77</v>
      </c>
      <c r="E3" s="1106"/>
      <c r="F3" s="1107"/>
      <c r="G3" s="1108" t="s">
        <v>78</v>
      </c>
      <c r="H3" s="1106"/>
      <c r="I3" s="1107"/>
      <c r="J3" s="1108" t="s">
        <v>79</v>
      </c>
      <c r="K3" s="1106"/>
      <c r="L3" s="1107"/>
      <c r="M3" s="1108" t="s">
        <v>80</v>
      </c>
      <c r="N3" s="1107"/>
      <c r="O3" s="1105" t="s">
        <v>81</v>
      </c>
      <c r="P3" s="1106"/>
      <c r="Q3" s="1107"/>
      <c r="R3" s="1108" t="s">
        <v>82</v>
      </c>
      <c r="S3" s="1109"/>
      <c r="T3" s="25"/>
      <c r="U3" s="25"/>
      <c r="V3" s="1070" t="s">
        <v>2892</v>
      </c>
      <c r="W3" s="1087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55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1070" t="s">
        <v>2893</v>
      </c>
      <c r="W4" s="1087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spans="1:55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+INDEX('Budget original'!$A$2:$AO$496,MATCH($A5,'Budget original'!$A$2:$A$496,0),MATCH(F$2,'Budget original'!$A$2:$AO$2,0))</f>
        <v>1882577.9033123129</v>
      </c>
      <c r="G5" s="327"/>
      <c r="H5" s="439"/>
      <c r="I5" s="660">
        <f>+INDEX('Budget révisé'!$A$2:$AO$496,MATCH($A5,'Budget révisé'!$A$2:$A$496,0),MATCH(I$2,'Budget révisé'!$A$2:$AO$2,0))</f>
        <v>1882577.9033123129</v>
      </c>
      <c r="J5" s="327"/>
      <c r="K5" s="201"/>
      <c r="L5" s="194">
        <f>-SUMIFS(BV_Data_An_Cour!$O:$O,BV_Data_An_Cour!$X:$X,"Oui",BV_Data_An_Cour!$U:$U,$B5)</f>
        <v>1000809.9600000001</v>
      </c>
      <c r="M5" s="440"/>
      <c r="N5" s="441"/>
      <c r="O5" s="327"/>
      <c r="P5" s="201"/>
      <c r="Q5" s="194">
        <f>-SUMIFS(BV_Data_An_Prec!$O:$O,BV_Data_An_Prec!$X:$X,"Oui",BV_Data_An_Prec!$U:$U,$B5)</f>
        <v>2192034.1999999997</v>
      </c>
      <c r="R5" s="440"/>
      <c r="S5" s="442"/>
      <c r="T5" s="239"/>
      <c r="U5" s="239"/>
      <c r="V5" s="1088" t="s">
        <v>2894</v>
      </c>
      <c r="W5" s="1089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</row>
    <row r="6" spans="1:55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+INDEX('Budget original'!$A$2:$AO$496,MATCH($A6,'Budget original'!$A$2:$A$496,0),MATCH(D$2,'Budget original'!$A$2:$AO$2,0))</f>
        <v>23.607095531789504</v>
      </c>
      <c r="E6" s="196">
        <f>IF(D6=0,0,F6/D6)</f>
        <v>604.29042904290429</v>
      </c>
      <c r="F6" s="196">
        <f>+INDEX('Budget original'!$A$2:$AO$496,MATCH($A6,'Budget original'!$A$2:$A$496,0),MATCH(F$2,'Budget original'!$A$2:$AO$2,0))</f>
        <v>14265.541887361909</v>
      </c>
      <c r="G6" s="199">
        <f>+INDEX('Budget révisé'!$A$2:$AO$496,MATCH($A6,'Budget révisé'!$A$2:$A$496,0),MATCH(G$2,'Budget révisé'!$A$2:$AO$2,0))</f>
        <v>23.607095531789504</v>
      </c>
      <c r="H6" s="196">
        <f>IF(G6=0,0,I6/G6)</f>
        <v>604.29042904290429</v>
      </c>
      <c r="I6" s="196">
        <f>+INDEX('Budget révisé'!$A$2:$AO$496,MATCH($A6,'Budget révisé'!$A$2:$A$496,0),MATCH(I$2,'Budget révisé'!$A$2:$AO$2,0))</f>
        <v>14265.541887361909</v>
      </c>
      <c r="J6" s="199">
        <f>-SUMIFS(BV_Data_An_Cour!$O:$O,BV_Data_An_Cour!$U:$U,$B6,BV_Data_An_Cour!$V:$V,$C6,BV_Data_An_Cour!$W:$W,J$2)</f>
        <v>7</v>
      </c>
      <c r="K6" s="196">
        <f>IF(J6=0,0,L6/J6)</f>
        <v>590.46000000000072</v>
      </c>
      <c r="L6" s="572">
        <f>-SUMIFS(BV_Data_An_Cour!$O:$O,BV_Data_An_Cour!$U:$U,$B6,BV_Data_An_Cour!$V:$V,$C6,BV_Data_An_Cour!$W:$W,L$2)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-SUMIFS(BV_Data_An_Prec!$O:$O,BV_Data_An_Prec!$U:$U,$B6,BV_Data_An_Prec!$V:$V,$C6,BV_Data_An_Prec!$W:$W,O$2)</f>
        <v>43</v>
      </c>
      <c r="P6" s="196">
        <f>IF(O6=0,0,Q6/O6)</f>
        <v>741.05116279070273</v>
      </c>
      <c r="Q6" s="572">
        <f>-SUMIFS(BV_Data_An_Prec!$O:$O,BV_Data_An_Prec!$U:$U,$B6,BV_Data_An_Prec!$V:$V,$C6,BV_Data_An_Prec!$W:$W,Q$2)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1088" t="s">
        <v>2895</v>
      </c>
      <c r="W6" s="1089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</row>
    <row r="7" spans="1:55" s="600" customFormat="1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+INDEX('Budget original'!$A$2:$AO$496,MATCH($A7,'Budget original'!$A$2:$A$496,0),MATCH(D$2,'Budget original'!$A$2:$AO$2,0))</f>
        <v>31.709860994845965</v>
      </c>
      <c r="E7" s="196">
        <f t="shared" ref="E7:E12" si="6">IF(D7=0,0,F7/D7)</f>
        <v>1315.4791154791155</v>
      </c>
      <c r="F7" s="196">
        <f>+INDEX('Budget original'!$A$2:$AO$496,MATCH($A7,'Budget original'!$A$2:$A$496,0),MATCH(F$2,'Budget original'!$A$2:$AO$2,0))</f>
        <v>41713.659893465679</v>
      </c>
      <c r="G7" s="199">
        <f>+INDEX('Budget révisé'!$A$2:$AO$496,MATCH($A7,'Budget révisé'!$A$2:$A$496,0),MATCH(G$2,'Budget révisé'!$A$2:$AO$2,0))</f>
        <v>31.709860994845965</v>
      </c>
      <c r="H7" s="196">
        <f t="shared" ref="H7:H12" si="7">IF(G7=0,0,I7/G7)</f>
        <v>1315.4791154791155</v>
      </c>
      <c r="I7" s="196">
        <f>+INDEX('Budget révisé'!$A$2:$AO$496,MATCH($A7,'Budget révisé'!$A$2:$A$496,0),MATCH(I$2,'Budget révisé'!$A$2:$AO$2,0))</f>
        <v>41713.659893465679</v>
      </c>
      <c r="J7" s="199">
        <f>-SUMIFS(BV_Data_An_Cour!$O:$O,BV_Data_An_Cour!$U:$U,$B7,BV_Data_An_Cour!$V:$V,$C7,BV_Data_An_Cour!$W:$W,J$2)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-SUMIFS(BV_Data_An_Cour!$O:$O,BV_Data_An_Cour!$U:$U,$B7,BV_Data_An_Cour!$V:$V,$C7,BV_Data_An_Cour!$W:$W,L$2)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-SUMIFS(BV_Data_An_Prec!$O:$O,BV_Data_An_Prec!$U:$U,$B7,BV_Data_An_Prec!$V:$V,$C7,BV_Data_An_Prec!$W:$W,O$2)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-SUMIFS(BV_Data_An_Prec!$O:$O,BV_Data_An_Prec!$U:$U,$B7,BV_Data_An_Prec!$V:$V,$C7,BV_Data_An_Prec!$W:$W,Q$2)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1070" t="s">
        <v>2896</v>
      </c>
      <c r="W7" s="1087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</row>
    <row r="8" spans="1:55" s="600" customFormat="1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+INDEX('Budget original'!$A$2:$AO$496,MATCH($A8,'Budget original'!$A$2:$A$496,0),MATCH(D$2,'Budget original'!$A$2:$AO$2,0))</f>
        <v>0</v>
      </c>
      <c r="E8" s="196">
        <f t="shared" si="6"/>
        <v>0</v>
      </c>
      <c r="F8" s="196">
        <f>+INDEX('Budget original'!$A$2:$AO$496,MATCH($A8,'Budget original'!$A$2:$A$496,0),MATCH(F$2,'Budget original'!$A$2:$AO$2,0))</f>
        <v>0</v>
      </c>
      <c r="G8" s="199">
        <f>+INDEX('Budget révisé'!$A$2:$AO$496,MATCH($A8,'Budget révisé'!$A$2:$A$496,0),MATCH(G$2,'Budget révisé'!$A$2:$AO$2,0))</f>
        <v>0</v>
      </c>
      <c r="H8" s="196">
        <f t="shared" si="7"/>
        <v>0</v>
      </c>
      <c r="I8" s="196">
        <f>+INDEX('Budget révisé'!$A$2:$AO$496,MATCH($A8,'Budget révisé'!$A$2:$A$496,0),MATCH(I$2,'Budget révisé'!$A$2:$AO$2,0))</f>
        <v>0</v>
      </c>
      <c r="J8" s="199">
        <f>-SUMIFS(BV_Data_An_Cour!$O:$O,BV_Data_An_Cour!$U:$U,$B8,BV_Data_An_Cour!$V:$V,$C8,BV_Data_An_Cour!$W:$W,J$2)</f>
        <v>0</v>
      </c>
      <c r="K8" s="196">
        <f t="shared" si="8"/>
        <v>0</v>
      </c>
      <c r="L8" s="572">
        <f>-SUMIFS(BV_Data_An_Cour!$O:$O,BV_Data_An_Cour!$U:$U,$B8,BV_Data_An_Cour!$V:$V,$C8,BV_Data_An_Cour!$W:$W,L$2)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-SUMIFS(BV_Data_An_Prec!$O:$O,BV_Data_An_Prec!$U:$U,$B8,BV_Data_An_Prec!$V:$V,$C8,BV_Data_An_Prec!$W:$W,O$2)</f>
        <v>0</v>
      </c>
      <c r="P8" s="196">
        <f t="shared" si="11"/>
        <v>0</v>
      </c>
      <c r="Q8" s="572">
        <f>-SUMIFS(BV_Data_An_Prec!$O:$O,BV_Data_An_Prec!$U:$U,$B8,BV_Data_An_Prec!$V:$V,$C8,BV_Data_An_Prec!$W:$W,Q$2)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1070"/>
      <c r="W8" s="1087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</row>
    <row r="9" spans="1:55" s="600" customFormat="1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+INDEX('Budget original'!$A$2:$AO$496,MATCH($A9,'Budget original'!$A$2:$A$496,0),MATCH(D$2,'Budget original'!$A$2:$AO$2,0))</f>
        <v>0</v>
      </c>
      <c r="E9" s="196">
        <f t="shared" si="6"/>
        <v>0</v>
      </c>
      <c r="F9" s="196">
        <f>+INDEX('Budget original'!$A$2:$AO$496,MATCH($A9,'Budget original'!$A$2:$A$496,0),MATCH(F$2,'Budget original'!$A$2:$AO$2,0))</f>
        <v>0</v>
      </c>
      <c r="G9" s="199">
        <f>+INDEX('Budget révisé'!$A$2:$AO$496,MATCH($A9,'Budget révisé'!$A$2:$A$496,0),MATCH(G$2,'Budget révisé'!$A$2:$AO$2,0))</f>
        <v>0</v>
      </c>
      <c r="H9" s="196">
        <f t="shared" si="7"/>
        <v>0</v>
      </c>
      <c r="I9" s="196">
        <f>+INDEX('Budget révisé'!$A$2:$AO$496,MATCH($A9,'Budget révisé'!$A$2:$A$496,0),MATCH(I$2,'Budget révisé'!$A$2:$AO$2,0))</f>
        <v>0</v>
      </c>
      <c r="J9" s="199">
        <f>-SUMIFS(BV_Data_An_Cour!$O:$O,BV_Data_An_Cour!$U:$U,$B9,BV_Data_An_Cour!$V:$V,$C9,BV_Data_An_Cour!$W:$W,J$2)</f>
        <v>0</v>
      </c>
      <c r="K9" s="196">
        <f t="shared" si="8"/>
        <v>0</v>
      </c>
      <c r="L9" s="572">
        <f>-SUMIFS(BV_Data_An_Cour!$O:$O,BV_Data_An_Cour!$U:$U,$B9,BV_Data_An_Cour!$V:$V,$C9,BV_Data_An_Cour!$W:$W,L$2)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-SUMIFS(BV_Data_An_Prec!$O:$O,BV_Data_An_Prec!$U:$U,$B9,BV_Data_An_Prec!$V:$V,$C9,BV_Data_An_Prec!$W:$W,O$2)</f>
        <v>0</v>
      </c>
      <c r="P9" s="196">
        <f t="shared" si="11"/>
        <v>0</v>
      </c>
      <c r="Q9" s="572">
        <f>-SUMIFS(BV_Data_An_Prec!$O:$O,BV_Data_An_Prec!$U:$U,$B9,BV_Data_An_Prec!$V:$V,$C9,BV_Data_An_Prec!$W:$W,Q$2)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</row>
    <row r="10" spans="1:55" s="600" customFormat="1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+INDEX('Budget original'!$A$2:$AO$496,MATCH($A10,'Budget original'!$A$2:$A$496,0),MATCH(D$2,'Budget original'!$A$2:$AO$2,0))</f>
        <v>0</v>
      </c>
      <c r="E10" s="196">
        <f t="shared" si="6"/>
        <v>0</v>
      </c>
      <c r="F10" s="196">
        <f>+INDEX('Budget original'!$A$2:$AO$496,MATCH($A10,'Budget original'!$A$2:$A$496,0),MATCH(F$2,'Budget original'!$A$2:$AO$2,0))</f>
        <v>0</v>
      </c>
      <c r="G10" s="199">
        <f>+INDEX('Budget révisé'!$A$2:$AO$496,MATCH($A10,'Budget révisé'!$A$2:$A$496,0),MATCH(G$2,'Budget révisé'!$A$2:$AO$2,0))</f>
        <v>0</v>
      </c>
      <c r="H10" s="196">
        <f t="shared" si="7"/>
        <v>0</v>
      </c>
      <c r="I10" s="196">
        <f>+INDEX('Budget révisé'!$A$2:$AO$496,MATCH($A10,'Budget révisé'!$A$2:$A$496,0),MATCH(I$2,'Budget révisé'!$A$2:$AO$2,0))</f>
        <v>0</v>
      </c>
      <c r="J10" s="199">
        <f>-SUMIFS(BV_Data_An_Cour!$O:$O,BV_Data_An_Cour!$U:$U,$B10,BV_Data_An_Cour!$V:$V,$C10,BV_Data_An_Cour!$W:$W,J$2)</f>
        <v>0</v>
      </c>
      <c r="K10" s="196">
        <f t="shared" si="8"/>
        <v>0</v>
      </c>
      <c r="L10" s="572">
        <f>-SUMIFS(BV_Data_An_Cour!$O:$O,BV_Data_An_Cour!$U:$U,$B10,BV_Data_An_Cour!$V:$V,$C10,BV_Data_An_Cour!$W:$W,L$2)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-SUMIFS(BV_Data_An_Prec!$O:$O,BV_Data_An_Prec!$U:$U,$B10,BV_Data_An_Prec!$V:$V,$C10,BV_Data_An_Prec!$W:$W,O$2)</f>
        <v>0</v>
      </c>
      <c r="P10" s="196">
        <f t="shared" si="11"/>
        <v>0</v>
      </c>
      <c r="Q10" s="572">
        <f>-SUMIFS(BV_Data_An_Prec!$O:$O,BV_Data_An_Prec!$U:$U,$B10,BV_Data_An_Prec!$V:$V,$C10,BV_Data_An_Prec!$W:$W,Q$2)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1" spans="1:55" s="600" customFormat="1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+INDEX('Budget original'!$A$2:$AO$496,MATCH($A11,'Budget original'!$A$2:$A$496,0),MATCH(D$2,'Budget original'!$A$2:$AO$2,0))</f>
        <v>0</v>
      </c>
      <c r="E11" s="196">
        <f t="shared" si="6"/>
        <v>0</v>
      </c>
      <c r="F11" s="196">
        <f>+INDEX('Budget original'!$A$2:$AO$496,MATCH($A11,'Budget original'!$A$2:$A$496,0),MATCH(F$2,'Budget original'!$A$2:$AO$2,0))</f>
        <v>0</v>
      </c>
      <c r="G11" s="199">
        <f>+INDEX('Budget révisé'!$A$2:$AO$496,MATCH($A11,'Budget révisé'!$A$2:$A$496,0),MATCH(G$2,'Budget révisé'!$A$2:$AO$2,0))</f>
        <v>0</v>
      </c>
      <c r="H11" s="196">
        <f t="shared" si="7"/>
        <v>0</v>
      </c>
      <c r="I11" s="196">
        <f>+INDEX('Budget révisé'!$A$2:$AO$496,MATCH($A11,'Budget révisé'!$A$2:$A$496,0),MATCH(I$2,'Budget révisé'!$A$2:$AO$2,0))</f>
        <v>0</v>
      </c>
      <c r="J11" s="199">
        <f>-SUMIFS(BV_Data_An_Cour!$O:$O,BV_Data_An_Cour!$U:$U,$B11,BV_Data_An_Cour!$V:$V,$C11,BV_Data_An_Cour!$W:$W,J$2)</f>
        <v>0</v>
      </c>
      <c r="K11" s="196">
        <f t="shared" si="8"/>
        <v>0</v>
      </c>
      <c r="L11" s="572">
        <f>-SUMIFS(BV_Data_An_Cour!$O:$O,BV_Data_An_Cour!$U:$U,$B11,BV_Data_An_Cour!$V:$V,$C11,BV_Data_An_Cour!$W:$W,L$2)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-SUMIFS(BV_Data_An_Prec!$O:$O,BV_Data_An_Prec!$U:$U,$B11,BV_Data_An_Prec!$V:$V,$C11,BV_Data_An_Prec!$W:$W,O$2)</f>
        <v>0</v>
      </c>
      <c r="P11" s="196">
        <f t="shared" si="11"/>
        <v>0</v>
      </c>
      <c r="Q11" s="572">
        <f>-SUMIFS(BV_Data_An_Prec!$O:$O,BV_Data_An_Prec!$U:$U,$B11,BV_Data_An_Prec!$V:$V,$C11,BV_Data_An_Prec!$W:$W,Q$2)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spans="1:55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+INDEX('Budget original'!$A$2:$AO$496,MATCH($A12,'Budget original'!$A$2:$A$496,0),MATCH(D$2,'Budget original'!$A$2:$AO$2,0))</f>
        <v>0</v>
      </c>
      <c r="E12" s="196">
        <f t="shared" si="6"/>
        <v>0</v>
      </c>
      <c r="F12" s="196">
        <f>+INDEX('Budget original'!$A$2:$AO$496,MATCH($A12,'Budget original'!$A$2:$A$496,0),MATCH(F$2,'Budget original'!$A$2:$AO$2,0))</f>
        <v>0</v>
      </c>
      <c r="G12" s="199">
        <f>+INDEX('Budget révisé'!$A$2:$AO$496,MATCH($A12,'Budget révisé'!$A$2:$A$496,0),MATCH(G$2,'Budget révisé'!$A$2:$AO$2,0))</f>
        <v>0</v>
      </c>
      <c r="H12" s="196">
        <f t="shared" si="7"/>
        <v>0</v>
      </c>
      <c r="I12" s="196">
        <f>+INDEX('Budget révisé'!$A$2:$AO$496,MATCH($A12,'Budget révisé'!$A$2:$A$496,0),MATCH(I$2,'Budget révisé'!$A$2:$AO$2,0))</f>
        <v>0</v>
      </c>
      <c r="J12" s="199">
        <f>-SUMIFS(BV_Data_An_Cour!$O:$O,BV_Data_An_Cour!$U:$U,$B12,BV_Data_An_Cour!$V:$V,$C12,BV_Data_An_Cour!$W:$W,J$2)</f>
        <v>0</v>
      </c>
      <c r="K12" s="196">
        <f t="shared" si="8"/>
        <v>0</v>
      </c>
      <c r="L12" s="572">
        <f>-SUMIFS(BV_Data_An_Cour!$O:$O,BV_Data_An_Cour!$U:$U,$B12,BV_Data_An_Cour!$V:$V,$C12,BV_Data_An_Cour!$W:$W,L$2)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-SUMIFS(BV_Data_An_Prec!$O:$O,BV_Data_An_Prec!$U:$U,$B12,BV_Data_An_Prec!$V:$V,$C12,BV_Data_An_Prec!$W:$W,O$2)</f>
        <v>0</v>
      </c>
      <c r="P12" s="196">
        <f t="shared" si="11"/>
        <v>0</v>
      </c>
      <c r="Q12" s="572">
        <f>-SUMIFS(BV_Data_An_Prec!$O:$O,BV_Data_An_Prec!$U:$U,$B12,BV_Data_An_Prec!$V:$V,$C12,BV_Data_An_Prec!$W:$W,Q$2)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</row>
    <row r="13" spans="1:55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1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  <c r="BC13" s="532"/>
    </row>
    <row r="14" spans="1:55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1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  <c r="BC14" s="532"/>
    </row>
    <row r="15" spans="1:55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+INDEX('Budget original'!$A$2:$AO$496,MATCH($A15,'Budget original'!$A$2:$A$496,0),MATCH(D$2,'Budget original'!$A$2:$AO$2,0))</f>
        <v>5.7654292717901754</v>
      </c>
      <c r="E15" s="201">
        <f t="shared" ref="E15" si="15">IF(D15=0,0,F15/D15)</f>
        <v>400</v>
      </c>
      <c r="F15" s="194">
        <f>+INDEX('Budget original'!$A$2:$AO$496,MATCH($A15,'Budget original'!$A$2:$A$496,0),MATCH(F$2,'Budget original'!$A$2:$AO$2,0))</f>
        <v>2306.17170871607</v>
      </c>
      <c r="G15" s="200">
        <f>+INDEX('Budget révisé'!$A$2:$AO$496,MATCH($A15,'Budget révisé'!$A$2:$A$496,0),MATCH(G$2,'Budget révisé'!$A$2:$AO$2,0))</f>
        <v>5.7654292717901754</v>
      </c>
      <c r="H15" s="424">
        <f t="shared" ref="H15" si="16">IF(G15=0,0,I15/G15)</f>
        <v>400</v>
      </c>
      <c r="I15" s="422">
        <f>+INDEX('Budget révisé'!$A$2:$AO$496,MATCH($A15,'Budget révisé'!$A$2:$A$496,0),MATCH(I$2,'Budget révisé'!$A$2:$AO$2,0))</f>
        <v>2306.17170871607</v>
      </c>
      <c r="J15" s="565">
        <f>-SUMIFS(BV_Data_An_Cour!$O:$O,BV_Data_An_Cour!$U:$U,$B15,BV_Data_An_Cour!$V:$V,$C15,BV_Data_An_Cour!$W:$W,J$2)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-SUMIFS(BV_Data_An_Cour!$O:$O,BV_Data_An_Cour!$U:$U,$B15,BV_Data_An_Cour!$V:$V,$C15,BV_Data_An_Cour!$W:$W,L$2)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-SUMIFS(BV_Data_An_Prec!$O:$O,BV_Data_An_Prec!$U:$U,$B15,BV_Data_An_Prec!$V:$V,$C15,BV_Data_An_Prec!$W:$W,O$2)</f>
        <v>0</v>
      </c>
      <c r="P15" s="566">
        <f>IF(O15=0,0,Q15/O15)</f>
        <v>0</v>
      </c>
      <c r="Q15" s="566">
        <f>-SUMIFS(BV_Data_An_Prec!$O:$O,BV_Data_An_Prec!$U:$U,$B15,BV_Data_An_Prec!$V:$V,$C15,BV_Data_An_Prec!$W:$W,Q$2)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1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  <c r="BC15" s="532"/>
    </row>
    <row r="16" spans="1:55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1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  <c r="BC16" s="532"/>
    </row>
    <row r="17" spans="1:55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+INDEX('Budget original'!$A$2:$AO$496,MATCH($A17,'Budget original'!$A$2:$A$496,0),MATCH(D$2,'Budget original'!$A$2:$AO$2,0))</f>
        <v>0</v>
      </c>
      <c r="E17" s="196">
        <f t="shared" ref="E17" si="17">IF(D17=0,0,F17/D17)</f>
        <v>0</v>
      </c>
      <c r="F17" s="196">
        <f>+INDEX('Budget original'!$A$2:$AO$496,MATCH($A17,'Budget original'!$A$2:$A$496,0),MATCH(F$2,'Budget original'!$A$2:$AO$2,0))</f>
        <v>0</v>
      </c>
      <c r="G17" s="199">
        <f>+INDEX('Budget révisé'!$A$2:$AO$496,MATCH($A17,'Budget révisé'!$A$2:$A$496,0),MATCH(G$2,'Budget révisé'!$A$2:$AO$2,0))</f>
        <v>0</v>
      </c>
      <c r="H17" s="196">
        <f t="shared" ref="H17" si="18">IF(G17=0,0,I17/G17)</f>
        <v>0</v>
      </c>
      <c r="I17" s="196">
        <f>+INDEX('Budget révisé'!$A$2:$AO$496,MATCH($A17,'Budget révisé'!$A$2:$A$496,0),MATCH(I$2,'Budget révisé'!$A$2:$AO$2,0))</f>
        <v>0</v>
      </c>
      <c r="J17" s="423">
        <f>-SUMIFS(BV_Data_An_Cour!$O:$O,BV_Data_An_Cour!$U:$U,$B17,BV_Data_An_Cour!$V:$V,$C17,BV_Data_An_Cour!$W:$W,J$2)</f>
        <v>0</v>
      </c>
      <c r="K17" s="196">
        <f>IF(J17=0,0,L17/J17)</f>
        <v>0</v>
      </c>
      <c r="L17" s="197">
        <f>-SUMIFS(BV_Data_An_Cour!$O:$O,BV_Data_An_Cour!$U:$U,$B17,BV_Data_An_Cour!$V:$V,$C17,BV_Data_An_Cour!$W:$W,L$2)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-SUMIFS(BV_Data_An_Prec!$O:$O,BV_Data_An_Prec!$U:$U,$B17,BV_Data_An_Prec!$V:$V,$C17,BV_Data_An_Prec!$W:$W,O$2)</f>
        <v>0</v>
      </c>
      <c r="P17" s="196">
        <f>IF(O17=0,0,Q17/O17)</f>
        <v>0</v>
      </c>
      <c r="Q17" s="197">
        <f>-SUMIFS(BV_Data_An_Prec!$O:$O,BV_Data_An_Prec!$U:$U,$B17,BV_Data_An_Prec!$V:$V,$C17,BV_Data_An_Prec!$W:$W,Q$2)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1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  <c r="BC17" s="532"/>
    </row>
    <row r="18" spans="1:55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1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  <c r="BC18" s="532"/>
    </row>
    <row r="19" spans="1:55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+INDEX('Budget original'!$A$2:$AO$496,MATCH($A19,'Budget original'!$A$2:$A$496,0),MATCH(D$2,'Budget original'!$A$2:$AO$2,0))</f>
        <v>0</v>
      </c>
      <c r="E19" s="196">
        <f t="shared" ref="E19" si="19">IF(D19=0,0,F19/D19)</f>
        <v>0</v>
      </c>
      <c r="F19" s="196">
        <f>+INDEX('Budget original'!$A$2:$AO$496,MATCH($A19,'Budget original'!$A$2:$A$496,0),MATCH(F$2,'Budget original'!$A$2:$AO$2,0))</f>
        <v>5000</v>
      </c>
      <c r="G19" s="199">
        <f>+INDEX('Budget révisé'!$A$2:$AO$496,MATCH($A19,'Budget révisé'!$A$2:$A$496,0),MATCH(G$2,'Budget révisé'!$A$2:$AO$2,0))</f>
        <v>0</v>
      </c>
      <c r="H19" s="196">
        <f t="shared" ref="H19" si="20">IF(G19=0,0,I19/G19)</f>
        <v>0</v>
      </c>
      <c r="I19" s="196">
        <f>+INDEX('Budget révisé'!$A$2:$AO$496,MATCH($A19,'Budget révisé'!$A$2:$A$496,0),MATCH(I$2,'Budget révisé'!$A$2:$AO$2,0))</f>
        <v>5000</v>
      </c>
      <c r="J19" s="200"/>
      <c r="K19" s="196"/>
      <c r="L19" s="197">
        <f>-SUMIFS(BV_Data_An_Cour!$O:$O,BV_Data_An_Cour!$U:$U,$B19,BV_Data_An_Cour!$V:$V,$C19,BV_Data_An_Cour!$W:$W,L$2)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-SUMIFS(BV_Data_An_Prec!$O:$O,BV_Data_An_Prec!$U:$U,$B19,BV_Data_An_Prec!$V:$V,$C19,BV_Data_An_Prec!$W:$W,Q$2)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1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  <c r="BC19" s="532"/>
    </row>
    <row r="20" spans="1:55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1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  <c r="BC20" s="532"/>
    </row>
    <row r="21" spans="1:55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+INDEX('Budget original'!$A$2:$AO$496,MATCH($A21,'Budget original'!$A$2:$A$496,0),MATCH(D$2,'Budget original'!$A$2:$AO$2,0))</f>
        <v>0</v>
      </c>
      <c r="E21" s="196">
        <f t="shared" ref="E21:E23" si="21">IF(D21=0,0,F21/D21)</f>
        <v>0</v>
      </c>
      <c r="F21" s="196">
        <f>+INDEX('Budget original'!$A$2:$AO$496,MATCH($A21,'Budget original'!$A$2:$A$496,0),MATCH(F$2,'Budget original'!$A$2:$AO$2,0))</f>
        <v>5746.6182778184229</v>
      </c>
      <c r="G21" s="320">
        <f>+INDEX('Budget révisé'!$A$2:$AO$496,MATCH($A21,'Budget révisé'!$A$2:$A$496,0),MATCH(G$2,'Budget révisé'!$A$2:$AO$2,0))</f>
        <v>0</v>
      </c>
      <c r="H21" s="196">
        <f t="shared" ref="H21:H23" si="22">IF(G21=0,0,I21/G21)</f>
        <v>0</v>
      </c>
      <c r="I21" s="196">
        <f>+INDEX('Budget révisé'!$A$2:$AO$496,MATCH($A21,'Budget révisé'!$A$2:$A$496,0),MATCH(I$2,'Budget révisé'!$A$2:$AO$2,0))</f>
        <v>5746.6182778184229</v>
      </c>
      <c r="J21" s="199"/>
      <c r="K21" s="196">
        <f>IF(J13=0,0,L21/(J13+J15))</f>
        <v>0</v>
      </c>
      <c r="L21" s="197">
        <f>-SUMIFS(BV_Data_An_Cour!$O:$O,BV_Data_An_Cour!$U:$U,$B21,BV_Data_An_Cour!$V:$V,$C21,BV_Data_An_Cour!$W:$W,L$2)</f>
        <v>0</v>
      </c>
      <c r="M21" s="199"/>
      <c r="N21" s="197">
        <f t="shared" ref="N21:N24" si="23">L21-I21</f>
        <v>-5746.6182778184229</v>
      </c>
      <c r="O21" s="199"/>
      <c r="P21" s="196">
        <f>IF(O13=0,0,Q21/(O13+O15))</f>
        <v>159.33621212121213</v>
      </c>
      <c r="Q21" s="197">
        <f>-SUMIFS(BV_Data_An_Prec!$O:$O,BV_Data_An_Prec!$U:$U,$B21,BV_Data_An_Prec!$V:$V,$C21,BV_Data_An_Prec!$W:$W,Q$2)</f>
        <v>10516.19</v>
      </c>
      <c r="R21" s="199">
        <f t="shared" ref="R21:R23" si="24">O21-K21</f>
        <v>0</v>
      </c>
      <c r="S21" s="416">
        <f t="shared" ref="S21:S24" si="25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1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  <c r="BC21" s="532"/>
    </row>
    <row r="22" spans="1:55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+INDEX('Budget original'!$A$2:$AO$496,MATCH($A22,'Budget original'!$A$2:$A$496,0),MATCH(D$2,'Budget original'!$A$2:$AO$2,0))</f>
        <v>0</v>
      </c>
      <c r="E22" s="196">
        <f t="shared" si="21"/>
        <v>0</v>
      </c>
      <c r="F22" s="196">
        <f>+INDEX('Budget original'!$A$2:$AO$496,MATCH($A22,'Budget original'!$A$2:$A$496,0),MATCH(F$2,'Budget original'!$A$2:$AO$2,0))</f>
        <v>45037.450223832748</v>
      </c>
      <c r="G22" s="320">
        <f>+INDEX('Budget révisé'!$A$2:$AO$496,MATCH($A22,'Budget révisé'!$A$2:$A$496,0),MATCH(G$2,'Budget révisé'!$A$2:$AO$2,0))</f>
        <v>0</v>
      </c>
      <c r="H22" s="196">
        <f t="shared" si="22"/>
        <v>0</v>
      </c>
      <c r="I22" s="196">
        <f>+INDEX('Budget révisé'!$A$2:$AO$496,MATCH($A22,'Budget révisé'!$A$2:$A$496,0),MATCH(I$2,'Budget révisé'!$A$2:$AO$2,0))</f>
        <v>45037.450223832748</v>
      </c>
      <c r="J22" s="199"/>
      <c r="K22" s="196">
        <f>IF(J13=0,0,L22/(J13+J15))</f>
        <v>677.14833333333331</v>
      </c>
      <c r="L22" s="197">
        <f>-SUMIFS(BV_Data_An_Cour!$O:$O,BV_Data_An_Cour!$U:$U,$B22,BV_Data_An_Cour!$V:$V,$C22,BV_Data_An_Cour!$W:$W,L$2)</f>
        <v>16251.56</v>
      </c>
      <c r="M22" s="199"/>
      <c r="N22" s="197">
        <f t="shared" si="23"/>
        <v>-28785.89022383275</v>
      </c>
      <c r="O22" s="199"/>
      <c r="P22" s="196">
        <f>IF(O13=0,0,Q22/(O13+O15))</f>
        <v>468.00954545454545</v>
      </c>
      <c r="Q22" s="197">
        <f>-SUMIFS(BV_Data_An_Prec!$O:$O,BV_Data_An_Prec!$U:$U,$B22,BV_Data_An_Prec!$V:$V,$C22,BV_Data_An_Prec!$W:$W,Q$2)</f>
        <v>30888.63</v>
      </c>
      <c r="R22" s="199">
        <f t="shared" si="24"/>
        <v>-677.14833333333331</v>
      </c>
      <c r="S22" s="416">
        <f t="shared" si="25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1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  <c r="BC22" s="532"/>
    </row>
    <row r="23" spans="1:55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+INDEX('Budget original'!$A$2:$AO$496,MATCH($A23,'Budget original'!$A$2:$A$496,0),MATCH(D$2,'Budget original'!$A$2:$AO$2,0))</f>
        <v>0</v>
      </c>
      <c r="E23" s="196">
        <f t="shared" si="21"/>
        <v>0</v>
      </c>
      <c r="F23" s="196">
        <f>+INDEX('Budget original'!$A$2:$AO$496,MATCH($A23,'Budget original'!$A$2:$A$496,0),MATCH(F$2,'Budget original'!$A$2:$AO$2,0))</f>
        <v>1135.9594270106184</v>
      </c>
      <c r="G23" s="320">
        <f>+INDEX('Budget révisé'!$A$2:$AO$496,MATCH($A23,'Budget révisé'!$A$2:$A$496,0),MATCH(G$2,'Budget révisé'!$A$2:$AO$2,0))</f>
        <v>0</v>
      </c>
      <c r="H23" s="196">
        <f t="shared" si="22"/>
        <v>0</v>
      </c>
      <c r="I23" s="196">
        <f>+INDEX('Budget révisé'!$A$2:$AO$496,MATCH($A23,'Budget révisé'!$A$2:$A$496,0),MATCH(I$2,'Budget révisé'!$A$2:$AO$2,0))</f>
        <v>1135.9594270106184</v>
      </c>
      <c r="J23" s="199"/>
      <c r="K23" s="196">
        <f>IF(J13=0,0,L23/(J13+J15))</f>
        <v>14.202500000000001</v>
      </c>
      <c r="L23" s="197">
        <f>-SUMIFS(BV_Data_An_Cour!$O:$O,BV_Data_An_Cour!$U:$U,$B23,BV_Data_An_Cour!$V:$V,$C23,BV_Data_An_Cour!$W:$W,L$2)</f>
        <v>340.86</v>
      </c>
      <c r="M23" s="423"/>
      <c r="N23" s="197">
        <f t="shared" si="23"/>
        <v>-795.09942701061834</v>
      </c>
      <c r="O23" s="199"/>
      <c r="P23" s="196">
        <f>IF(O13=0,0,Q23/(O13+O15))</f>
        <v>68.940151515151513</v>
      </c>
      <c r="Q23" s="197">
        <f>-SUMIFS(BV_Data_An_Prec!$O:$O,BV_Data_An_Prec!$U:$U,$B23,BV_Data_An_Prec!$V:$V,$C23,BV_Data_An_Prec!$W:$W,Q$2)</f>
        <v>4550.05</v>
      </c>
      <c r="R23" s="199">
        <f t="shared" si="24"/>
        <v>-14.202500000000001</v>
      </c>
      <c r="S23" s="416">
        <f t="shared" si="25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1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  <c r="BC23" s="532"/>
    </row>
    <row r="24" spans="1:55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3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5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1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  <c r="BC24" s="532"/>
    </row>
    <row r="25" spans="1:55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1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  <c r="BC25" s="532"/>
    </row>
    <row r="26" spans="1:55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1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  <c r="BC26" s="532"/>
    </row>
    <row r="27" spans="1:55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1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  <c r="BC27" s="532"/>
    </row>
    <row r="28" spans="1:55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1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  <c r="BC28" s="532"/>
    </row>
    <row r="29" spans="1:55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1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  <c r="BC29" s="532"/>
    </row>
    <row r="30" spans="1:55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1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  <c r="BC30" s="532"/>
    </row>
    <row r="31" spans="1:55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6">F31/D$24</f>
        <v>386.83014711847153</v>
      </c>
      <c r="F31" s="196">
        <f>+INDEX('Budget original'!$A$2:$AO$496,MATCH($A31,'Budget original'!$A$2:$A$496,0),MATCH(F$2,'Budget original'!$A$2:$AO$2,0))</f>
        <v>23628.508284752228</v>
      </c>
      <c r="G31" s="319"/>
      <c r="H31" s="214">
        <f t="shared" ref="H31:H36" si="27">I31/G$24</f>
        <v>386.83014711847153</v>
      </c>
      <c r="I31" s="196">
        <f>+INDEX('Budget révisé'!$A$2:$AO$496,MATCH($A31,'Budget révisé'!$A$2:$A$496,0),MATCH(I$2,'Budget révisé'!$A$2:$AO$2,0))</f>
        <v>23628.508284752228</v>
      </c>
      <c r="J31" s="1081">
        <f>L31/(L15+L13)</f>
        <v>0.66693440885358224</v>
      </c>
      <c r="K31" s="214">
        <f t="shared" ref="K31:K36" si="28">IF(L31=0,0,L31/J$24)</f>
        <v>814.05875000000003</v>
      </c>
      <c r="L31" s="196">
        <f>SUMIFS(BV_Data_An_Cour!$O:$O,BV_Data_An_Cour!$U:$U,$B31,BV_Data_An_Cour!$V:$V,$C31,BV_Data_An_Cour!$W:$W,L$2)</f>
        <v>19537.41</v>
      </c>
      <c r="M31" s="320"/>
      <c r="N31" s="321">
        <f t="shared" ref="N31:N53" si="29">L31-I31</f>
        <v>-4091.0982847522282</v>
      </c>
      <c r="O31" s="320"/>
      <c r="P31" s="214">
        <f t="shared" ref="P31:P36" si="30">IF(Q31=0,0,Q31/O$24)</f>
        <v>450.04287878787881</v>
      </c>
      <c r="Q31" s="197">
        <f>SUMIFS(BV_Data_An_Prec!$O:$O,BV_Data_An_Prec!$U:$U,$B31,BV_Data_An_Prec!$V:$V,$C31,BV_Data_An_Prec!$W:$W,Q$2)</f>
        <v>29702.83</v>
      </c>
      <c r="R31" s="320"/>
      <c r="S31" s="216">
        <f t="shared" ref="S31:S41" si="31">L31-Q31</f>
        <v>-10165.420000000002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1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  <c r="BC31" s="532"/>
    </row>
    <row r="32" spans="1:55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6"/>
        <v>254.99999999999994</v>
      </c>
      <c r="F32" s="194">
        <f>+INDEX('Budget original'!$A$2:$AO$496,MATCH($A32,'Budget original'!$A$2:$A$496,0),MATCH(F$2,'Budget original'!$A$2:$AO$2,0))</f>
        <v>15576.008378598535</v>
      </c>
      <c r="G32" s="326"/>
      <c r="H32" s="207">
        <f t="shared" si="27"/>
        <v>254.99999999999994</v>
      </c>
      <c r="I32" s="194">
        <f>+INDEX('Budget révisé'!$A$2:$AO$496,MATCH($A32,'Budget révisé'!$A$2:$A$496,0),MATCH(I$2,'Budget révisé'!$A$2:$AO$2,0))</f>
        <v>15576.008378598535</v>
      </c>
      <c r="J32" s="1082">
        <f>L32/L24</f>
        <v>0.29489188436647584</v>
      </c>
      <c r="K32" s="430">
        <f t="shared" si="28"/>
        <v>203.87375</v>
      </c>
      <c r="L32" s="194">
        <f>SUMIFS(BV_Data_An_Cour!$O:$O,BV_Data_An_Cour!$U:$U,$B32,BV_Data_An_Cour!$V:$V,$C32,BV_Data_An_Cour!$W:$W,L$2)</f>
        <v>4892.97</v>
      </c>
      <c r="M32" s="327"/>
      <c r="N32" s="328">
        <f t="shared" si="29"/>
        <v>-10683.038378598536</v>
      </c>
      <c r="O32" s="327"/>
      <c r="P32" s="430">
        <f t="shared" si="30"/>
        <v>207.6630303030303</v>
      </c>
      <c r="Q32" s="194">
        <f>SUMIFS(BV_Data_An_Prec!$O:$O,BV_Data_An_Prec!$U:$U,$B32,BV_Data_An_Prec!$V:$V,$C32,BV_Data_An_Prec!$W:$W,Q$2)</f>
        <v>13705.76</v>
      </c>
      <c r="R32" s="327"/>
      <c r="S32" s="219">
        <f t="shared" si="31"/>
        <v>-8812.7900000000009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1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  <c r="BC32" s="532"/>
    </row>
    <row r="33" spans="1:55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6"/>
        <v>197</v>
      </c>
      <c r="F33" s="196">
        <f>+INDEX('Budget original'!$A$2:$AO$496,MATCH($A33,'Budget original'!$A$2:$A$496,0),MATCH(F$2,'Budget original'!$A$2:$AO$2,0))</f>
        <v>12033.230002289851</v>
      </c>
      <c r="G33" s="319"/>
      <c r="H33" s="214">
        <f t="shared" si="27"/>
        <v>197</v>
      </c>
      <c r="I33" s="196">
        <f>+INDEX('Budget révisé'!$A$2:$AO$496,MATCH($A33,'Budget révisé'!$A$2:$A$496,0),MATCH(I$2,'Budget révisé'!$A$2:$AO$2,0))</f>
        <v>12033.230002289851</v>
      </c>
      <c r="J33" s="320"/>
      <c r="K33" s="214">
        <f t="shared" si="28"/>
        <v>199.92916666666667</v>
      </c>
      <c r="L33" s="196">
        <f>SUMIFS(BV_Data_An_Cour!$O:$O,BV_Data_An_Cour!$U:$U,$B33,BV_Data_An_Cour!$V:$V,$C33,BV_Data_An_Cour!$W:$W,L$2)</f>
        <v>4798.3</v>
      </c>
      <c r="M33" s="320"/>
      <c r="N33" s="321">
        <f t="shared" si="29"/>
        <v>-7234.9300022898506</v>
      </c>
      <c r="O33" s="320"/>
      <c r="P33" s="214">
        <f t="shared" si="30"/>
        <v>122.03530303030303</v>
      </c>
      <c r="Q33" s="197">
        <f>SUMIFS(BV_Data_An_Prec!$O:$O,BV_Data_An_Prec!$U:$U,$B33,BV_Data_An_Prec!$V:$V,$C33,BV_Data_An_Prec!$W:$W,Q$2)</f>
        <v>8054.33</v>
      </c>
      <c r="R33" s="320"/>
      <c r="S33" s="216">
        <f t="shared" si="31"/>
        <v>-3256.0299999999997</v>
      </c>
      <c r="T33" s="239"/>
      <c r="U33" s="239"/>
      <c r="V33" s="531"/>
      <c r="W33" s="531">
        <f>L24*0.25</f>
        <v>4148.1049999999996</v>
      </c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1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  <c r="BC33" s="532"/>
    </row>
    <row r="34" spans="1:55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6"/>
        <v>6</v>
      </c>
      <c r="F34" s="196">
        <f>+INDEX('Budget original'!$A$2:$AO$496,MATCH($A34,'Budget original'!$A$2:$A$496,0),MATCH(F$2,'Budget original'!$A$2:$AO$2,0))</f>
        <v>366.49431479055386</v>
      </c>
      <c r="G34" s="319"/>
      <c r="H34" s="214">
        <f t="shared" si="27"/>
        <v>6</v>
      </c>
      <c r="I34" s="196">
        <f>+INDEX('Budget révisé'!$A$2:$AO$496,MATCH($A34,'Budget révisé'!$A$2:$A$496,0),MATCH(I$2,'Budget révisé'!$A$2:$AO$2,0))</f>
        <v>366.49431479055386</v>
      </c>
      <c r="J34" s="320"/>
      <c r="K34" s="214">
        <f t="shared" si="28"/>
        <v>17.662916666666668</v>
      </c>
      <c r="L34" s="196">
        <f>SUMIFS(BV_Data_An_Cour!$O:$O,BV_Data_An_Cour!$U:$U,$B34,BV_Data_An_Cour!$V:$V,$C34,BV_Data_An_Cour!$W:$W,L$2)</f>
        <v>423.91</v>
      </c>
      <c r="M34" s="320"/>
      <c r="N34" s="321">
        <f t="shared" si="29"/>
        <v>57.415685209446167</v>
      </c>
      <c r="O34" s="320"/>
      <c r="P34" s="214">
        <f t="shared" si="30"/>
        <v>0</v>
      </c>
      <c r="Q34" s="197">
        <f>SUMIFS(BV_Data_An_Prec!$O:$O,BV_Data_An_Prec!$U:$U,$B34,BV_Data_An_Prec!$V:$V,$C34,BV_Data_An_Prec!$W:$W,Q$2)</f>
        <v>0</v>
      </c>
      <c r="R34" s="320"/>
      <c r="S34" s="216">
        <f t="shared" si="31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1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  <c r="BC34" s="532"/>
    </row>
    <row r="35" spans="1:55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6"/>
        <v>34</v>
      </c>
      <c r="F35" s="194">
        <f>+INDEX('Budget original'!$A$2:$AO$496,MATCH($A35,'Budget original'!$A$2:$A$496,0),MATCH(F$2,'Budget original'!$A$2:$AO$2,0))</f>
        <v>2076.8011171464718</v>
      </c>
      <c r="G35" s="326"/>
      <c r="H35" s="207">
        <f t="shared" si="27"/>
        <v>34</v>
      </c>
      <c r="I35" s="194">
        <f>+INDEX('Budget révisé'!$A$2:$AO$496,MATCH($A35,'Budget révisé'!$A$2:$A$496,0),MATCH(I$2,'Budget révisé'!$A$2:$AO$2,0))</f>
        <v>2076.8011171464718</v>
      </c>
      <c r="J35" s="327"/>
      <c r="K35" s="430">
        <f t="shared" si="28"/>
        <v>7.0812499999999998</v>
      </c>
      <c r="L35" s="194">
        <f>SUMIFS(BV_Data_An_Cour!$O:$O,BV_Data_An_Cour!$U:$U,$B35,BV_Data_An_Cour!$V:$V,$C35,BV_Data_An_Cour!$W:$W,L$2)</f>
        <v>169.95</v>
      </c>
      <c r="M35" s="327"/>
      <c r="N35" s="328">
        <f t="shared" si="29"/>
        <v>-1906.8511171464718</v>
      </c>
      <c r="O35" s="327"/>
      <c r="P35" s="430">
        <f t="shared" si="30"/>
        <v>24.252272727272729</v>
      </c>
      <c r="Q35" s="197">
        <f>SUMIFS(BV_Data_An_Prec!$O:$O,BV_Data_An_Prec!$U:$U,$B35,BV_Data_An_Prec!$V:$V,$C35,BV_Data_An_Prec!$W:$W,Q$2)</f>
        <v>1600.65</v>
      </c>
      <c r="R35" s="327"/>
      <c r="S35" s="219">
        <f t="shared" si="31"/>
        <v>-1430.7</v>
      </c>
      <c r="T35" s="239"/>
      <c r="U35" s="239"/>
      <c r="V35" s="531"/>
      <c r="W35" s="1083">
        <f>L32-W33</f>
        <v>744.86500000000069</v>
      </c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1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  <c r="BC35" s="532"/>
    </row>
    <row r="36" spans="1:55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6"/>
        <v>180.66964285714283</v>
      </c>
      <c r="F36" s="196">
        <f>+INDEX('Budget original'!$A$2:$AO$496,MATCH($A36,'Budget original'!$A$2:$A$496,0),MATCH(F$2,'Budget original'!$A$2:$AO$2,0))</f>
        <v>11035.732827063774</v>
      </c>
      <c r="G36" s="319"/>
      <c r="H36" s="214">
        <f t="shared" si="27"/>
        <v>180.66964285714283</v>
      </c>
      <c r="I36" s="196">
        <f>+INDEX('Budget révisé'!$A$2:$AO$496,MATCH($A36,'Budget révisé'!$A$2:$A$496,0),MATCH(I$2,'Budget révisé'!$A$2:$AO$2,0))</f>
        <v>11035.732827063774</v>
      </c>
      <c r="J36" s="320"/>
      <c r="K36" s="214">
        <f t="shared" si="28"/>
        <v>307.50416666666666</v>
      </c>
      <c r="L36" s="663">
        <f>SUMIFS(BV_Data_An_Cour!$O:$O,BV_Data_An_Cour!$U:$U,$B36,BV_Data_An_Cour!$V:$V,$C36,BV_Data_An_Cour!$W:$W,L$2)</f>
        <v>7380.1</v>
      </c>
      <c r="M36" s="195"/>
      <c r="N36" s="321">
        <f t="shared" si="29"/>
        <v>-3655.6328270637732</v>
      </c>
      <c r="O36" s="320"/>
      <c r="P36" s="214">
        <f t="shared" si="30"/>
        <v>93.181818181818187</v>
      </c>
      <c r="Q36" s="446">
        <f>SUMIFS(BV_Data_An_Prec!$O:$O,BV_Data_An_Prec!$U:$U,$B36,BV_Data_An_Prec!$V:$V,$C36,BV_Data_An_Prec!$W:$W,Q$2)</f>
        <v>6150</v>
      </c>
      <c r="R36" s="320"/>
      <c r="S36" s="216">
        <f t="shared" si="31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1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  <c r="BC36" s="532"/>
    </row>
    <row r="37" spans="1:55" s="600" customFormat="1" ht="15.75" customHeight="1">
      <c r="A37" s="600" t="str">
        <f t="shared" ref="A37:A39" si="32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3">F37/D$24</f>
        <v>226.36716442881018</v>
      </c>
      <c r="F37" s="196">
        <f>+INDEX('Budget original'!$A$2:$AO$496,MATCH($A37,'Budget original'!$A$2:$A$496,0),MATCH(F$2,'Budget original'!$A$2:$AO$2,0))</f>
        <v>13827.046469736237</v>
      </c>
      <c r="G37" s="319"/>
      <c r="H37" s="214">
        <f t="shared" ref="H37:H40" si="34">I37/G$24</f>
        <v>226.36716442881018</v>
      </c>
      <c r="I37" s="196">
        <f>+INDEX('Budget révisé'!$A$2:$AO$496,MATCH($A37,'Budget révisé'!$A$2:$A$496,0),MATCH(I$2,'Budget révisé'!$A$2:$AO$2,0))</f>
        <v>13827.046469736237</v>
      </c>
      <c r="J37" s="320"/>
      <c r="K37" s="214">
        <f t="shared" ref="K37:K40" si="35">IF(L37=0,0,L37/J$24)</f>
        <v>480.64333333333337</v>
      </c>
      <c r="L37" s="664">
        <f>SUMIFS(BV_Data_An_Cour!$O:$O,BV_Data_An_Cour!$U:$U,$B37,BV_Data_An_Cour!$V:$V,$C37,BV_Data_An_Cour!$W:$W,L$2)</f>
        <v>11535.44</v>
      </c>
      <c r="M37" s="195"/>
      <c r="N37" s="321">
        <f t="shared" ref="N37:N40" si="36">L37-I37</f>
        <v>-2291.6064697362362</v>
      </c>
      <c r="O37" s="320"/>
      <c r="P37" s="214">
        <f t="shared" ref="P37:P40" si="37">IF(Q37=0,0,Q37/O$24)</f>
        <v>277.71681818181821</v>
      </c>
      <c r="Q37" s="197">
        <f>SUMIFS(BV_Data_An_Prec!$O:$O,BV_Data_An_Prec!$U:$U,$B37,BV_Data_An_Prec!$V:$V,$C37,BV_Data_An_Prec!$W:$W,Q$2)</f>
        <v>18329.310000000001</v>
      </c>
      <c r="R37" s="320"/>
      <c r="S37" s="216">
        <f t="shared" ref="S37:S40" si="38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1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  <c r="BC37" s="532"/>
    </row>
    <row r="38" spans="1:55" s="600" customFormat="1" ht="15.75" customHeight="1">
      <c r="A38" s="600" t="str">
        <f t="shared" si="32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3"/>
        <v>0</v>
      </c>
      <c r="F38" s="196">
        <f>+INDEX('Budget original'!$A$2:$AO$496,MATCH($A38,'Budget original'!$A$2:$A$496,0),MATCH(F$2,'Budget original'!$A$2:$AO$2,0))</f>
        <v>0</v>
      </c>
      <c r="G38" s="319"/>
      <c r="H38" s="214">
        <f t="shared" si="34"/>
        <v>0</v>
      </c>
      <c r="I38" s="196">
        <f>+INDEX('Budget révisé'!$A$2:$AO$496,MATCH($A38,'Budget révisé'!$A$2:$A$496,0),MATCH(I$2,'Budget révisé'!$A$2:$AO$2,0))</f>
        <v>0</v>
      </c>
      <c r="J38" s="320"/>
      <c r="K38" s="214">
        <f t="shared" si="35"/>
        <v>0</v>
      </c>
      <c r="L38" s="664">
        <f>SUMIFS(BV_Data_An_Cour!$O:$O,BV_Data_An_Cour!$U:$U,$B38,BV_Data_An_Cour!$V:$V,$C38,BV_Data_An_Cour!$W:$W,L$2)</f>
        <v>0</v>
      </c>
      <c r="M38" s="195"/>
      <c r="N38" s="321">
        <f t="shared" si="36"/>
        <v>0</v>
      </c>
      <c r="O38" s="320"/>
      <c r="P38" s="214">
        <f t="shared" si="37"/>
        <v>0</v>
      </c>
      <c r="Q38" s="197">
        <f>SUMIFS(BV_Data_An_Prec!$O:$O,BV_Data_An_Prec!$U:$U,$B38,BV_Data_An_Prec!$V:$V,$C38,BV_Data_An_Prec!$W:$W,Q$2)</f>
        <v>0</v>
      </c>
      <c r="R38" s="320"/>
      <c r="S38" s="216">
        <f t="shared" si="38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1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  <c r="BC38" s="532"/>
    </row>
    <row r="39" spans="1:55" s="600" customFormat="1" ht="15.75" customHeight="1">
      <c r="A39" s="600" t="str">
        <f t="shared" si="32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3"/>
        <v>0</v>
      </c>
      <c r="F39" s="196">
        <f>+INDEX('Budget original'!$A$2:$AO$496,MATCH($A39,'Budget original'!$A$2:$A$496,0),MATCH(F$2,'Budget original'!$A$2:$AO$2,0))</f>
        <v>0</v>
      </c>
      <c r="G39" s="319"/>
      <c r="H39" s="214">
        <f t="shared" si="34"/>
        <v>0</v>
      </c>
      <c r="I39" s="196">
        <f>+INDEX('Budget révisé'!$A$2:$AO$496,MATCH($A39,'Budget révisé'!$A$2:$A$496,0),MATCH(I$2,'Budget révisé'!$A$2:$AO$2,0))</f>
        <v>0</v>
      </c>
      <c r="J39" s="320"/>
      <c r="K39" s="214">
        <f t="shared" si="35"/>
        <v>0</v>
      </c>
      <c r="L39" s="664">
        <f>SUMIFS(BV_Data_An_Cour!$O:$O,BV_Data_An_Cour!$U:$U,$B39,BV_Data_An_Cour!$V:$V,$C39,BV_Data_An_Cour!$W:$W,L$2)</f>
        <v>0</v>
      </c>
      <c r="M39" s="195"/>
      <c r="N39" s="321">
        <f t="shared" si="36"/>
        <v>0</v>
      </c>
      <c r="O39" s="320"/>
      <c r="P39" s="214">
        <f t="shared" si="37"/>
        <v>0</v>
      </c>
      <c r="Q39" s="197">
        <f>SUMIFS(BV_Data_An_Prec!$O:$O,BV_Data_An_Prec!$U:$U,$B39,BV_Data_An_Prec!$V:$V,$C39,BV_Data_An_Prec!$W:$W,Q$2)</f>
        <v>0</v>
      </c>
      <c r="R39" s="320"/>
      <c r="S39" s="216">
        <f t="shared" si="38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1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  <c r="BC39" s="532"/>
    </row>
    <row r="40" spans="1:55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3"/>
        <v>0</v>
      </c>
      <c r="F40" s="196">
        <f>+INDEX('Budget original'!$A$2:$AO$496,MATCH($A40,'Budget original'!$A$2:$A$496,0),MATCH(F$2,'Budget original'!$A$2:$AO$2,0))</f>
        <v>0</v>
      </c>
      <c r="G40" s="319"/>
      <c r="H40" s="214">
        <f t="shared" si="34"/>
        <v>0</v>
      </c>
      <c r="I40" s="196">
        <f>+INDEX('Budget révisé'!$A$2:$AO$496,MATCH($A40,'Budget révisé'!$A$2:$A$496,0),MATCH(I$2,'Budget révisé'!$A$2:$AO$2,0))</f>
        <v>0</v>
      </c>
      <c r="J40" s="320"/>
      <c r="K40" s="214">
        <f t="shared" si="35"/>
        <v>0</v>
      </c>
      <c r="L40" s="665">
        <f>SUMIFS(BV_Data_An_Cour!$O:$O,BV_Data_An_Cour!$U:$U,$B40,BV_Data_An_Cour!$V:$V,$C40,BV_Data_An_Cour!$W:$W,L$2)</f>
        <v>0</v>
      </c>
      <c r="M40" s="195"/>
      <c r="N40" s="321">
        <f t="shared" si="36"/>
        <v>0</v>
      </c>
      <c r="O40" s="320"/>
      <c r="P40" s="214">
        <f t="shared" si="37"/>
        <v>0</v>
      </c>
      <c r="Q40" s="197">
        <f>SUMIFS(BV_Data_An_Prec!$O:$O,BV_Data_An_Prec!$U:$U,$B40,BV_Data_An_Prec!$V:$V,$C40,BV_Data_An_Prec!$W:$W,Q$2)</f>
        <v>0</v>
      </c>
      <c r="R40" s="320"/>
      <c r="S40" s="216">
        <f t="shared" si="38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1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</row>
    <row r="41" spans="1:55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1.0417387334317667</v>
      </c>
      <c r="L41" s="41">
        <f>SUM(L31:L40)</f>
        <v>48738.080000000002</v>
      </c>
      <c r="M41" s="616"/>
      <c r="N41" s="41">
        <f t="shared" si="29"/>
        <v>-29805.741394377648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1"/>
        <v>-28804.800000000003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1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  <c r="BC41" s="532"/>
    </row>
    <row r="42" spans="1:55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+INDEX('Budget original'!$A$2:$AO$496,MATCH($A42,'Budget original'!$A$2:$A$496,0),MATCH(F$2,'Budget original'!$A$2:$AO$2,0))</f>
        <v>24368.631609195403</v>
      </c>
      <c r="G42" s="320"/>
      <c r="H42" s="195"/>
      <c r="I42" s="196">
        <f>+INDEX('Budget révisé'!$A$2:$AO$496,MATCH($A42,'Budget révisé'!$A$2:$A$496,0),MATCH(I$2,'Budget révisé'!$A$2:$AO$2,0))</f>
        <v>24368.631609195403</v>
      </c>
      <c r="J42" s="320"/>
      <c r="K42" s="195"/>
      <c r="L42" s="298">
        <f>SUMIFS(BV_Data_An_Cour!$O:$O,BV_Data_An_Cour!$U:$U,$B42,BV_Data_An_Cour!$V:$V,$C42,BV_Data_An_Cour!$W:$W,L$2)</f>
        <v>6384.14</v>
      </c>
      <c r="M42" s="320"/>
      <c r="N42" s="321">
        <f t="shared" si="29"/>
        <v>-17984.491609195404</v>
      </c>
      <c r="O42" s="320"/>
      <c r="P42" s="195"/>
      <c r="Q42" s="197">
        <f>SUMIFS(BV_Data_An_Prec!$O:$O,BV_Data_An_Prec!$U:$U,$B42,BV_Data_An_Prec!$V:$V,$C42,BV_Data_An_Prec!$W:$W,Q$2)</f>
        <v>17655.259999999998</v>
      </c>
      <c r="R42" s="320"/>
      <c r="S42" s="216">
        <f t="shared" ref="S42:S53" si="39">L42-Q42</f>
        <v>-11271.119999999999</v>
      </c>
      <c r="T42" s="239"/>
      <c r="U42" s="239" t="s">
        <v>2884</v>
      </c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239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  <c r="BC42" s="532"/>
    </row>
    <row r="43" spans="1:55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+INDEX('Budget original'!$A$2:$AO$496,MATCH($A43,'Budget original'!$A$2:$A$496,0),MATCH(F$2,'Budget original'!$A$2:$AO$2,0))</f>
        <v>9573.4805155862086</v>
      </c>
      <c r="G43" s="319"/>
      <c r="H43" s="195"/>
      <c r="I43" s="194">
        <f>+INDEX('Budget révisé'!$A$2:$AO$496,MATCH($A43,'Budget révisé'!$A$2:$A$496,0),MATCH(I$2,'Budget révisé'!$A$2:$AO$2,0))</f>
        <v>9573.4805155862086</v>
      </c>
      <c r="J43" s="320"/>
      <c r="K43" s="195"/>
      <c r="L43" s="298">
        <f>SUMIFS(BV_Data_An_Cour!$O:$O,BV_Data_An_Cour!$U:$U,$B43,BV_Data_An_Cour!$V:$V,$C43,BV_Data_An_Cour!$W:$W,L$2)</f>
        <v>5390.92</v>
      </c>
      <c r="M43" s="320"/>
      <c r="N43" s="321">
        <f t="shared" si="29"/>
        <v>-4182.5605155862086</v>
      </c>
      <c r="O43" s="320"/>
      <c r="P43" s="195"/>
      <c r="Q43" s="197">
        <f>SUMIFS(BV_Data_An_Prec!$O:$O,BV_Data_An_Prec!$U:$U,$B43,BV_Data_An_Prec!$V:$V,$C43,BV_Data_An_Prec!$W:$W,Q$2)</f>
        <v>9148.48</v>
      </c>
      <c r="R43" s="320"/>
      <c r="S43" s="216">
        <f t="shared" si="39"/>
        <v>-3757.5599999999995</v>
      </c>
      <c r="T43" s="239"/>
      <c r="U43" s="239"/>
      <c r="V43" s="531" t="s">
        <v>2888</v>
      </c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1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  <c r="BC43" s="532"/>
    </row>
    <row r="44" spans="1:55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+INDEX('Budget original'!$A$2:$AO$496,MATCH($A44,'Budget original'!$A$2:$A$496,0),MATCH(F$2,'Budget original'!$A$2:$AO$2,0))</f>
        <v>6032.6672478896544</v>
      </c>
      <c r="G44" s="410"/>
      <c r="H44" s="369"/>
      <c r="I44" s="196">
        <f>+INDEX('Budget révisé'!$A$2:$AO$496,MATCH($A44,'Budget révisé'!$A$2:$A$496,0),MATCH(I$2,'Budget révisé'!$A$2:$AO$2,0))</f>
        <v>6032.6672478896544</v>
      </c>
      <c r="J44" s="385"/>
      <c r="K44" s="369"/>
      <c r="L44" s="198">
        <f>SUMIFS(BV_Data_An_Cour!$O:$O,BV_Data_An_Cour!$U:$U,$B44,BV_Data_An_Cour!$V:$V,$C44,BV_Data_An_Cour!$W:$W,L$2)</f>
        <v>4197.1099999999997</v>
      </c>
      <c r="M44" s="385"/>
      <c r="N44" s="373">
        <f t="shared" si="29"/>
        <v>-1835.5572478896547</v>
      </c>
      <c r="O44" s="385"/>
      <c r="P44" s="369"/>
      <c r="Q44" s="198">
        <f>SUMIFS(BV_Data_An_Prec!$O:$O,BV_Data_An_Prec!$U:$U,$B44,BV_Data_An_Prec!$V:$V,$C44,BV_Data_An_Prec!$W:$W,Q$2)</f>
        <v>5931.63</v>
      </c>
      <c r="R44" s="385"/>
      <c r="S44" s="218">
        <f t="shared" si="39"/>
        <v>-1734.5200000000004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1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  <c r="BC44" s="532"/>
    </row>
    <row r="45" spans="1:55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+INDEX('Budget original'!$A$2:$AO$496,MATCH($A45,'Budget original'!$A$2:$A$496,0),MATCH(F$2,'Budget original'!$A$2:$AO$2,0))</f>
        <v>0</v>
      </c>
      <c r="G45" s="319"/>
      <c r="H45" s="195"/>
      <c r="I45" s="196">
        <f>+INDEX('Budget révisé'!$A$2:$AO$496,MATCH($A45,'Budget révisé'!$A$2:$A$496,0),MATCH(I$2,'Budget révisé'!$A$2:$AO$2,0))</f>
        <v>0</v>
      </c>
      <c r="J45" s="320"/>
      <c r="K45" s="195"/>
      <c r="L45" s="197">
        <f>SUMIFS(BV_Data_An_Cour!$O:$O,BV_Data_An_Cour!$U:$U,$B45,BV_Data_An_Cour!$V:$V,$C45,BV_Data_An_Cour!$W:$W,L$2)</f>
        <v>0</v>
      </c>
      <c r="M45" s="320"/>
      <c r="N45" s="321">
        <f t="shared" si="29"/>
        <v>0</v>
      </c>
      <c r="O45" s="320"/>
      <c r="P45" s="195"/>
      <c r="Q45" s="197">
        <f>SUMIFS(BV_Data_An_Prec!$O:$O,BV_Data_An_Prec!$U:$U,$B45,BV_Data_An_Prec!$V:$V,$C45,BV_Data_An_Prec!$W:$W,Q$2)</f>
        <v>0</v>
      </c>
      <c r="R45" s="320"/>
      <c r="S45" s="216">
        <f t="shared" si="39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1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  <c r="BC45" s="532"/>
    </row>
    <row r="46" spans="1:55" s="600" customFormat="1" ht="15.75" customHeight="1">
      <c r="A46" s="600" t="str">
        <f t="shared" ref="A46:A48" si="40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+INDEX('Budget original'!$A$2:$AO$496,MATCH($A46,'Budget original'!$A$2:$A$496,0),MATCH(F$2,'Budget original'!$A$2:$AO$2,0))</f>
        <v>0</v>
      </c>
      <c r="G46" s="319"/>
      <c r="H46" s="195"/>
      <c r="I46" s="196">
        <f>+INDEX('Budget révisé'!$A$2:$AO$496,MATCH($A46,'Budget révisé'!$A$2:$A$496,0),MATCH(I$2,'Budget révisé'!$A$2:$AO$2,0))</f>
        <v>0</v>
      </c>
      <c r="J46" s="320"/>
      <c r="K46" s="195"/>
      <c r="L46" s="197">
        <f>SUMIFS(BV_Data_An_Cour!$O:$O,BV_Data_An_Cour!$U:$U,$B46,BV_Data_An_Cour!$V:$V,$C46,BV_Data_An_Cour!$W:$W,L$2)</f>
        <v>0</v>
      </c>
      <c r="M46" s="320"/>
      <c r="N46" s="321">
        <f t="shared" ref="N46:N48" si="41">L46-I46</f>
        <v>0</v>
      </c>
      <c r="O46" s="320"/>
      <c r="P46" s="195"/>
      <c r="Q46" s="197">
        <f>SUMIFS(BV_Data_An_Prec!$O:$O,BV_Data_An_Prec!$U:$U,$B46,BV_Data_An_Prec!$V:$V,$C46,BV_Data_An_Prec!$W:$W,Q$2)</f>
        <v>0</v>
      </c>
      <c r="R46" s="320"/>
      <c r="S46" s="216">
        <f t="shared" ref="S46:S48" si="42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1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  <c r="BC46" s="532"/>
    </row>
    <row r="47" spans="1:55" s="600" customFormat="1" ht="15.75" customHeight="1">
      <c r="A47" s="600" t="str">
        <f t="shared" si="40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+INDEX('Budget original'!$A$2:$AO$496,MATCH($A47,'Budget original'!$A$2:$A$496,0),MATCH(F$2,'Budget original'!$A$2:$AO$2,0))</f>
        <v>0</v>
      </c>
      <c r="G47" s="319"/>
      <c r="H47" s="195"/>
      <c r="I47" s="196">
        <f>+INDEX('Budget révisé'!$A$2:$AO$496,MATCH($A47,'Budget révisé'!$A$2:$A$496,0),MATCH(I$2,'Budget révisé'!$A$2:$AO$2,0))</f>
        <v>0</v>
      </c>
      <c r="J47" s="320"/>
      <c r="K47" s="195"/>
      <c r="L47" s="197">
        <f>SUMIFS(BV_Data_An_Cour!$O:$O,BV_Data_An_Cour!$U:$U,$B47,BV_Data_An_Cour!$V:$V,$C47,BV_Data_An_Cour!$W:$W,L$2)</f>
        <v>0</v>
      </c>
      <c r="M47" s="320"/>
      <c r="N47" s="321">
        <f t="shared" si="41"/>
        <v>0</v>
      </c>
      <c r="O47" s="320"/>
      <c r="P47" s="195"/>
      <c r="Q47" s="197">
        <f>SUMIFS(BV_Data_An_Prec!$O:$O,BV_Data_An_Prec!$U:$U,$B47,BV_Data_An_Prec!$V:$V,$C47,BV_Data_An_Prec!$W:$W,Q$2)</f>
        <v>0</v>
      </c>
      <c r="R47" s="320"/>
      <c r="S47" s="216">
        <f t="shared" si="42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1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  <c r="BC47" s="532"/>
    </row>
    <row r="48" spans="1:55" s="600" customFormat="1" ht="15.75" customHeight="1">
      <c r="A48" s="600" t="str">
        <f t="shared" si="40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+INDEX('Budget original'!$A$2:$AO$496,MATCH($A48,'Budget original'!$A$2:$A$496,0),MATCH(F$2,'Budget original'!$A$2:$AO$2,0))</f>
        <v>0</v>
      </c>
      <c r="G48" s="319"/>
      <c r="H48" s="195"/>
      <c r="I48" s="196">
        <f>+INDEX('Budget révisé'!$A$2:$AO$496,MATCH($A48,'Budget révisé'!$A$2:$A$496,0),MATCH(I$2,'Budget révisé'!$A$2:$AO$2,0))</f>
        <v>0</v>
      </c>
      <c r="J48" s="320"/>
      <c r="K48" s="195"/>
      <c r="L48" s="197">
        <f>SUMIFS(BV_Data_An_Cour!$O:$O,BV_Data_An_Cour!$U:$U,$B48,BV_Data_An_Cour!$V:$V,$C48,BV_Data_An_Cour!$W:$W,L$2)</f>
        <v>0</v>
      </c>
      <c r="M48" s="320"/>
      <c r="N48" s="321">
        <f t="shared" si="41"/>
        <v>0</v>
      </c>
      <c r="O48" s="320"/>
      <c r="P48" s="195"/>
      <c r="Q48" s="197">
        <f>SUMIFS(BV_Data_An_Prec!$O:$O,BV_Data_An_Prec!$U:$U,$B48,BV_Data_An_Prec!$V:$V,$C48,BV_Data_An_Prec!$W:$W,Q$2)</f>
        <v>0</v>
      </c>
      <c r="R48" s="320"/>
      <c r="S48" s="216">
        <f t="shared" si="42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1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</row>
    <row r="49" spans="1:55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+INDEX('Budget original'!$A$2:$AO$496,MATCH($A49,'Budget original'!$A$2:$A$496,0),MATCH(F$2,'Budget original'!$A$2:$AO$2,0))</f>
        <v>9501.5155243226436</v>
      </c>
      <c r="G49" s="319"/>
      <c r="H49" s="195"/>
      <c r="I49" s="194">
        <f>+INDEX('Budget révisé'!$A$2:$AO$496,MATCH($A49,'Budget révisé'!$A$2:$A$496,0),MATCH(I$2,'Budget révisé'!$A$2:$AO$2,0))</f>
        <v>9501.5155243226436</v>
      </c>
      <c r="J49" s="320"/>
      <c r="K49" s="195"/>
      <c r="L49" s="194">
        <f>SUMIFS(BV_Data_An_Cour!$O:$O,BV_Data_An_Cour!$U:$U,$B49,BV_Data_An_Cour!$V:$V,$C49,BV_Data_An_Cour!$W:$W,L$2)</f>
        <v>7394.06</v>
      </c>
      <c r="M49" s="320"/>
      <c r="N49" s="321">
        <f t="shared" si="29"/>
        <v>-2107.4555243226432</v>
      </c>
      <c r="O49" s="320"/>
      <c r="P49" s="195"/>
      <c r="Q49" s="194">
        <f>SUMIFS(BV_Data_An_Prec!$O:$O,BV_Data_An_Prec!$U:$U,$B49,BV_Data_An_Prec!$V:$V,$C49,BV_Data_An_Prec!$W:$W,Q$2)</f>
        <v>13018.58</v>
      </c>
      <c r="R49" s="320"/>
      <c r="S49" s="216">
        <f t="shared" si="39"/>
        <v>-5624.5199999999995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  <c r="BC49" s="532"/>
    </row>
    <row r="50" spans="1:55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+INDEX('Budget original'!$A$2:$AO$496,MATCH($A50,'Budget original'!$A$2:$A$496,0),MATCH(F$2,'Budget original'!$A$2:$AO$2,0))</f>
        <v>9501.5155243226436</v>
      </c>
      <c r="G50" s="410"/>
      <c r="H50" s="369"/>
      <c r="I50" s="196">
        <f>+INDEX('Budget révisé'!$A$2:$AO$496,MATCH($A50,'Budget révisé'!$A$2:$A$496,0),MATCH(I$2,'Budget révisé'!$A$2:$AO$2,0))</f>
        <v>9501.5155243226436</v>
      </c>
      <c r="J50" s="385"/>
      <c r="K50" s="369"/>
      <c r="L50" s="197">
        <f>SUMIFS(BV_Data_An_Cour!$O:$O,BV_Data_An_Cour!$U:$U,$B50,BV_Data_An_Cour!$V:$V,$C50,BV_Data_An_Cour!$W:$W,L$2)</f>
        <v>14260.56</v>
      </c>
      <c r="M50" s="385"/>
      <c r="N50" s="373">
        <f t="shared" si="29"/>
        <v>4759.0444756773559</v>
      </c>
      <c r="O50" s="385"/>
      <c r="P50" s="369"/>
      <c r="Q50" s="197">
        <f>SUMIFS(BV_Data_An_Prec!$O:$O,BV_Data_An_Prec!$U:$U,$B50,BV_Data_An_Prec!$V:$V,$C50,BV_Data_An_Prec!$W:$W,Q$2)</f>
        <v>11499.23</v>
      </c>
      <c r="R50" s="385"/>
      <c r="S50" s="218">
        <f t="shared" si="39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  <c r="BC50" s="532"/>
    </row>
    <row r="51" spans="1:55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+INDEX('Budget original'!$A$2:$AO$496,MATCH($A51,'Budget original'!$A$2:$A$496,0),MATCH(F$2,'Budget original'!$A$2:$AO$2,0))</f>
        <v>6809.4194590978941</v>
      </c>
      <c r="G51" s="319"/>
      <c r="H51" s="195"/>
      <c r="I51" s="196">
        <f>+INDEX('Budget révisé'!$A$2:$AO$496,MATCH($A51,'Budget révisé'!$A$2:$A$496,0),MATCH(I$2,'Budget révisé'!$A$2:$AO$2,0))</f>
        <v>6809.4194590978941</v>
      </c>
      <c r="J51" s="320"/>
      <c r="K51" s="195"/>
      <c r="L51" s="197">
        <f>SUMIFS(BV_Data_An_Cour!$O:$O,BV_Data_An_Cour!$U:$U,$B51,BV_Data_An_Cour!$V:$V,$C51,BV_Data_An_Cour!$W:$W,L$2)</f>
        <v>5856</v>
      </c>
      <c r="M51" s="320"/>
      <c r="N51" s="321">
        <f t="shared" si="29"/>
        <v>-953.41945909789411</v>
      </c>
      <c r="O51" s="320"/>
      <c r="P51" s="195"/>
      <c r="Q51" s="197">
        <f>SUMIFS(BV_Data_An_Prec!$O:$O,BV_Data_An_Prec!$U:$U,$B51,BV_Data_An_Prec!$V:$V,$C51,BV_Data_An_Prec!$W:$W,Q$2)</f>
        <v>7872.52</v>
      </c>
      <c r="R51" s="320"/>
      <c r="S51" s="216">
        <f t="shared" si="39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  <c r="BC51" s="532"/>
    </row>
    <row r="52" spans="1:55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+INDEX('Budget original'!$A$2:$AO$496,MATCH($A52,'Budget original'!$A$2:$A$496,0),MATCH(F$2,'Budget original'!$A$2:$AO$2,0))</f>
        <v>1583.5859207204408</v>
      </c>
      <c r="G52" s="319"/>
      <c r="H52" s="195"/>
      <c r="I52" s="196">
        <f>+INDEX('Budget révisé'!$A$2:$AO$496,MATCH($A52,'Budget révisé'!$A$2:$A$496,0),MATCH(I$2,'Budget révisé'!$A$2:$AO$2,0))</f>
        <v>1583.5859207204408</v>
      </c>
      <c r="J52" s="320"/>
      <c r="K52" s="195"/>
      <c r="L52" s="197">
        <f>SUMIFS(BV_Data_An_Cour!$O:$O,BV_Data_An_Cour!$U:$U,$B52,BV_Data_An_Cour!$V:$V,$C52,BV_Data_An_Cour!$W:$W,L$2)</f>
        <v>0</v>
      </c>
      <c r="M52" s="320"/>
      <c r="N52" s="321">
        <f t="shared" si="29"/>
        <v>-1583.5859207204408</v>
      </c>
      <c r="O52" s="320"/>
      <c r="P52" s="195"/>
      <c r="Q52" s="197">
        <f>SUMIFS(BV_Data_An_Prec!$O:$O,BV_Data_An_Prec!$U:$U,$B52,BV_Data_An_Prec!$V:$V,$C52,BV_Data_An_Prec!$W:$W,Q$2)</f>
        <v>3111.06</v>
      </c>
      <c r="R52" s="320"/>
      <c r="S52" s="216">
        <f t="shared" si="39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  <c r="BC52" s="532"/>
    </row>
    <row r="53" spans="1:55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+INDEX('Budget original'!$A$2:$AO$496,MATCH($A53,'Budget original'!$A$2:$A$496,0),MATCH(F$2,'Budget original'!$A$2:$AO$2,0))</f>
        <v>0</v>
      </c>
      <c r="G53" s="326"/>
      <c r="H53" s="325"/>
      <c r="I53" s="196">
        <f>+INDEX('Budget révisé'!$A$2:$AO$496,MATCH($A53,'Budget révisé'!$A$2:$A$496,0),MATCH(I$2,'Budget révisé'!$A$2:$AO$2,0))</f>
        <v>0</v>
      </c>
      <c r="J53" s="327"/>
      <c r="K53" s="325"/>
      <c r="L53" s="197">
        <f>SUMIFS(BV_Data_An_Cour!$O:$O,BV_Data_An_Cour!$U:$U,$B53,BV_Data_An_Cour!$V:$V,$C53,BV_Data_An_Cour!$W:$W,L$2)</f>
        <v>0</v>
      </c>
      <c r="M53" s="327"/>
      <c r="N53" s="328">
        <f t="shared" si="29"/>
        <v>0</v>
      </c>
      <c r="O53" s="327"/>
      <c r="P53" s="325"/>
      <c r="Q53" s="197">
        <f>SUMIFS(BV_Data_An_Prec!$O:$O,BV_Data_An_Prec!$U:$U,$B53,BV_Data_An_Prec!$V:$V,$C53,BV_Data_An_Prec!$W:$W,Q$2)</f>
        <v>0</v>
      </c>
      <c r="R53" s="327"/>
      <c r="S53" s="219">
        <f t="shared" si="39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  <c r="BC53" s="532"/>
    </row>
    <row r="54" spans="1:55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0.9294109776314432</v>
      </c>
      <c r="L54" s="41">
        <f>+SUM(L42:L53)</f>
        <v>43482.79</v>
      </c>
      <c r="M54" s="44"/>
      <c r="N54" s="41">
        <f>+SUM(N42:N53)</f>
        <v>-23888.025801134892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-24753.97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1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  <c r="BC54" s="532"/>
    </row>
    <row r="55" spans="1:55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+INDEX('Budget original'!$A$2:$AO$496,MATCH($A55,'Budget original'!$A$2:$A$496,0),MATCH(F$2,'Budget original'!$A$2:$AO$2,0))</f>
        <v>0</v>
      </c>
      <c r="G55" s="319"/>
      <c r="H55" s="195"/>
      <c r="I55" s="196">
        <f>+INDEX('Budget révisé'!$A$2:$AO$496,MATCH($A55,'Budget révisé'!$A$2:$A$496,0),MATCH(I$2,'Budget révisé'!$A$2:$AO$2,0))</f>
        <v>0</v>
      </c>
      <c r="J55" s="320"/>
      <c r="K55" s="195"/>
      <c r="L55" s="197">
        <f>SUMIFS(BV_Data_An_Cour!$O:$O,BV_Data_An_Cour!$U:$U,$B55,BV_Data_An_Cour!$V:$V,$C55,BV_Data_An_Cour!$W:$W,L$2)</f>
        <v>0</v>
      </c>
      <c r="M55" s="320"/>
      <c r="N55" s="450">
        <f t="shared" ref="N55:N71" si="43">L55-I55</f>
        <v>0</v>
      </c>
      <c r="O55" s="320"/>
      <c r="P55" s="195"/>
      <c r="Q55" s="197">
        <f>SUMIFS(BV_Data_An_Prec!$O:$O,BV_Data_An_Prec!$U:$U,$B55,BV_Data_An_Prec!$V:$V,$C55,BV_Data_An_Prec!$W:$W,Q$2)</f>
        <v>0</v>
      </c>
      <c r="R55" s="320"/>
      <c r="S55" s="216">
        <f t="shared" ref="S55:S71" si="44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1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  <c r="BC55" s="532"/>
    </row>
    <row r="56" spans="1:55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+INDEX('Budget original'!$A$2:$AO$496,MATCH($A56,'Budget original'!$A$2:$A$496,0),MATCH(F$2,'Budget original'!$A$2:$AO$2,0))</f>
        <v>0</v>
      </c>
      <c r="G56" s="319"/>
      <c r="H56" s="195"/>
      <c r="I56" s="196">
        <f>+INDEX('Budget révisé'!$A$2:$AO$496,MATCH($A56,'Budget révisé'!$A$2:$A$496,0),MATCH(I$2,'Budget révisé'!$A$2:$AO$2,0))</f>
        <v>0</v>
      </c>
      <c r="J56" s="320"/>
      <c r="K56" s="195"/>
      <c r="L56" s="197">
        <f>SUMIFS(BV_Data_An_Cour!$O:$O,BV_Data_An_Cour!$U:$U,$B56,BV_Data_An_Cour!$V:$V,$C56,BV_Data_An_Cour!$W:$W,L$2)</f>
        <v>0</v>
      </c>
      <c r="M56" s="320"/>
      <c r="N56" s="450">
        <f t="shared" si="43"/>
        <v>0</v>
      </c>
      <c r="O56" s="320"/>
      <c r="P56" s="195"/>
      <c r="Q56" s="197">
        <f>SUMIFS(BV_Data_An_Prec!$O:$O,BV_Data_An_Prec!$U:$U,$B56,BV_Data_An_Prec!$V:$V,$C56,BV_Data_An_Prec!$W:$W,Q$2)</f>
        <v>0</v>
      </c>
      <c r="R56" s="320"/>
      <c r="S56" s="216">
        <f t="shared" si="44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1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  <c r="BC56" s="532"/>
    </row>
    <row r="57" spans="1:55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+INDEX('Budget original'!$A$2:$AO$496,MATCH($A57,'Budget original'!$A$2:$A$496,0),MATCH(F$2,'Budget original'!$A$2:$AO$2,0))</f>
        <v>9088.8775000000005</v>
      </c>
      <c r="G57" s="326"/>
      <c r="H57" s="325"/>
      <c r="I57" s="194">
        <f>+INDEX('Budget révisé'!$A$2:$AO$496,MATCH($A57,'Budget révisé'!$A$2:$A$496,0),MATCH(I$2,'Budget révisé'!$A$2:$AO$2,0))</f>
        <v>9088.8775000000005</v>
      </c>
      <c r="J57" s="327"/>
      <c r="K57" s="325"/>
      <c r="L57" s="194">
        <f>SUMIFS(BV_Data_An_Cour!$O:$O,BV_Data_An_Cour!$U:$U,$B57,BV_Data_An_Cour!$V:$V,$C57,BV_Data_An_Cour!$W:$W,L$2)</f>
        <v>5359.43</v>
      </c>
      <c r="M57" s="327"/>
      <c r="N57" s="451">
        <f t="shared" si="43"/>
        <v>-3729.4475000000002</v>
      </c>
      <c r="O57" s="327"/>
      <c r="P57" s="325"/>
      <c r="Q57" s="194">
        <f>SUMIFS(BV_Data_An_Prec!$O:$O,BV_Data_An_Prec!$U:$U,$B57,BV_Data_An_Prec!$V:$V,$C57,BV_Data_An_Prec!$W:$W,Q$2)</f>
        <v>14381.38</v>
      </c>
      <c r="R57" s="327"/>
      <c r="S57" s="219">
        <f t="shared" si="44"/>
        <v>-9021.9499999999989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1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  <c r="BC57" s="532"/>
    </row>
    <row r="58" spans="1:55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+INDEX('Budget original'!$A$2:$AO$496,MATCH($A58,'Budget original'!$A$2:$A$496,0),MATCH(F$2,'Budget original'!$A$2:$AO$2,0))</f>
        <v>6677.3962666666675</v>
      </c>
      <c r="G58" s="319"/>
      <c r="H58" s="195"/>
      <c r="I58" s="196">
        <f>+INDEX('Budget révisé'!$A$2:$AO$496,MATCH($A58,'Budget révisé'!$A$2:$A$496,0),MATCH(I$2,'Budget révisé'!$A$2:$AO$2,0))</f>
        <v>6677.3962666666675</v>
      </c>
      <c r="J58" s="320"/>
      <c r="K58" s="195"/>
      <c r="L58" s="197">
        <f>SUMIFS(BV_Data_An_Cour!$O:$O,BV_Data_An_Cour!$U:$U,$B58,BV_Data_An_Cour!$V:$V,$C58,BV_Data_An_Cour!$W:$W,L$2)</f>
        <v>5798.14</v>
      </c>
      <c r="M58" s="320"/>
      <c r="N58" s="321">
        <f t="shared" si="43"/>
        <v>-879.25626666666722</v>
      </c>
      <c r="O58" s="320"/>
      <c r="P58" s="195"/>
      <c r="Q58" s="197">
        <f>SUMIFS(BV_Data_An_Prec!$O:$O,BV_Data_An_Prec!$U:$U,$B58,BV_Data_An_Prec!$V:$V,$C58,BV_Data_An_Prec!$W:$W,Q$2)</f>
        <v>8274.69</v>
      </c>
      <c r="R58" s="320"/>
      <c r="S58" s="216">
        <f t="shared" si="44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  <c r="BC58" s="532"/>
    </row>
    <row r="59" spans="1:55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+INDEX('Budget original'!$A$2:$AO$496,MATCH($A59,'Budget original'!$A$2:$A$496,0),MATCH(F$2,'Budget original'!$A$2:$AO$2,0))</f>
        <v>1596.4967999999999</v>
      </c>
      <c r="G59" s="319"/>
      <c r="H59" s="195"/>
      <c r="I59" s="196">
        <f>+INDEX('Budget révisé'!$A$2:$AO$496,MATCH($A59,'Budget révisé'!$A$2:$A$496,0),MATCH(I$2,'Budget révisé'!$A$2:$AO$2,0))</f>
        <v>1596.4967999999999</v>
      </c>
      <c r="J59" s="320"/>
      <c r="K59" s="195"/>
      <c r="L59" s="197">
        <f>SUMIFS(BV_Data_An_Cour!$O:$O,BV_Data_An_Cour!$U:$U,$B59,BV_Data_An_Cour!$V:$V,$C59,BV_Data_An_Cour!$W:$W,L$2)</f>
        <v>98.29</v>
      </c>
      <c r="M59" s="320"/>
      <c r="N59" s="321">
        <f t="shared" si="43"/>
        <v>-1498.2067999999999</v>
      </c>
      <c r="O59" s="320"/>
      <c r="P59" s="195"/>
      <c r="Q59" s="197">
        <f>SUMIFS(BV_Data_An_Prec!$O:$O,BV_Data_An_Prec!$U:$U,$B59,BV_Data_An_Prec!$V:$V,$C59,BV_Data_An_Prec!$W:$W,Q$2)</f>
        <v>1944.64</v>
      </c>
      <c r="R59" s="320"/>
      <c r="S59" s="216">
        <f t="shared" si="44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1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  <c r="BC59" s="532"/>
    </row>
    <row r="60" spans="1:55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+INDEX('Budget original'!$A$2:$AO$496,MATCH($A60,'Budget original'!$A$2:$A$496,0),MATCH(F$2,'Budget original'!$A$2:$AO$2,0))</f>
        <v>9409.894666666667</v>
      </c>
      <c r="G60" s="326"/>
      <c r="H60" s="325"/>
      <c r="I60" s="194">
        <f>+INDEX('Budget révisé'!$A$2:$AO$496,MATCH($A60,'Budget révisé'!$A$2:$A$496,0),MATCH(I$2,'Budget révisé'!$A$2:$AO$2,0))</f>
        <v>9409.894666666667</v>
      </c>
      <c r="J60" s="327"/>
      <c r="K60" s="325"/>
      <c r="L60" s="194">
        <f>SUMIFS(BV_Data_An_Cour!$O:$O,BV_Data_An_Cour!$U:$U,$B60,BV_Data_An_Cour!$V:$V,$C60,BV_Data_An_Cour!$W:$W,L$2)</f>
        <v>6042.08</v>
      </c>
      <c r="M60" s="327"/>
      <c r="N60" s="328">
        <f t="shared" si="43"/>
        <v>-3367.8146666666671</v>
      </c>
      <c r="O60" s="327"/>
      <c r="P60" s="325"/>
      <c r="Q60" s="194">
        <f>SUMIFS(BV_Data_An_Prec!$O:$O,BV_Data_An_Prec!$U:$U,$B60,BV_Data_An_Prec!$V:$V,$C60,BV_Data_An_Prec!$W:$W,Q$2)</f>
        <v>7752.53</v>
      </c>
      <c r="R60" s="327"/>
      <c r="S60" s="219">
        <f t="shared" si="44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1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  <c r="BC60" s="532"/>
    </row>
    <row r="61" spans="1:55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+INDEX('Budget original'!$A$2:$AO$496,MATCH($A61,'Budget original'!$A$2:$A$496,0),MATCH(F$2,'Budget original'!$A$2:$AO$2,0))</f>
        <v>244.32954319370256</v>
      </c>
      <c r="G61" s="319"/>
      <c r="H61" s="195"/>
      <c r="I61" s="196">
        <f>+INDEX('Budget révisé'!$A$2:$AO$496,MATCH($A61,'Budget révisé'!$A$2:$A$496,0),MATCH(I$2,'Budget révisé'!$A$2:$AO$2,0))</f>
        <v>244.32954319370256</v>
      </c>
      <c r="J61" s="320"/>
      <c r="K61" s="195"/>
      <c r="L61" s="197">
        <f>SUMIFS(BV_Data_An_Cour!$O:$O,BV_Data_An_Cour!$U:$U,$B61,BV_Data_An_Cour!$V:$V,$C61,BV_Data_An_Cour!$W:$W,L$2)</f>
        <v>0</v>
      </c>
      <c r="M61" s="320"/>
      <c r="N61" s="321">
        <f t="shared" si="43"/>
        <v>-244.32954319370256</v>
      </c>
      <c r="O61" s="320"/>
      <c r="P61" s="195"/>
      <c r="Q61" s="197">
        <f>SUMIFS(BV_Data_An_Prec!$O:$O,BV_Data_An_Prec!$U:$U,$B61,BV_Data_An_Prec!$V:$V,$C61,BV_Data_An_Prec!$W:$W,Q$2)</f>
        <v>225</v>
      </c>
      <c r="R61" s="320"/>
      <c r="S61" s="216">
        <f t="shared" si="44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  <c r="BC61" s="532"/>
    </row>
    <row r="62" spans="1:55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+INDEX('Budget original'!$A$2:$AO$496,MATCH($A62,'Budget original'!$A$2:$A$496,0),MATCH(F$2,'Budget original'!$A$2:$AO$2,0))</f>
        <v>35</v>
      </c>
      <c r="G62" s="319"/>
      <c r="H62" s="195"/>
      <c r="I62" s="196">
        <f>+INDEX('Budget révisé'!$A$2:$AO$496,MATCH($A62,'Budget révisé'!$A$2:$A$496,0),MATCH(I$2,'Budget révisé'!$A$2:$AO$2,0))</f>
        <v>35</v>
      </c>
      <c r="J62" s="320"/>
      <c r="K62" s="195"/>
      <c r="L62" s="197">
        <f>SUMIFS(BV_Data_An_Cour!$O:$O,BV_Data_An_Cour!$U:$U,$B62,BV_Data_An_Cour!$V:$V,$C62,BV_Data_An_Cour!$W:$W,L$2)</f>
        <v>0</v>
      </c>
      <c r="M62" s="320"/>
      <c r="N62" s="321">
        <f t="shared" si="43"/>
        <v>-35</v>
      </c>
      <c r="O62" s="320"/>
      <c r="P62" s="195"/>
      <c r="Q62" s="197">
        <f>SUMIFS(BV_Data_An_Prec!$O:$O,BV_Data_An_Prec!$U:$U,$B62,BV_Data_An_Prec!$V:$V,$C62,BV_Data_An_Prec!$W:$W,Q$2)</f>
        <v>35</v>
      </c>
      <c r="R62" s="320"/>
      <c r="S62" s="216">
        <f t="shared" si="44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  <c r="BC62" s="532"/>
    </row>
    <row r="63" spans="1:55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+INDEX('Budget original'!$A$2:$AO$496,MATCH($A63,'Budget original'!$A$2:$A$496,0),MATCH(F$2,'Budget original'!$A$2:$AO$2,0))</f>
        <v>697.6</v>
      </c>
      <c r="G63" s="319"/>
      <c r="H63" s="195"/>
      <c r="I63" s="196">
        <f>+INDEX('Budget révisé'!$A$2:$AO$496,MATCH($A63,'Budget révisé'!$A$2:$A$496,0),MATCH(I$2,'Budget révisé'!$A$2:$AO$2,0))</f>
        <v>697.6</v>
      </c>
      <c r="J63" s="320"/>
      <c r="K63" s="195"/>
      <c r="L63" s="572">
        <f>SUMIFS(BV_Data_An_Cour!$O:$O,BV_Data_An_Cour!$U:$U,$B63,BV_Data_An_Cour!$V:$V,$C63,BV_Data_An_Cour!$W:$W,L$2)</f>
        <v>248.87</v>
      </c>
      <c r="M63" s="320"/>
      <c r="N63" s="321">
        <f t="shared" si="43"/>
        <v>-448.73</v>
      </c>
      <c r="O63" s="320"/>
      <c r="P63" s="195"/>
      <c r="Q63" s="572">
        <f>SUMIFS(BV_Data_An_Prec!$O:$O,BV_Data_An_Prec!$U:$U,$B63,BV_Data_An_Prec!$V:$V,$C63,BV_Data_An_Prec!$W:$W,Q$2)</f>
        <v>592</v>
      </c>
      <c r="R63" s="320"/>
      <c r="S63" s="216">
        <f t="shared" si="44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  <c r="BC63" s="532"/>
    </row>
    <row r="64" spans="1:55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+INDEX('Budget original'!$A$2:$AO$496,MATCH($A64,'Budget original'!$A$2:$A$496,0),MATCH(F$2,'Budget original'!$A$2:$AO$2,0))</f>
        <v>589.91200000000003</v>
      </c>
      <c r="G64" s="319"/>
      <c r="H64" s="195"/>
      <c r="I64" s="196">
        <f>+INDEX('Budget révisé'!$A$2:$AO$496,MATCH($A64,'Budget révisé'!$A$2:$A$496,0),MATCH(I$2,'Budget révisé'!$A$2:$AO$2,0))</f>
        <v>589.91200000000003</v>
      </c>
      <c r="J64" s="320"/>
      <c r="K64" s="195"/>
      <c r="L64" s="197">
        <f>SUMIFS(BV_Data_An_Cour!$O:$O,BV_Data_An_Cour!$U:$U,$B64,BV_Data_An_Cour!$V:$V,$C64,BV_Data_An_Cour!$W:$W,L$2)</f>
        <v>456.53</v>
      </c>
      <c r="M64" s="320"/>
      <c r="N64" s="321">
        <f t="shared" si="43"/>
        <v>-133.38200000000006</v>
      </c>
      <c r="O64" s="320"/>
      <c r="P64" s="195"/>
      <c r="Q64" s="197">
        <f>SUMIFS(BV_Data_An_Prec!$O:$O,BV_Data_An_Prec!$U:$U,$B64,BV_Data_An_Prec!$V:$V,$C64,BV_Data_An_Prec!$W:$W,Q$2)</f>
        <v>482.96</v>
      </c>
      <c r="R64" s="320"/>
      <c r="S64" s="216">
        <f t="shared" si="44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  <c r="BC64" s="532"/>
    </row>
    <row r="65" spans="1:55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+INDEX('Budget original'!$A$2:$AO$496,MATCH($A65,'Budget original'!$A$2:$A$496,0),MATCH(F$2,'Budget original'!$A$2:$AO$2,0))</f>
        <v>276.8</v>
      </c>
      <c r="G65" s="319"/>
      <c r="H65" s="195"/>
      <c r="I65" s="196">
        <f>+INDEX('Budget révisé'!$A$2:$AO$496,MATCH($A65,'Budget révisé'!$A$2:$A$496,0),MATCH(I$2,'Budget révisé'!$A$2:$AO$2,0))</f>
        <v>276.8</v>
      </c>
      <c r="J65" s="320"/>
      <c r="K65" s="195"/>
      <c r="L65" s="298">
        <f>SUMIFS(BV_Data_An_Cour!$O:$O,BV_Data_An_Cour!$U:$U,$B65,BV_Data_An_Cour!$V:$V,$C65,BV_Data_An_Cour!$W:$W,L$2)</f>
        <v>65.22</v>
      </c>
      <c r="M65" s="320"/>
      <c r="N65" s="321">
        <f t="shared" si="43"/>
        <v>-211.58</v>
      </c>
      <c r="O65" s="320"/>
      <c r="P65" s="195"/>
      <c r="Q65" s="197">
        <f>SUMIFS(BV_Data_An_Prec!$O:$O,BV_Data_An_Prec!$U:$U,$B65,BV_Data_An_Prec!$V:$V,$C65,BV_Data_An_Prec!$W:$W,Q$2)</f>
        <v>210.02</v>
      </c>
      <c r="R65" s="320"/>
      <c r="S65" s="216">
        <f t="shared" si="44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  <c r="BC65" s="532"/>
    </row>
    <row r="66" spans="1:55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+INDEX('Budget original'!$A$2:$AO$496,MATCH($A66,'Budget original'!$A$2:$A$496,0),MATCH(F$2,'Budget original'!$A$2:$AO$2,0))</f>
        <v>1349.1200000000001</v>
      </c>
      <c r="G66" s="319"/>
      <c r="H66" s="195"/>
      <c r="I66" s="196">
        <f>+INDEX('Budget révisé'!$A$2:$AO$496,MATCH($A66,'Budget révisé'!$A$2:$A$496,0),MATCH(I$2,'Budget révisé'!$A$2:$AO$2,0))</f>
        <v>1349.1200000000001</v>
      </c>
      <c r="J66" s="320"/>
      <c r="K66" s="195"/>
      <c r="L66" s="298">
        <f>SUMIFS(BV_Data_An_Cour!$O:$O,BV_Data_An_Cour!$U:$U,$B66,BV_Data_An_Cour!$V:$V,$C66,BV_Data_An_Cour!$W:$W,L$2)</f>
        <v>252.3</v>
      </c>
      <c r="M66" s="320"/>
      <c r="N66" s="321">
        <f t="shared" si="43"/>
        <v>-1096.8200000000002</v>
      </c>
      <c r="O66" s="320"/>
      <c r="P66" s="195"/>
      <c r="Q66" s="197">
        <f>SUMIFS(BV_Data_An_Prec!$O:$O,BV_Data_An_Prec!$U:$U,$B66,BV_Data_An_Prec!$V:$V,$C66,BV_Data_An_Prec!$W:$W,Q$2)</f>
        <v>1705.28</v>
      </c>
      <c r="R66" s="320"/>
      <c r="S66" s="216">
        <f t="shared" si="44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  <c r="BC66" s="532"/>
    </row>
    <row r="67" spans="1:55" s="600" customFormat="1" ht="15.75" customHeight="1">
      <c r="A67" s="600" t="str">
        <f t="shared" ref="A67:A69" si="45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+INDEX('Budget original'!$A$2:$AO$496,MATCH($A67,'Budget original'!$A$2:$A$496,0),MATCH(F$2,'Budget original'!$A$2:$AO$2,0))</f>
        <v>1438.3466666666668</v>
      </c>
      <c r="G67" s="319"/>
      <c r="H67" s="195"/>
      <c r="I67" s="196">
        <f>+INDEX('Budget révisé'!$A$2:$AO$496,MATCH($A67,'Budget révisé'!$A$2:$A$496,0),MATCH(I$2,'Budget révisé'!$A$2:$AO$2,0))</f>
        <v>1438.3466666666668</v>
      </c>
      <c r="J67" s="320"/>
      <c r="K67" s="195"/>
      <c r="L67" s="298">
        <f>SUMIFS(BV_Data_An_Cour!$O:$O,BV_Data_An_Cour!$U:$U,$B67,BV_Data_An_Cour!$V:$V,$C67,BV_Data_An_Cour!$W:$W,L$2)</f>
        <v>523.33000000000004</v>
      </c>
      <c r="M67" s="320"/>
      <c r="N67" s="321">
        <f t="shared" ref="N67" si="46">L67-I67</f>
        <v>-915.01666666666677</v>
      </c>
      <c r="O67" s="320"/>
      <c r="P67" s="195"/>
      <c r="Q67" s="197">
        <f>SUMIFS(BV_Data_An_Prec!$O:$O,BV_Data_An_Prec!$U:$U,$B67,BV_Data_An_Prec!$V:$V,$C67,BV_Data_An_Prec!$W:$W,Q$2)</f>
        <v>4555.83</v>
      </c>
      <c r="R67" s="320"/>
      <c r="S67" s="216">
        <f t="shared" ref="S67" si="47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  <c r="BC67" s="532"/>
    </row>
    <row r="68" spans="1:55" s="600" customFormat="1" ht="15.75" customHeight="1">
      <c r="A68" s="600" t="str">
        <f t="shared" si="45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+INDEX('Budget original'!$A$2:$AO$496,MATCH($A68,'Budget original'!$A$2:$A$496,0),MATCH(F$2,'Budget original'!$A$2:$AO$2,0))</f>
        <v>2087.673832859015</v>
      </c>
      <c r="G68" s="319"/>
      <c r="H68" s="195"/>
      <c r="I68" s="196">
        <f>+INDEX('Budget révisé'!$A$2:$AO$496,MATCH($A68,'Budget révisé'!$A$2:$A$496,0),MATCH(I$2,'Budget révisé'!$A$2:$AO$2,0))</f>
        <v>2087.673832859015</v>
      </c>
      <c r="J68" s="320"/>
      <c r="K68" s="195"/>
      <c r="L68" s="1090">
        <f>AG447*W3</f>
        <v>1926.5490000000002</v>
      </c>
      <c r="M68" s="320"/>
      <c r="N68" s="321">
        <f t="shared" ref="N68:N69" si="48">L68-I68</f>
        <v>-161.12483285901476</v>
      </c>
      <c r="O68" s="320"/>
      <c r="P68" s="195"/>
      <c r="Q68" s="197">
        <f>SUMIFS(BV_Data_An_Prec!$O:$O,BV_Data_An_Prec!$U:$U,$B68,BV_Data_An_Prec!$V:$V,$C68,BV_Data_An_Prec!$W:$W,Q$2)</f>
        <v>5310.96</v>
      </c>
      <c r="R68" s="320"/>
      <c r="S68" s="216">
        <f t="shared" ref="S68:S69" si="49">L68-Q68</f>
        <v>-3384.4110000000001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  <c r="BC68" s="532"/>
    </row>
    <row r="69" spans="1:55" s="600" customFormat="1" ht="15.75" customHeight="1">
      <c r="A69" s="600" t="str">
        <f t="shared" si="45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+INDEX('Budget original'!$A$2:$AO$496,MATCH($A69,'Budget original'!$A$2:$A$496,0),MATCH(F$2,'Budget original'!$A$2:$AO$2,0))</f>
        <v>0</v>
      </c>
      <c r="G69" s="319"/>
      <c r="H69" s="195"/>
      <c r="I69" s="196">
        <f>+INDEX('Budget révisé'!$A$2:$AO$496,MATCH($A69,'Budget révisé'!$A$2:$A$496,0),MATCH(I$2,'Budget révisé'!$A$2:$AO$2,0))</f>
        <v>0</v>
      </c>
      <c r="J69" s="320"/>
      <c r="K69" s="195"/>
      <c r="L69" s="298"/>
      <c r="M69" s="320"/>
      <c r="N69" s="321">
        <f t="shared" si="48"/>
        <v>0</v>
      </c>
      <c r="O69" s="320"/>
      <c r="P69" s="195"/>
      <c r="Q69" s="197">
        <f>SUMIFS(BV_Data_An_Prec!$O:$O,BV_Data_An_Prec!$U:$U,$B69,BV_Data_An_Prec!$V:$V,$C69,BV_Data_An_Prec!$W:$W,Q$2)</f>
        <v>0</v>
      </c>
      <c r="R69" s="320"/>
      <c r="S69" s="216">
        <f t="shared" si="49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  <c r="BC69" s="532"/>
    </row>
    <row r="70" spans="1:55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+INDEX('Budget original'!$A$2:$AO$496,MATCH($A70,'Budget original'!$A$2:$A$496,0),MATCH(F$2,'Budget original'!$A$2:$AO$2,0))</f>
        <v>0</v>
      </c>
      <c r="G70" s="319"/>
      <c r="H70" s="195"/>
      <c r="I70" s="196">
        <f>+INDEX('Budget révisé'!$A$2:$AO$496,MATCH($A70,'Budget révisé'!$A$2:$A$496,0),MATCH(I$2,'Budget révisé'!$A$2:$AO$2,0))</f>
        <v>0</v>
      </c>
      <c r="J70" s="320"/>
      <c r="K70" s="195"/>
      <c r="L70" s="298">
        <f>SUMIFS(BV_Data_An_Cour!$O:$O,BV_Data_An_Cour!$U:$U,$B70,BV_Data_An_Cour!$V:$V,$C70,BV_Data_An_Cour!$W:$W,L$2)</f>
        <v>0</v>
      </c>
      <c r="M70" s="320"/>
      <c r="N70" s="321">
        <f t="shared" si="43"/>
        <v>0</v>
      </c>
      <c r="O70" s="320"/>
      <c r="P70" s="195"/>
      <c r="Q70" s="197">
        <f>SUMIFS(BV_Data_An_Prec!$O:$O,BV_Data_An_Prec!$U:$U,$B70,BV_Data_An_Prec!$V:$V,$C70,BV_Data_An_Prec!$W:$W,Q$2)</f>
        <v>0</v>
      </c>
      <c r="R70" s="320"/>
      <c r="S70" s="216">
        <f t="shared" si="44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  <c r="BC70" s="532"/>
    </row>
    <row r="71" spans="1:55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+INDEX('Budget original'!$A$2:$AO$496,MATCH($A71,'Budget original'!$A$2:$A$496,0),MATCH(F$2,'Budget original'!$A$2:$AO$2,0))</f>
        <v>0</v>
      </c>
      <c r="G71" s="319"/>
      <c r="H71" s="195"/>
      <c r="I71" s="196">
        <f>+INDEX('Budget révisé'!$A$2:$AO$496,MATCH($A71,'Budget révisé'!$A$2:$A$496,0),MATCH(I$2,'Budget révisé'!$A$2:$AO$2,0))</f>
        <v>0</v>
      </c>
      <c r="J71" s="320"/>
      <c r="K71" s="195"/>
      <c r="L71" s="197">
        <f>SUMIFS(BV_Data_An_Cour!$O:$O,BV_Data_An_Cour!$U:$U,$B71,BV_Data_An_Cour!$V:$V,$C71,BV_Data_An_Cour!$W:$W,L$2)*0.32</f>
        <v>0</v>
      </c>
      <c r="M71" s="320"/>
      <c r="N71" s="321">
        <f t="shared" si="43"/>
        <v>0</v>
      </c>
      <c r="O71" s="320"/>
      <c r="P71" s="195"/>
      <c r="Q71" s="197">
        <f>SUMIFS(BV_Data_An_Prec!$O:$O,BV_Data_An_Prec!$U:$U,$B71,BV_Data_An_Prec!$V:$V,$C71,BV_Data_An_Prec!$W:$W,Q$2)*0.32</f>
        <v>0</v>
      </c>
      <c r="R71" s="320"/>
      <c r="S71" s="216">
        <f t="shared" si="44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1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</row>
    <row r="72" spans="1:55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0.44395846816907442</v>
      </c>
      <c r="L72" s="41">
        <f>+SUM(L55:L71)</f>
        <v>20770.739000000001</v>
      </c>
      <c r="M72" s="44"/>
      <c r="N72" s="41">
        <f>+SUM(N55:N71)</f>
        <v>-12720.708276052717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-24699.550999999999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1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  <c r="BC72" s="532"/>
    </row>
    <row r="73" spans="1:55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1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  <c r="BC73" s="532"/>
    </row>
    <row r="74" spans="1:55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2.4151081792322842</v>
      </c>
      <c r="L74" s="41">
        <f>L41+L54+L72</f>
        <v>112991.609</v>
      </c>
      <c r="M74" s="44"/>
      <c r="N74" s="46">
        <f>L74-I74</f>
        <v>-66414.475471565267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-78258.320999999996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1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  <c r="BC74" s="532"/>
    </row>
    <row r="75" spans="1:55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+INDEX('Budget original'!$A$2:$AO$496,MATCH($A75,'Budget original'!$A$2:$A$496,0),MATCH(F$2,'Budget original'!$A$2:$AO$2,0))</f>
        <v>22678.818750000006</v>
      </c>
      <c r="G75" s="319"/>
      <c r="H75" s="195"/>
      <c r="I75" s="196">
        <f>+INDEX('Budget révisé'!$A$2:$AO$496,MATCH($A75,'Budget révisé'!$A$2:$A$496,0),MATCH(I$2,'Budget révisé'!$A$2:$AO$2,0))</f>
        <v>22678.818750000006</v>
      </c>
      <c r="J75" s="320"/>
      <c r="K75" s="195"/>
      <c r="L75" s="572">
        <f>-SUMIFS(BV_Data_An_Cour!$O:$O,BV_Data_An_Cour!$U:$U,$B75,BV_Data_An_Cour!$V:$V,$C75,BV_Data_An_Cour!$W:$W,L$2)</f>
        <v>11500</v>
      </c>
      <c r="M75" s="320"/>
      <c r="N75" s="321">
        <f>L75-I75</f>
        <v>-11178.818750000006</v>
      </c>
      <c r="O75" s="320"/>
      <c r="P75" s="195"/>
      <c r="Q75" s="572">
        <f>-SUMIFS(BV_Data_An_Prec!$O:$O,BV_Data_An_Prec!$U:$U,$B75,BV_Data_An_Prec!$V:$V,$C75,BV_Data_An_Prec!$W:$W,Q$2)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1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  <c r="BC75" s="532"/>
    </row>
    <row r="76" spans="1:55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+INDEX('Budget original'!$A$2:$AO$496,MATCH($A76,'Budget original'!$A$2:$A$496,0),MATCH(F$2,'Budget original'!$A$2:$AO$2,0))</f>
        <v>0</v>
      </c>
      <c r="G76" s="319"/>
      <c r="H76" s="195"/>
      <c r="I76" s="196">
        <f>+INDEX('Budget révisé'!$A$2:$AO$496,MATCH($A76,'Budget révisé'!$A$2:$A$496,0),MATCH(I$2,'Budget révisé'!$A$2:$AO$2,0))</f>
        <v>0</v>
      </c>
      <c r="J76" s="320"/>
      <c r="K76" s="195"/>
      <c r="L76" s="1090">
        <f>-SUMIFS(BV_Data_An_Cour!$O:$O,BV_Data_An_Cour!$U:$U,$B76,BV_Data_An_Cour!$V:$V,$C76,BV_Data_An_Cour!$W:$W,L$2)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-SUMIFS(BV_Data_An_Prec!$O:$O,BV_Data_An_Prec!$U:$U,$B76,BV_Data_An_Prec!$V:$V,$C76,BV_Data_An_Prec!$W:$W,Q$2)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1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  <c r="BC76" s="532"/>
    </row>
    <row r="77" spans="1:55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+INDEX('Budget original'!$A$2:$AO$496,MATCH($A77,'Budget original'!$A$2:$A$496,0),MATCH(F$2,'Budget original'!$A$2:$AO$2,0))</f>
        <v>0</v>
      </c>
      <c r="G77" s="319"/>
      <c r="H77" s="195"/>
      <c r="I77" s="196">
        <f>+INDEX('Budget révisé'!$A$2:$AO$496,MATCH($A77,'Budget révisé'!$A$2:$A$496,0),MATCH(I$2,'Budget révisé'!$A$2:$AO$2,0))</f>
        <v>0</v>
      </c>
      <c r="J77" s="320"/>
      <c r="K77" s="195"/>
      <c r="L77" s="1090">
        <f>-SUMIFS(BV_Data_An_Cour!$O:$O,BV_Data_An_Cour!$U:$U,$B77,BV_Data_An_Cour!$V:$V,$C77,BV_Data_An_Cour!$W:$W,L$2)</f>
        <v>0</v>
      </c>
      <c r="M77" s="320"/>
      <c r="N77" s="321">
        <f t="shared" ref="N77:N82" si="50">L77-I77</f>
        <v>0</v>
      </c>
      <c r="O77" s="320"/>
      <c r="P77" s="195"/>
      <c r="Q77" s="572">
        <f>-SUMIFS(BV_Data_An_Prec!$O:$O,BV_Data_An_Prec!$U:$U,$B77,BV_Data_An_Prec!$V:$V,$C77,BV_Data_An_Prec!$W:$W,Q$2)</f>
        <v>0</v>
      </c>
      <c r="R77" s="320"/>
      <c r="S77" s="216">
        <f t="shared" ref="S77:S82" si="51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1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  <c r="BC77" s="532"/>
    </row>
    <row r="78" spans="1:55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+INDEX('Budget original'!$A$2:$AO$496,MATCH($A78,'Budget original'!$A$2:$A$496,0),MATCH(F$2,'Budget original'!$A$2:$AO$2,0))</f>
        <v>36387.783750000002</v>
      </c>
      <c r="G78" s="319"/>
      <c r="H78" s="195"/>
      <c r="I78" s="196">
        <f>+INDEX('Budget révisé'!$A$2:$AO$496,MATCH($A78,'Budget révisé'!$A$2:$A$496,0),MATCH(I$2,'Budget révisé'!$A$2:$AO$2,0))</f>
        <v>36387.783750000002</v>
      </c>
      <c r="J78" s="320"/>
      <c r="K78" s="195"/>
      <c r="L78" s="298">
        <f>-SUMIFS(BV_Data_An_Cour!$O:$O,BV_Data_An_Cour!$U:$U,$B78,BV_Data_An_Cour!$V:$V,$C78,BV_Data_An_Cour!$W:$W,L$2)</f>
        <v>22341</v>
      </c>
      <c r="M78" s="320"/>
      <c r="N78" s="321">
        <f t="shared" si="50"/>
        <v>-14046.783750000002</v>
      </c>
      <c r="O78" s="320"/>
      <c r="P78" s="195"/>
      <c r="Q78" s="572">
        <f>-SUMIFS(BV_Data_An_Prec!$O:$O,BV_Data_An_Prec!$U:$U,$B78,BV_Data_An_Prec!$V:$V,$C78,BV_Data_An_Prec!$W:$W,Q$2)</f>
        <v>73636.100000000006</v>
      </c>
      <c r="R78" s="320"/>
      <c r="S78" s="216">
        <f t="shared" si="51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1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  <c r="BC78" s="532"/>
    </row>
    <row r="79" spans="1:55" s="600" customFormat="1" ht="15.75" customHeight="1">
      <c r="A79" s="600" t="str">
        <f t="shared" ref="A79:A81" si="52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+INDEX('Budget original'!$A$2:$AO$496,MATCH($A79,'Budget original'!$A$2:$A$496,0),MATCH(F$2,'Budget original'!$A$2:$AO$2,0))</f>
        <v>0</v>
      </c>
      <c r="G79" s="319"/>
      <c r="H79" s="195"/>
      <c r="I79" s="196">
        <f>+INDEX('Budget révisé'!$A$2:$AO$496,MATCH($A79,'Budget révisé'!$A$2:$A$496,0),MATCH(I$2,'Budget révisé'!$A$2:$AO$2,0))</f>
        <v>0</v>
      </c>
      <c r="J79" s="320"/>
      <c r="K79" s="195"/>
      <c r="L79" s="298">
        <f>-SUMIFS(BV_Data_An_Cour!$O:$O,BV_Data_An_Cour!$U:$U,$B79,BV_Data_An_Cour!$V:$V,$C79,BV_Data_An_Cour!$W:$W,L$2)</f>
        <v>0</v>
      </c>
      <c r="M79" s="320"/>
      <c r="N79" s="321">
        <f t="shared" ref="N79:N81" si="53">L79-I79</f>
        <v>0</v>
      </c>
      <c r="O79" s="320"/>
      <c r="P79" s="195"/>
      <c r="Q79" s="572">
        <f>-SUMIFS(BV_Data_An_Prec!$O:$O,BV_Data_An_Prec!$U:$U,$B79,BV_Data_An_Prec!$V:$V,$C79,BV_Data_An_Prec!$W:$W,Q$2)</f>
        <v>0</v>
      </c>
      <c r="R79" s="320"/>
      <c r="S79" s="216">
        <f t="shared" ref="S79:S81" si="54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1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  <c r="BC79" s="532"/>
    </row>
    <row r="80" spans="1:55" s="600" customFormat="1" ht="15.75" customHeight="1">
      <c r="A80" s="600" t="str">
        <f t="shared" si="52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+INDEX('Budget original'!$A$2:$AO$496,MATCH($A80,'Budget original'!$A$2:$A$496,0),MATCH(F$2,'Budget original'!$A$2:$AO$2,0))</f>
        <v>0</v>
      </c>
      <c r="G80" s="319"/>
      <c r="H80" s="195"/>
      <c r="I80" s="196">
        <f>+INDEX('Budget révisé'!$A$2:$AO$496,MATCH($A80,'Budget révisé'!$A$2:$A$496,0),MATCH(I$2,'Budget révisé'!$A$2:$AO$2,0))</f>
        <v>0</v>
      </c>
      <c r="J80" s="320"/>
      <c r="K80" s="195"/>
      <c r="L80" s="298">
        <f>-SUMIFS(BV_Data_An_Cour!$O:$O,BV_Data_An_Cour!$U:$U,$B80,BV_Data_An_Cour!$V:$V,$C80,BV_Data_An_Cour!$W:$W,L$2)</f>
        <v>0</v>
      </c>
      <c r="M80" s="320"/>
      <c r="N80" s="321">
        <f t="shared" si="53"/>
        <v>0</v>
      </c>
      <c r="O80" s="320"/>
      <c r="P80" s="195"/>
      <c r="Q80" s="572">
        <f>-SUMIFS(BV_Data_An_Prec!$O:$O,BV_Data_An_Prec!$U:$U,$B80,BV_Data_An_Prec!$V:$V,$C80,BV_Data_An_Prec!$W:$W,Q$2)</f>
        <v>0</v>
      </c>
      <c r="R80" s="320"/>
      <c r="S80" s="216">
        <f t="shared" si="54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1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  <c r="BC80" s="532"/>
    </row>
    <row r="81" spans="1:55" s="600" customFormat="1" ht="15.75" customHeight="1">
      <c r="A81" s="600" t="str">
        <f t="shared" si="52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+INDEX('Budget original'!$A$2:$AO$496,MATCH($A81,'Budget original'!$A$2:$A$496,0),MATCH(F$2,'Budget original'!$A$2:$AO$2,0))</f>
        <v>0</v>
      </c>
      <c r="G81" s="319"/>
      <c r="H81" s="195"/>
      <c r="I81" s="196">
        <f>+INDEX('Budget révisé'!$A$2:$AO$496,MATCH($A81,'Budget révisé'!$A$2:$A$496,0),MATCH(I$2,'Budget révisé'!$A$2:$AO$2,0))</f>
        <v>0</v>
      </c>
      <c r="J81" s="320"/>
      <c r="K81" s="195"/>
      <c r="L81" s="298">
        <f>-SUMIFS(BV_Data_An_Cour!$O:$O,BV_Data_An_Cour!$U:$U,$B81,BV_Data_An_Cour!$V:$V,$C81,BV_Data_An_Cour!$W:$W,L$2)</f>
        <v>0</v>
      </c>
      <c r="M81" s="320"/>
      <c r="N81" s="321">
        <f t="shared" si="53"/>
        <v>0</v>
      </c>
      <c r="O81" s="320"/>
      <c r="P81" s="195"/>
      <c r="Q81" s="572">
        <f>-SUMIFS(BV_Data_An_Prec!$O:$O,BV_Data_An_Prec!$U:$U,$B81,BV_Data_An_Prec!$V:$V,$C81,BV_Data_An_Prec!$W:$W,Q$2)</f>
        <v>0</v>
      </c>
      <c r="R81" s="320"/>
      <c r="S81" s="216">
        <f t="shared" si="54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1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  <c r="BC81" s="532"/>
    </row>
    <row r="82" spans="1:55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+INDEX('Budget original'!$A$2:$AO$496,MATCH($A82,'Budget original'!$A$2:$A$496,0),MATCH(F$2,'Budget original'!$A$2:$AO$2,0))</f>
        <v>19185.977379285494</v>
      </c>
      <c r="G82" s="319"/>
      <c r="H82" s="195"/>
      <c r="I82" s="196">
        <f>+INDEX('Budget révisé'!$A$2:$AO$496,MATCH($A82,'Budget révisé'!$A$2:$A$496,0),MATCH(I$2,'Budget révisé'!$A$2:$AO$2,0))</f>
        <v>19185.977379285494</v>
      </c>
      <c r="J82" s="320"/>
      <c r="K82" s="195"/>
      <c r="L82" s="1090">
        <f>-SUMIFS(BV_Data_An_Cour!$O:$O,BV_Data_An_Cour!$U:$U,$B82,BV_Data_An_Cour!$V:$V,$C82,BV_Data_An_Cour!$W:$W,L$2)-L158</f>
        <v>6261</v>
      </c>
      <c r="M82" s="320"/>
      <c r="N82" s="321">
        <f t="shared" si="50"/>
        <v>-12924.977379285494</v>
      </c>
      <c r="O82" s="320"/>
      <c r="P82" s="195"/>
      <c r="Q82" s="572">
        <f>-SUMIFS(BV_Data_An_Prec!$O:$O,BV_Data_An_Prec!$U:$U,$B82,BV_Data_An_Prec!$V:$V,$C82,BV_Data_An_Prec!$W:$W,Q$2)</f>
        <v>23795.25</v>
      </c>
      <c r="R82" s="320"/>
      <c r="S82" s="216">
        <f t="shared" si="51"/>
        <v>-17534.25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1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  <c r="BC82" s="532"/>
    </row>
    <row r="83" spans="1:55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40102</v>
      </c>
      <c r="M83" s="44"/>
      <c r="N83" s="41">
        <f>+SUM(N75:N82)</f>
        <v>-38150.579879285506</v>
      </c>
      <c r="O83" s="42"/>
      <c r="P83" s="40"/>
      <c r="Q83" s="41">
        <f>+SUM(Q75:Q82)</f>
        <v>105351.35</v>
      </c>
      <c r="R83" s="44"/>
      <c r="S83" s="333">
        <f>+SUM(S75:S82)</f>
        <v>-68829.350000000006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1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  <c r="BC83" s="532"/>
    </row>
    <row r="84" spans="1:55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1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  <c r="BC84" s="532"/>
    </row>
    <row r="85" spans="1:55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-26104.288999999902</v>
      </c>
      <c r="M85" s="453"/>
      <c r="N85" s="360">
        <f>N27-N41-N54-N72+N83</f>
        <v>-40156.18582592559</v>
      </c>
      <c r="O85" s="453"/>
      <c r="P85" s="359"/>
      <c r="Q85" s="360">
        <f>Q27-Q74+Q83</f>
        <v>10512.070000000269</v>
      </c>
      <c r="R85" s="453"/>
      <c r="S85" s="364">
        <f>S27-S41-S54-S72+S83</f>
        <v>-40196.359000000164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1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  <c r="BC85" s="532"/>
    </row>
    <row r="86" spans="1:55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3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  <c r="BC86" s="532"/>
    </row>
    <row r="87" spans="1:55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3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  <c r="BC87" s="532"/>
    </row>
    <row r="88" spans="1:55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  <c r="BC88" s="532"/>
    </row>
    <row r="89" spans="1:55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4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  <c r="BC89" s="532"/>
    </row>
    <row r="90" spans="1:55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  <c r="BC90" s="532"/>
    </row>
    <row r="91" spans="1:55" ht="15.75" customHeight="1" thickTop="1">
      <c r="B91" s="24"/>
      <c r="C91" s="280"/>
      <c r="D91" s="1105" t="s">
        <v>77</v>
      </c>
      <c r="E91" s="1106"/>
      <c r="F91" s="1107"/>
      <c r="G91" s="1108" t="s">
        <v>145</v>
      </c>
      <c r="H91" s="1106"/>
      <c r="I91" s="1107"/>
      <c r="J91" s="1108" t="s">
        <v>79</v>
      </c>
      <c r="K91" s="1106"/>
      <c r="L91" s="1107"/>
      <c r="M91" s="1108" t="s">
        <v>80</v>
      </c>
      <c r="N91" s="1107"/>
      <c r="O91" s="1105" t="s">
        <v>81</v>
      </c>
      <c r="P91" s="1106"/>
      <c r="Q91" s="1107"/>
      <c r="R91" s="1108" t="s">
        <v>82</v>
      </c>
      <c r="S91" s="1109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1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  <c r="BC91" s="532"/>
    </row>
    <row r="92" spans="1:55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1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  <c r="BC92" s="532"/>
    </row>
    <row r="93" spans="1:55" ht="24" customHeight="1">
      <c r="A93" s="600" t="str">
        <f t="shared" ref="A93:A157" si="55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+INDEX('Budget original'!$A$2:$AO$496,MATCH($A93,'Budget original'!$A$2:$A$496,0),MATCH(F$2,'Budget original'!$A$2:$AO$2,0))</f>
        <v>641081.32723401533</v>
      </c>
      <c r="G93" s="200"/>
      <c r="H93" s="201"/>
      <c r="I93" s="194">
        <f>+INDEX('Budget révisé'!$A$2:$AO$496,MATCH($A93,'Budget révisé'!$A$2:$A$496,0),MATCH(I$2,'Budget révisé'!$A$2:$AO$2,0))</f>
        <v>641081.32723401533</v>
      </c>
      <c r="J93" s="597"/>
      <c r="K93" s="201"/>
      <c r="L93" s="194">
        <f>-SUMIFS(BV_Data_An_Cour!$O:$O,BV_Data_An_Cour!$X:$X,"Oui",BV_Data_An_Cour!$U:$U,$B93)</f>
        <v>495435.11</v>
      </c>
      <c r="M93" s="412"/>
      <c r="N93" s="413"/>
      <c r="O93" s="597"/>
      <c r="P93" s="201"/>
      <c r="Q93" s="194">
        <f>-SUMIFS(BV_Data_An_Prec!$O:$O,BV_Data_An_Prec!$X:$X,"Oui",BV_Data_An_Prec!$U:$U,$B93)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1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  <c r="BC93" s="532"/>
    </row>
    <row r="94" spans="1:55" ht="21.75" customHeight="1">
      <c r="A94" s="600" t="str">
        <f t="shared" si="55"/>
        <v>Véhicules usagésCertifié</v>
      </c>
      <c r="B94" s="24" t="s">
        <v>144</v>
      </c>
      <c r="C94" s="281" t="s">
        <v>146</v>
      </c>
      <c r="D94" s="196">
        <f>+INDEX('Budget original'!$A$2:$AO$496,MATCH($A94,'Budget original'!$A$2:$A$496,0),MATCH(D$2,'Budget original'!$A$2:$AO$2,0))</f>
        <v>19.24044771677282</v>
      </c>
      <c r="E94" s="196">
        <f>IF(D94=0,0,F94/D94)</f>
        <v>750</v>
      </c>
      <c r="F94" s="196">
        <f>+INDEX('Budget original'!$A$2:$AO$496,MATCH($A94,'Budget original'!$A$2:$A$496,0),MATCH(F$2,'Budget original'!$A$2:$AO$2,0))</f>
        <v>14430.335787579615</v>
      </c>
      <c r="G94" s="199">
        <f>+INDEX('Budget révisé'!$A$2:$AO$496,MATCH($A94,'Budget révisé'!$A$2:$A$496,0),MATCH(G$2,'Budget révisé'!$A$2:$AO$2,0))</f>
        <v>19.24044771677282</v>
      </c>
      <c r="H94" s="196">
        <f>IF(G94=0,0,I94/G94)</f>
        <v>750</v>
      </c>
      <c r="I94" s="196">
        <f>+INDEX('Budget révisé'!$A$2:$AO$496,MATCH($A94,'Budget révisé'!$A$2:$A$496,0),MATCH(I$2,'Budget révisé'!$A$2:$AO$2,0))</f>
        <v>14430.335787579615</v>
      </c>
      <c r="J94" s="598">
        <f>-SUMIFS(BV_Data_An_Cour!$O:$O,BV_Data_An_Cour!$U:$U,$B94,BV_Data_An_Cour!$V:$V,$C94,BV_Data_An_Cour!$W:$W,J$2)</f>
        <v>14</v>
      </c>
      <c r="K94" s="196">
        <f t="shared" ref="K94:K95" si="56">IF(J94=0,0,L94/J94)</f>
        <v>1047.6399999999994</v>
      </c>
      <c r="L94" s="197">
        <f>-SUMIFS(BV_Data_An_Cour!$O:$O,BV_Data_An_Cour!$U:$U,$B94,BV_Data_An_Cour!$V:$V,$C94,BV_Data_An_Cour!$W:$W,$L2)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-SUMIFS(BV_Data_An_Prec!$O:$O,BV_Data_An_Prec!$U:$U,$B94,BV_Data_An_Prec!$V:$V,$C94,BV_Data_An_Prec!$W:$W,O$2)</f>
        <v>0</v>
      </c>
      <c r="P94" s="196">
        <f t="shared" ref="P94:P95" si="57">IF(O94=0,0,Q94/O94)</f>
        <v>0</v>
      </c>
      <c r="Q94" s="197">
        <f>-SUMIFS(BV_Data_An_Prec!$O:$O,BV_Data_An_Prec!$U:$U,$B94,BV_Data_An_Prec!$V:$V,$C94,BV_Data_An_Prec!$W:$W,$L2)</f>
        <v>0</v>
      </c>
      <c r="R94" s="199">
        <f t="shared" ref="R94:R95" si="58">J94-O94</f>
        <v>14</v>
      </c>
      <c r="S94" s="416">
        <f t="shared" ref="S94:S95" si="59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1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  <c r="BC94" s="532"/>
    </row>
    <row r="95" spans="1:55" ht="18.75" customHeight="1">
      <c r="A95" s="600" t="str">
        <f t="shared" si="55"/>
        <v>Véhicules usagésNon Certifié</v>
      </c>
      <c r="B95" s="24" t="s">
        <v>144</v>
      </c>
      <c r="C95" s="281" t="s">
        <v>147</v>
      </c>
      <c r="D95" s="196">
        <f>+INDEX('Budget original'!$A$2:$AO$496,MATCH($A95,'Budget original'!$A$2:$A$496,0),MATCH(D$2,'Budget original'!$A$2:$AO$2,0))</f>
        <v>1.0973639382189821</v>
      </c>
      <c r="E95" s="201">
        <f t="shared" ref="E95:E104" si="60">IF(D95=0,0,F95/D95)</f>
        <v>750</v>
      </c>
      <c r="F95" s="196">
        <f>+INDEX('Budget original'!$A$2:$AO$496,MATCH($A95,'Budget original'!$A$2:$A$496,0),MATCH(F$2,'Budget original'!$A$2:$AO$2,0))</f>
        <v>823.02295366423664</v>
      </c>
      <c r="G95" s="199">
        <f>+INDEX('Budget révisé'!$A$2:$AO$496,MATCH($A95,'Budget révisé'!$A$2:$A$496,0),MATCH(G$2,'Budget révisé'!$A$2:$AO$2,0))</f>
        <v>1.0973639382189821</v>
      </c>
      <c r="H95" s="196">
        <f t="shared" ref="H95:H97" si="61">IF(G95=0,0,I95/G95)</f>
        <v>750</v>
      </c>
      <c r="I95" s="196">
        <f>+INDEX('Budget révisé'!$A$2:$AO$496,MATCH($A95,'Budget révisé'!$A$2:$A$496,0),MATCH(I$2,'Budget révisé'!$A$2:$AO$2,0))</f>
        <v>823.02295366423664</v>
      </c>
      <c r="J95" s="199">
        <f>-SUMIFS(BV_Data_An_Cour!$O:$O,BV_Data_An_Cour!$U:$U,$B95,BV_Data_An_Cour!$V:$V,$C95,BV_Data_An_Cour!$W:$W,J$2)</f>
        <v>1</v>
      </c>
      <c r="K95" s="196">
        <f t="shared" si="56"/>
        <v>715</v>
      </c>
      <c r="L95" s="572">
        <f>-SUMIFS(BV_Data_An_Cour!$O:$O,BV_Data_An_Cour!$U:$U,$B95,BV_Data_An_Cour!$V:$V,$C95,BV_Data_An_Cour!$W:$W,$L2)</f>
        <v>715</v>
      </c>
      <c r="M95" s="199"/>
      <c r="N95" s="197"/>
      <c r="O95" s="199">
        <f>-SUMIFS(BV_Data_An_Prec!$O:$O,BV_Data_An_Prec!$U:$U,$B95,BV_Data_An_Prec!$V:$V,$C95,BV_Data_An_Prec!$W:$W,O$2)</f>
        <v>18</v>
      </c>
      <c r="P95" s="196">
        <f t="shared" si="57"/>
        <v>664.77944444444518</v>
      </c>
      <c r="Q95" s="572">
        <f>-SUMIFS(BV_Data_An_Prec!$O:$O,BV_Data_An_Prec!$U:$U,$B95,BV_Data_An_Prec!$V:$V,$C95,BV_Data_An_Prec!$W:$W,$L2)</f>
        <v>11966.030000000013</v>
      </c>
      <c r="R95" s="199">
        <f t="shared" si="58"/>
        <v>-17</v>
      </c>
      <c r="S95" s="416">
        <f t="shared" si="59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239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  <c r="BC95" s="532"/>
    </row>
    <row r="96" spans="1:55" ht="15.75" customHeight="1">
      <c r="A96" s="600" t="str">
        <f t="shared" si="55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60"/>
        <v>750</v>
      </c>
      <c r="F96" s="419">
        <f t="shared" ref="F96" si="62">+F94+F95</f>
        <v>15253.358741243852</v>
      </c>
      <c r="G96" s="420">
        <f>+G95+G94</f>
        <v>20.337811654991803</v>
      </c>
      <c r="H96" s="418">
        <f t="shared" si="61"/>
        <v>750</v>
      </c>
      <c r="I96" s="419">
        <f t="shared" ref="I96" si="63">+I94+I95</f>
        <v>15253.358741243852</v>
      </c>
      <c r="J96" s="420">
        <f t="shared" ref="J96" si="64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5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6">R94+R95</f>
        <v>-3</v>
      </c>
      <c r="S96" s="421">
        <f t="shared" si="66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46"/>
      <c r="AE96" s="239"/>
      <c r="AF96" s="239"/>
      <c r="AG96" s="246"/>
      <c r="AH96" s="239"/>
      <c r="AI96" s="239"/>
      <c r="AJ96" s="239"/>
      <c r="AK96" s="239"/>
      <c r="AL96" s="239"/>
      <c r="AM96" s="239"/>
      <c r="AN96" s="239"/>
      <c r="AO96" s="239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  <c r="BC96" s="532"/>
    </row>
    <row r="97" spans="1:55" ht="15.75" customHeight="1">
      <c r="A97" s="600" t="str">
        <f t="shared" si="55"/>
        <v>Véhicules usagés</v>
      </c>
      <c r="B97" s="24" t="s">
        <v>144</v>
      </c>
      <c r="C97" s="281"/>
      <c r="D97" s="195"/>
      <c r="E97" s="196">
        <f t="shared" si="60"/>
        <v>0</v>
      </c>
      <c r="F97" s="329"/>
      <c r="G97" s="320"/>
      <c r="H97" s="195">
        <f t="shared" si="61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531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  <c r="BC97" s="532"/>
    </row>
    <row r="98" spans="1:55" ht="15.75" customHeight="1">
      <c r="A98" s="600" t="str">
        <f t="shared" si="55"/>
        <v>Véhicules usagésUS</v>
      </c>
      <c r="B98" s="24" t="s">
        <v>144</v>
      </c>
      <c r="C98" s="281" t="s">
        <v>149</v>
      </c>
      <c r="D98" s="196"/>
      <c r="E98" s="196"/>
      <c r="F98" s="196"/>
      <c r="G98" s="320"/>
      <c r="H98" s="196"/>
      <c r="I98" s="196"/>
      <c r="J98" s="199"/>
      <c r="K98" s="196"/>
      <c r="L98" s="197"/>
      <c r="M98" s="199"/>
      <c r="N98" s="197"/>
      <c r="O98" s="199"/>
      <c r="P98" s="196"/>
      <c r="Q98" s="197"/>
      <c r="R98" s="199"/>
      <c r="S98" s="416"/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531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239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  <c r="BC98" s="532"/>
    </row>
    <row r="99" spans="1:55" ht="15.75" customHeight="1">
      <c r="A99" s="600" t="str">
        <f t="shared" si="55"/>
        <v>Véhicules usagésVentes au Gros</v>
      </c>
      <c r="B99" s="24" t="s">
        <v>144</v>
      </c>
      <c r="C99" s="281" t="s">
        <v>150</v>
      </c>
      <c r="D99" s="196">
        <f>+INDEX('Budget original'!$A$2:$AO$496,MATCH($A99,'Budget original'!$A$2:$A$496,0),MATCH(D$2,'Budget original'!$A$2:$AO$2,0))</f>
        <v>17.233619349756211</v>
      </c>
      <c r="E99" s="196">
        <f t="shared" si="60"/>
        <v>120</v>
      </c>
      <c r="F99" s="196">
        <f>+INDEX('Budget original'!$A$2:$AO$496,MATCH($A99,'Budget original'!$A$2:$A$496,0),MATCH(F$2,'Budget original'!$A$2:$AO$2,0))</f>
        <v>2068.0343219707452</v>
      </c>
      <c r="G99" s="320">
        <f>+INDEX('Budget révisé'!$A$2:$AO$496,MATCH($A99,'Budget révisé'!$A$2:$A$496,0),MATCH(G$2,'Budget révisé'!$A$2:$AO$2,0))</f>
        <v>17.233619349756211</v>
      </c>
      <c r="H99" s="196">
        <f t="shared" ref="H99:H104" si="67">IF(G99=0,0,I99/G99)</f>
        <v>120</v>
      </c>
      <c r="I99" s="196">
        <f>+INDEX('Budget révisé'!$A$2:$AO$496,MATCH($A99,'Budget révisé'!$A$2:$A$496,0),MATCH(I$2,'Budget révisé'!$A$2:$AO$2,0))</f>
        <v>2068.0343219707452</v>
      </c>
      <c r="J99" s="199">
        <f>-SUMIFS(BV_Data_An_Cour!$O:$O,BV_Data_An_Cour!$U:$U,$B99,BV_Data_An_Cour!$V:$V,$C99,BV_Data_An_Cour!$W:$W,J$2)</f>
        <v>20</v>
      </c>
      <c r="K99" s="196">
        <f t="shared" ref="K99" si="68">IF(J99=0,0,L99/J99)</f>
        <v>-41.210000000000583</v>
      </c>
      <c r="L99" s="197">
        <f>-SUMIFS(BV_Data_An_Cour!$O:$O,BV_Data_An_Cour!$U:$U,$B99,BV_Data_An_Cour!$V:$V,$C99,BV_Data_An_Cour!$W:$W,L$2)</f>
        <v>-824.20000000001164</v>
      </c>
      <c r="M99" s="199">
        <f t="shared" ref="M99" si="69">J99-G99</f>
        <v>2.7663806502437893</v>
      </c>
      <c r="N99" s="197">
        <f t="shared" ref="N99" si="70">L99-I99</f>
        <v>-2892.2343219707568</v>
      </c>
      <c r="O99" s="199">
        <f>-SUMIFS(BV_Data_An_Prec!$O:$O,BV_Data_An_Prec!$U:$U,$B99,BV_Data_An_Prec!$V:$V,$C99,BV_Data_An_Prec!$W:$W,O$2)</f>
        <v>11</v>
      </c>
      <c r="P99" s="196">
        <f t="shared" ref="P99" si="71">IF(O99=0,0,Q99/O99)</f>
        <v>-490.35545454545485</v>
      </c>
      <c r="Q99" s="197">
        <f>-SUMIFS(BV_Data_An_Prec!$O:$O,BV_Data_An_Prec!$U:$U,$B99,BV_Data_An_Prec!$V:$V,$C99,BV_Data_An_Prec!$W:$W,Q$2)</f>
        <v>-5393.9100000000035</v>
      </c>
      <c r="R99" s="199">
        <f t="shared" ref="R99" si="72">J99-O99</f>
        <v>9</v>
      </c>
      <c r="S99" s="416">
        <f t="shared" ref="S99" si="73">L99-Q99</f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46"/>
      <c r="AE99" s="239"/>
      <c r="AF99" s="239"/>
      <c r="AG99" s="536"/>
      <c r="AH99" s="239"/>
      <c r="AI99" s="239"/>
      <c r="AJ99" s="239"/>
      <c r="AK99" s="239"/>
      <c r="AL99" s="239"/>
      <c r="AM99" s="239"/>
      <c r="AN99" s="239"/>
      <c r="AO99" s="239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  <c r="BC99" s="532"/>
    </row>
    <row r="100" spans="1:55" ht="15.75" customHeight="1">
      <c r="A100" s="600" t="str">
        <f t="shared" si="55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536"/>
      <c r="AH100" s="239"/>
      <c r="AI100" s="239"/>
      <c r="AJ100" s="239"/>
      <c r="AK100" s="239"/>
      <c r="AL100" s="239"/>
      <c r="AM100" s="239"/>
      <c r="AN100" s="239"/>
      <c r="AO100" s="239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  <c r="BC100" s="532"/>
    </row>
    <row r="101" spans="1:55" ht="15.75" customHeight="1">
      <c r="A101" s="600" t="str">
        <f t="shared" si="55"/>
        <v>Véhicules usagésRev. Finances</v>
      </c>
      <c r="B101" s="24" t="s">
        <v>144</v>
      </c>
      <c r="C101" s="281" t="s">
        <v>97</v>
      </c>
      <c r="D101" s="196">
        <f>+INDEX('Budget original'!$A$2:$AO$496,MATCH($A101,'Budget original'!$A$2:$A$496,0),MATCH(D$2,'Budget original'!$A$2:$AO$2,0))</f>
        <v>0</v>
      </c>
      <c r="E101" s="196">
        <f t="shared" si="60"/>
        <v>0</v>
      </c>
      <c r="F101" s="197">
        <f>+INDEX('Budget original'!$A$2:$AO$496,MATCH($A101,'Budget original'!$A$2:$A$496,0),MATCH(F$2,'Budget original'!$A$2:$AO$2,0))</f>
        <v>16353.50352375072</v>
      </c>
      <c r="G101" s="199">
        <f>+INDEX('Budget révisé'!$A$2:$AO$496,MATCH($A101,'Budget révisé'!$A$2:$A$496,0),MATCH(G$2,'Budget révisé'!$A$2:$AO$2,0))</f>
        <v>0</v>
      </c>
      <c r="H101" s="196">
        <f t="shared" si="67"/>
        <v>0</v>
      </c>
      <c r="I101" s="196">
        <f>+INDEX('Budget révisé'!$A$2:$AO$496,MATCH($A101,'Budget révisé'!$A$2:$A$496,0),MATCH(I$2,'Budget révisé'!$A$2:$AO$2,0))</f>
        <v>16353.50352375072</v>
      </c>
      <c r="J101" s="199"/>
      <c r="K101" s="196">
        <f>IF(J96=0,0,L101/J96)</f>
        <v>309.40733333333333</v>
      </c>
      <c r="L101" s="197">
        <f>-SUMIFS(BV_Data_An_Cour!$O:$O,BV_Data_An_Cour!$U:$U,$B101,BV_Data_An_Cour!$V:$V,$C101,BV_Data_An_Cour!$W:$W,$L2)</f>
        <v>4641.1099999999997</v>
      </c>
      <c r="M101" s="199"/>
      <c r="N101" s="197">
        <f t="shared" ref="N101:N104" si="74">L101-I101</f>
        <v>-11712.393523750721</v>
      </c>
      <c r="O101" s="199"/>
      <c r="P101" s="196">
        <f>IF(O96=0,0,Q101/O96)</f>
        <v>268.61222222222227</v>
      </c>
      <c r="Q101" s="197">
        <f>-SUMIFS(BV_Data_An_Prec!$O:$O,BV_Data_An_Prec!$U:$U,$B101,BV_Data_An_Prec!$V:$V,$C101,BV_Data_An_Prec!$W:$W,$L2)</f>
        <v>4835.0200000000004</v>
      </c>
      <c r="R101" s="199">
        <f t="shared" ref="R101:R103" si="75">O101-K101</f>
        <v>-309.40733333333333</v>
      </c>
      <c r="S101" s="416">
        <f t="shared" ref="S101:S104" si="76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  <c r="BC101" s="532"/>
    </row>
    <row r="102" spans="1:55" ht="15.75" customHeight="1">
      <c r="A102" s="600" t="str">
        <f t="shared" si="55"/>
        <v>Véhicules usagésRev. Protections</v>
      </c>
      <c r="B102" s="24" t="s">
        <v>144</v>
      </c>
      <c r="C102" s="281" t="s">
        <v>98</v>
      </c>
      <c r="D102" s="196">
        <f>+INDEX('Budget original'!$A$2:$AO$496,MATCH($A102,'Budget original'!$A$2:$A$496,0),MATCH(D$2,'Budget original'!$A$2:$AO$2,0))</f>
        <v>0</v>
      </c>
      <c r="E102" s="196">
        <f t="shared" si="60"/>
        <v>0</v>
      </c>
      <c r="F102" s="197">
        <f>+INDEX('Budget original'!$A$2:$AO$496,MATCH($A102,'Budget original'!$A$2:$A$496,0),MATCH(F$2,'Budget original'!$A$2:$AO$2,0))</f>
        <v>18533.970660250816</v>
      </c>
      <c r="G102" s="199">
        <f>+INDEX('Budget révisé'!$A$2:$AO$496,MATCH($A102,'Budget révisé'!$A$2:$A$496,0),MATCH(G$2,'Budget révisé'!$A$2:$AO$2,0))</f>
        <v>0</v>
      </c>
      <c r="H102" s="196">
        <f t="shared" si="67"/>
        <v>0</v>
      </c>
      <c r="I102" s="196">
        <f>+INDEX('Budget révisé'!$A$2:$AO$496,MATCH($A102,'Budget révisé'!$A$2:$A$496,0),MATCH(I$2,'Budget révisé'!$A$2:$AO$2,0))</f>
        <v>18533.970660250816</v>
      </c>
      <c r="J102" s="199"/>
      <c r="K102" s="196">
        <f>IF(J96=0,0,L102/J96)</f>
        <v>1352.4093333333333</v>
      </c>
      <c r="L102" s="197">
        <f>-SUMIFS(BV_Data_An_Cour!$O:$O,BV_Data_An_Cour!$U:$U,$B102,BV_Data_An_Cour!$V:$V,$C102,BV_Data_An_Cour!$W:$W,$L2)</f>
        <v>20286.14</v>
      </c>
      <c r="M102" s="199"/>
      <c r="N102" s="197">
        <f t="shared" si="74"/>
        <v>1752.1693397491836</v>
      </c>
      <c r="O102" s="199"/>
      <c r="P102" s="196">
        <f>IF(O96=0,0,Q102/O96)</f>
        <v>437.56277777777774</v>
      </c>
      <c r="Q102" s="197">
        <f>-SUMIFS(BV_Data_An_Prec!$O:$O,BV_Data_An_Prec!$U:$U,$B102,BV_Data_An_Prec!$V:$V,$C102,BV_Data_An_Prec!$W:$W,$L2)</f>
        <v>7876.1299999999992</v>
      </c>
      <c r="R102" s="199">
        <f t="shared" si="75"/>
        <v>-1352.4093333333333</v>
      </c>
      <c r="S102" s="416">
        <f t="shared" si="76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239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  <c r="BC102" s="532"/>
    </row>
    <row r="103" spans="1:55" ht="15.75" customHeight="1">
      <c r="A103" s="600" t="str">
        <f t="shared" si="55"/>
        <v>Véhicules usagésRev. Autres</v>
      </c>
      <c r="B103" s="24" t="s">
        <v>144</v>
      </c>
      <c r="C103" s="281" t="s">
        <v>99</v>
      </c>
      <c r="D103" s="196">
        <f>+INDEX('Budget original'!$A$2:$AO$496,MATCH($A103,'Budget original'!$A$2:$A$496,0),MATCH(D$2,'Budget original'!$A$2:$AO$2,0))</f>
        <v>0</v>
      </c>
      <c r="E103" s="201">
        <f t="shared" si="60"/>
        <v>0</v>
      </c>
      <c r="F103" s="197">
        <f>+INDEX('Budget original'!$A$2:$AO$496,MATCH($A103,'Budget original'!$A$2:$A$496,0),MATCH(F$2,'Budget original'!$A$2:$AO$2,0))</f>
        <v>0</v>
      </c>
      <c r="G103" s="199">
        <f>+INDEX('Budget révisé'!$A$2:$AO$496,MATCH($A103,'Budget révisé'!$A$2:$A$496,0),MATCH(G$2,'Budget révisé'!$A$2:$AO$2,0))</f>
        <v>0</v>
      </c>
      <c r="H103" s="424">
        <f t="shared" si="67"/>
        <v>0</v>
      </c>
      <c r="I103" s="196">
        <f>+INDEX('Budget révisé'!$A$2:$AO$496,MATCH($A103,'Budget révisé'!$A$2:$A$496,0),MATCH(I$2,'Budget révisé'!$A$2:$AO$2,0))</f>
        <v>0</v>
      </c>
      <c r="J103" s="199"/>
      <c r="K103" s="424">
        <f>IF(J96=0,0,L103/J96)</f>
        <v>43.192666666666668</v>
      </c>
      <c r="L103" s="197">
        <f>-SUMIFS(BV_Data_An_Cour!$O:$O,BV_Data_An_Cour!$U:$U,$B103,BV_Data_An_Cour!$V:$V,$C103,BV_Data_An_Cour!$W:$W,$L$2)</f>
        <v>647.89</v>
      </c>
      <c r="M103" s="423"/>
      <c r="N103" s="197">
        <f t="shared" si="74"/>
        <v>647.89</v>
      </c>
      <c r="O103" s="199"/>
      <c r="P103" s="424">
        <f>IF(O96=0,0,Q103/O96)</f>
        <v>24.228888888888889</v>
      </c>
      <c r="Q103" s="197">
        <f>-SUMIFS(BV_Data_An_Prec!$O:$O,BV_Data_An_Prec!$U:$U,$B103,BV_Data_An_Prec!$V:$V,$C103,BV_Data_An_Prec!$W:$W,$L$2)</f>
        <v>436.12</v>
      </c>
      <c r="R103" s="199">
        <f t="shared" si="75"/>
        <v>-43.192666666666668</v>
      </c>
      <c r="S103" s="416">
        <f t="shared" si="76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  <c r="BC103" s="532"/>
    </row>
    <row r="104" spans="1:55" ht="15.75" customHeight="1">
      <c r="A104" s="600" t="str">
        <f t="shared" si="55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60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7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4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6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  <c r="BC104" s="532"/>
    </row>
    <row r="105" spans="1:55" ht="15.75" customHeight="1">
      <c r="A105" s="600" t="str">
        <f t="shared" si="55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239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  <c r="BC105" s="532"/>
    </row>
    <row r="106" spans="1:55" ht="15.75" customHeight="1" thickBot="1">
      <c r="A106" s="600" t="str">
        <f t="shared" si="55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239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  <c r="BC106" s="532"/>
    </row>
    <row r="107" spans="1:55" ht="15.75" customHeight="1" thickTop="1">
      <c r="A107" s="600" t="str">
        <f t="shared" si="55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239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  <c r="BC107" s="532"/>
    </row>
    <row r="108" spans="1:55" ht="19.5" customHeight="1" thickBot="1">
      <c r="A108" s="600" t="str">
        <f t="shared" si="55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239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  <c r="BC108" s="532"/>
    </row>
    <row r="109" spans="1:55" ht="15.75" customHeight="1" thickTop="1">
      <c r="A109" s="600" t="str">
        <f t="shared" si="55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239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  <c r="BC109" s="532"/>
    </row>
    <row r="110" spans="1:55" ht="15.75" customHeight="1">
      <c r="A110" s="600" t="str">
        <f t="shared" si="55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  <c r="BC110" s="532"/>
    </row>
    <row r="111" spans="1:55" ht="15.75" customHeight="1">
      <c r="A111" s="600" t="str">
        <f t="shared" si="55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7">F111/D$96</f>
        <v>532.94535995376907</v>
      </c>
      <c r="F111" s="196">
        <f>+INDEX('Budget original'!$A$2:$AO$496,MATCH($A111,'Budget original'!$A$2:$A$496,0),MATCH(F$2,'Budget original'!$A$2:$AO$2,0))</f>
        <v>10838.942353141567</v>
      </c>
      <c r="G111" s="319"/>
      <c r="H111" s="214">
        <f t="shared" ref="H111:H116" si="78">I111/G$96</f>
        <v>532.94535995376907</v>
      </c>
      <c r="I111" s="196">
        <f>+INDEX('Budget révisé'!$A$2:$AO$496,MATCH($A111,'Budget révisé'!$A$2:$A$496,0),MATCH(I$2,'Budget révisé'!$A$2:$AO$2,0))</f>
        <v>10838.942353141567</v>
      </c>
      <c r="J111" s="1081">
        <f>L111/L96</f>
        <v>0.5055123014232259</v>
      </c>
      <c r="K111" s="214">
        <f t="shared" ref="K111:K116" si="79">IF($J$96=0,0,L111/(J$94+J$95))</f>
        <v>518.3846666666667</v>
      </c>
      <c r="L111" s="197">
        <f>SUMIFS(BV_Data_An_Cour!$O:$O,BV_Data_An_Cour!$U:$U,$B111,BV_Data_An_Cour!$V:$V,$C111,BV_Data_An_Cour!$W:$W,$L$2)</f>
        <v>7775.77</v>
      </c>
      <c r="M111" s="320"/>
      <c r="N111" s="321">
        <f t="shared" ref="N111:N121" si="80">L111-I111</f>
        <v>-3063.1723531415664</v>
      </c>
      <c r="O111" s="320"/>
      <c r="P111" s="214">
        <f t="shared" ref="P111:P116" si="81">IF($J$96=0,0,Q111/(O$94+O$95))</f>
        <v>886.95111111111112</v>
      </c>
      <c r="Q111" s="197">
        <f>SUMIFS(BV_Data_An_Prec!$O:$O,BV_Data_An_Prec!$U:$U,$B111,BV_Data_An_Prec!$V:$V,$C111,BV_Data_An_Prec!$W:$W,$L$2)</f>
        <v>15965.12</v>
      </c>
      <c r="R111" s="320"/>
      <c r="S111" s="216">
        <f t="shared" ref="S111:S121" si="82">L111-Q111</f>
        <v>-8189.35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  <c r="BC111" s="532"/>
    </row>
    <row r="112" spans="1:55" ht="15.75" customHeight="1">
      <c r="A112" s="600" t="str">
        <f t="shared" si="55"/>
        <v>Véhicules usagésComm. F&amp;I</v>
      </c>
      <c r="B112" s="24" t="s">
        <v>144</v>
      </c>
      <c r="C112" s="343" t="s">
        <v>104</v>
      </c>
      <c r="D112" s="324"/>
      <c r="E112" s="430">
        <f t="shared" si="77"/>
        <v>514.61988304093563</v>
      </c>
      <c r="F112" s="194">
        <f>+INDEX('Budget original'!$A$2:$AO$496,MATCH($A112,'Budget original'!$A$2:$A$496,0),MATCH(F$2,'Budget original'!$A$2:$AO$2,0))</f>
        <v>10466.242255200459</v>
      </c>
      <c r="G112" s="326"/>
      <c r="H112" s="430">
        <f t="shared" si="78"/>
        <v>514.61988304093563</v>
      </c>
      <c r="I112" s="194">
        <f>+INDEX('Budget révisé'!$A$2:$AO$496,MATCH($A112,'Budget révisé'!$A$2:$A$496,0),MATCH(I$2,'Budget révisé'!$A$2:$AO$2,0))</f>
        <v>10466.242255200459</v>
      </c>
      <c r="J112" s="1082">
        <f>L112/L104</f>
        <v>0.28909714668228598</v>
      </c>
      <c r="K112" s="430">
        <f t="shared" si="79"/>
        <v>492.9133333333333</v>
      </c>
      <c r="L112" s="197">
        <f>SUMIFS(BV_Data_An_Cour!$O:$O,BV_Data_An_Cour!$U:$U,$B112,BV_Data_An_Cour!$V:$V,$C112,BV_Data_An_Cour!$W:$W,$L$2)</f>
        <v>7393.7</v>
      </c>
      <c r="M112" s="327"/>
      <c r="N112" s="328">
        <f t="shared" si="80"/>
        <v>-3072.5422552004593</v>
      </c>
      <c r="O112" s="327"/>
      <c r="P112" s="430">
        <f t="shared" si="81"/>
        <v>208.6588888888889</v>
      </c>
      <c r="Q112" s="197">
        <f>SUMIFS(BV_Data_An_Prec!$O:$O,BV_Data_An_Prec!$U:$U,$B112,BV_Data_An_Prec!$V:$V,$C112,BV_Data_An_Prec!$W:$W,$L$2)</f>
        <v>3755.86</v>
      </c>
      <c r="R112" s="327"/>
      <c r="S112" s="219">
        <f t="shared" si="82"/>
        <v>3637.8399999999997</v>
      </c>
      <c r="T112" s="239"/>
      <c r="U112" s="239"/>
      <c r="V112" s="239"/>
      <c r="W112" s="239">
        <f>L104*0.25</f>
        <v>6393.7849999999999</v>
      </c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  <c r="BC112" s="532"/>
    </row>
    <row r="113" spans="1:55" ht="15.75" customHeight="1">
      <c r="A113" s="600" t="str">
        <f t="shared" si="55"/>
        <v>Véhicules usagésFrais de livraison</v>
      </c>
      <c r="B113" s="24" t="s">
        <v>144</v>
      </c>
      <c r="C113" s="281" t="s">
        <v>105</v>
      </c>
      <c r="D113" s="318"/>
      <c r="E113" s="214">
        <f t="shared" si="77"/>
        <v>54</v>
      </c>
      <c r="F113" s="196">
        <f>+INDEX('Budget original'!$A$2:$AO$496,MATCH($A113,'Budget original'!$A$2:$A$496,0),MATCH(F$2,'Budget original'!$A$2:$AO$2,0))</f>
        <v>1098.2418293695573</v>
      </c>
      <c r="G113" s="319"/>
      <c r="H113" s="214">
        <f t="shared" si="78"/>
        <v>54</v>
      </c>
      <c r="I113" s="196">
        <f>+INDEX('Budget révisé'!$A$2:$AO$496,MATCH($A113,'Budget révisé'!$A$2:$A$496,0),MATCH(I$2,'Budget révisé'!$A$2:$AO$2,0))</f>
        <v>1098.2418293695573</v>
      </c>
      <c r="J113" s="320"/>
      <c r="K113" s="214">
        <f t="shared" si="79"/>
        <v>36.961999999999996</v>
      </c>
      <c r="L113" s="198">
        <f>SUMIFS(BV_Data_An_Cour!$O:$O,BV_Data_An_Cour!$U:$U,$B113,BV_Data_An_Cour!$V:$V,$C113,BV_Data_An_Cour!$W:$W,$L$2)</f>
        <v>554.42999999999995</v>
      </c>
      <c r="M113" s="320"/>
      <c r="N113" s="321">
        <f t="shared" si="80"/>
        <v>-543.81182936955736</v>
      </c>
      <c r="O113" s="320"/>
      <c r="P113" s="214">
        <f t="shared" si="81"/>
        <v>123.48333333333332</v>
      </c>
      <c r="Q113" s="198">
        <f>SUMIFS(BV_Data_An_Prec!$O:$O,BV_Data_An_Prec!$U:$U,$B113,BV_Data_An_Prec!$V:$V,$C113,BV_Data_An_Prec!$W:$W,$L$2)</f>
        <v>2222.6999999999998</v>
      </c>
      <c r="R113" s="320"/>
      <c r="S113" s="216">
        <f t="shared" si="82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  <c r="BC113" s="532"/>
    </row>
    <row r="114" spans="1:55" ht="15.75" customHeight="1">
      <c r="A114" s="600" t="str">
        <f t="shared" si="55"/>
        <v>Véhicules usagésService gratuit 1</v>
      </c>
      <c r="B114" s="24" t="s">
        <v>144</v>
      </c>
      <c r="C114" s="281" t="s">
        <v>106</v>
      </c>
      <c r="D114" s="318"/>
      <c r="E114" s="214">
        <f t="shared" si="77"/>
        <v>105</v>
      </c>
      <c r="F114" s="196">
        <f>+INDEX('Budget original'!$A$2:$AO$496,MATCH($A114,'Budget original'!$A$2:$A$496,0),MATCH(F$2,'Budget original'!$A$2:$AO$2,0))</f>
        <v>2135.4702237741394</v>
      </c>
      <c r="G114" s="319"/>
      <c r="H114" s="214">
        <f t="shared" si="78"/>
        <v>105</v>
      </c>
      <c r="I114" s="196">
        <f>+INDEX('Budget révisé'!$A$2:$AO$496,MATCH($A114,'Budget révisé'!$A$2:$A$496,0),MATCH(I$2,'Budget révisé'!$A$2:$AO$2,0))</f>
        <v>2135.4702237741394</v>
      </c>
      <c r="J114" s="320"/>
      <c r="K114" s="214">
        <f t="shared" si="79"/>
        <v>135.06200000000001</v>
      </c>
      <c r="L114" s="197">
        <f>SUMIFS(BV_Data_An_Cour!$O:$O,BV_Data_An_Cour!$U:$U,$B114,BV_Data_An_Cour!$V:$V,$C114,BV_Data_An_Cour!$W:$W,$L$2)</f>
        <v>2025.93</v>
      </c>
      <c r="M114" s="320"/>
      <c r="N114" s="321">
        <f t="shared" si="80"/>
        <v>-109.54022377413935</v>
      </c>
      <c r="O114" s="320"/>
      <c r="P114" s="214">
        <f t="shared" si="81"/>
        <v>11.111111111111111</v>
      </c>
      <c r="Q114" s="197">
        <f>SUMIFS(BV_Data_An_Prec!$O:$O,BV_Data_An_Prec!$U:$U,$B114,BV_Data_An_Prec!$V:$V,$C114,BV_Data_An_Prec!$W:$W,$L$2)</f>
        <v>200</v>
      </c>
      <c r="R114" s="320"/>
      <c r="S114" s="216">
        <f t="shared" si="82"/>
        <v>1825.93</v>
      </c>
      <c r="T114" s="239"/>
      <c r="U114" s="239"/>
      <c r="V114" s="239"/>
      <c r="W114" s="1084">
        <f>L112-W112</f>
        <v>999.91499999999996</v>
      </c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  <c r="BC114" s="532"/>
    </row>
    <row r="115" spans="1:55" ht="15.75" customHeight="1">
      <c r="A115" s="600" t="str">
        <f t="shared" si="55"/>
        <v>Véhicules usagésEntretien stock</v>
      </c>
      <c r="B115" s="24" t="s">
        <v>144</v>
      </c>
      <c r="C115" s="343" t="s">
        <v>107</v>
      </c>
      <c r="D115" s="324"/>
      <c r="E115" s="430">
        <f t="shared" si="77"/>
        <v>61</v>
      </c>
      <c r="F115" s="194">
        <f>+INDEX('Budget original'!$A$2:$AO$496,MATCH($A115,'Budget original'!$A$2:$A$496,0),MATCH(F$2,'Budget original'!$A$2:$AO$2,0))</f>
        <v>1240.6065109545</v>
      </c>
      <c r="G115" s="326"/>
      <c r="H115" s="430">
        <f t="shared" si="78"/>
        <v>61</v>
      </c>
      <c r="I115" s="194">
        <f>+INDEX('Budget révisé'!$A$2:$AO$496,MATCH($A115,'Budget révisé'!$A$2:$A$496,0),MATCH(I$2,'Budget révisé'!$A$2:$AO$2,0))</f>
        <v>1240.6065109545</v>
      </c>
      <c r="J115" s="327"/>
      <c r="K115" s="430">
        <f t="shared" si="79"/>
        <v>127.66666666666667</v>
      </c>
      <c r="L115" s="422">
        <f>SUMIFS(BV_Data_An_Cour!$O:$O,BV_Data_An_Cour!$U:$U,$B115,BV_Data_An_Cour!$V:$V,$C115,BV_Data_An_Cour!$W:$W,$L$2)</f>
        <v>1915</v>
      </c>
      <c r="M115" s="327"/>
      <c r="N115" s="328">
        <f t="shared" si="80"/>
        <v>674.39348904550002</v>
      </c>
      <c r="O115" s="327"/>
      <c r="P115" s="430">
        <f t="shared" si="81"/>
        <v>61.111111111111114</v>
      </c>
      <c r="Q115" s="422">
        <f>SUMIFS(BV_Data_An_Prec!$O:$O,BV_Data_An_Prec!$U:$U,$B115,BV_Data_An_Prec!$V:$V,$C115,BV_Data_An_Prec!$W:$W,$L$2)</f>
        <v>1100</v>
      </c>
      <c r="R115" s="327"/>
      <c r="S115" s="219">
        <f t="shared" si="82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  <c r="BC115" s="532"/>
    </row>
    <row r="116" spans="1:55" ht="15.75" customHeight="1">
      <c r="A116" s="600" t="str">
        <f t="shared" si="55"/>
        <v>Véhicules usagésPublicité 1</v>
      </c>
      <c r="B116" s="24" t="s">
        <v>144</v>
      </c>
      <c r="C116" s="281" t="s">
        <v>108</v>
      </c>
      <c r="D116" s="318"/>
      <c r="E116" s="214">
        <f t="shared" si="77"/>
        <v>27.410526315789443</v>
      </c>
      <c r="F116" s="196">
        <f>+INDEX('Budget original'!$A$2:$AO$496,MATCH($A116,'Budget original'!$A$2:$A$496,0),MATCH(F$2,'Budget original'!$A$2:$AO$2,0))</f>
        <v>557.47012157472204</v>
      </c>
      <c r="G116" s="319"/>
      <c r="H116" s="214">
        <f t="shared" si="78"/>
        <v>27.410526315789443</v>
      </c>
      <c r="I116" s="1094">
        <f>+INDEX('Budget révisé'!$A$2:$AO$496,MATCH($A116,'Budget révisé'!$A$2:$A$496,0),MATCH(I$2,'Budget révisé'!$A$2:$AO$2,0))</f>
        <v>557.47012157472204</v>
      </c>
      <c r="J116" s="320"/>
      <c r="K116" s="214">
        <f t="shared" si="79"/>
        <v>187.96800000000002</v>
      </c>
      <c r="L116" s="197">
        <f>SUMIFS(BV_Data_An_Cour!$O:$O,BV_Data_An_Cour!$U:$U,$B116,BV_Data_An_Cour!$V:$V,$C116,BV_Data_An_Cour!$W:$W,$L$2)</f>
        <v>2819.5200000000004</v>
      </c>
      <c r="M116" s="320"/>
      <c r="N116" s="1093">
        <f t="shared" si="80"/>
        <v>2262.0498784252786</v>
      </c>
      <c r="O116" s="320"/>
      <c r="P116" s="214">
        <f t="shared" si="81"/>
        <v>304.44444444444446</v>
      </c>
      <c r="Q116" s="197">
        <f>SUMIFS(BV_Data_An_Prec!$O:$O,BV_Data_An_Prec!$U:$U,$B116,BV_Data_An_Prec!$V:$V,$C116,BV_Data_An_Prec!$W:$W,$L$2)</f>
        <v>5480</v>
      </c>
      <c r="R116" s="320"/>
      <c r="S116" s="216">
        <f t="shared" si="82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239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  <c r="BC116" s="532"/>
    </row>
    <row r="117" spans="1:55" s="600" customFormat="1" ht="15.75" customHeight="1">
      <c r="A117" s="600" t="str">
        <f t="shared" ref="A117:A120" si="83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4">F117/D$96</f>
        <v>53.174692062731076</v>
      </c>
      <c r="F117" s="196">
        <f>+INDEX('Budget original'!$A$2:$AO$496,MATCH($A117,'Budget original'!$A$2:$A$496,0),MATCH(F$2,'Budget original'!$A$2:$AO$2,0))</f>
        <v>1081.4568719840122</v>
      </c>
      <c r="G117" s="319"/>
      <c r="H117" s="214">
        <f t="shared" ref="H117:H119" si="85">I117/G$96</f>
        <v>53.174692062731076</v>
      </c>
      <c r="I117" s="196">
        <f>+INDEX('Budget révisé'!$A$2:$AO$496,MATCH($A117,'Budget révisé'!$A$2:$A$496,0),MATCH(I$2,'Budget révisé'!$A$2:$AO$2,0))</f>
        <v>1081.4568719840122</v>
      </c>
      <c r="J117" s="320"/>
      <c r="K117" s="214">
        <f t="shared" ref="K117:K119" si="86">IF($J$96=0,0,L117/(J$94+J$95))</f>
        <v>35.275333333333336</v>
      </c>
      <c r="L117" s="197">
        <f>SUMIFS(BV_Data_An_Cour!$O:$O,BV_Data_An_Cour!$U:$U,$B117,BV_Data_An_Cour!$V:$V,$C117,BV_Data_An_Cour!$W:$W,$L$2)</f>
        <v>529.13</v>
      </c>
      <c r="M117" s="320"/>
      <c r="N117" s="321">
        <f t="shared" ref="N117:N119" si="87">L117-I117</f>
        <v>-552.3268719840122</v>
      </c>
      <c r="O117" s="320"/>
      <c r="P117" s="214">
        <f t="shared" ref="P117:P119" si="88">IF($J$96=0,0,Q117/(O$94+O$95))</f>
        <v>0</v>
      </c>
      <c r="Q117" s="197">
        <f>SUMIFS(BV_Data_An_Prec!$O:$O,BV_Data_An_Prec!$U:$U,$B117,BV_Data_An_Prec!$V:$V,$C117,BV_Data_An_Prec!$W:$W,$L$2)</f>
        <v>0</v>
      </c>
      <c r="R117" s="320"/>
      <c r="S117" s="216">
        <f t="shared" ref="S117:S119" si="89">L117-Q117</f>
        <v>529.13</v>
      </c>
      <c r="T117" s="239"/>
      <c r="U117" s="239"/>
      <c r="V117" s="239"/>
      <c r="W117" s="1084">
        <f>W114+W35</f>
        <v>1744.7800000000007</v>
      </c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239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  <c r="BC117" s="532"/>
    </row>
    <row r="118" spans="1:55" s="600" customFormat="1" ht="15.75" customHeight="1">
      <c r="A118" s="600" t="str">
        <f t="shared" si="83"/>
        <v>Véhicules usagés[...]</v>
      </c>
      <c r="B118" s="24" t="s">
        <v>144</v>
      </c>
      <c r="C118" s="281" t="s">
        <v>42</v>
      </c>
      <c r="D118" s="318"/>
      <c r="E118" s="214">
        <f t="shared" si="84"/>
        <v>0</v>
      </c>
      <c r="F118" s="196">
        <f>+INDEX('Budget original'!$A$2:$AO$496,MATCH($A118,'Budget original'!$A$2:$A$496,0),MATCH(F$2,'Budget original'!$A$2:$AO$2,0))</f>
        <v>0</v>
      </c>
      <c r="G118" s="319"/>
      <c r="H118" s="214">
        <f t="shared" si="85"/>
        <v>0</v>
      </c>
      <c r="I118" s="196">
        <f>+INDEX('Budget révisé'!$A$2:$AO$496,MATCH($A118,'Budget révisé'!$A$2:$A$496,0),MATCH(I$2,'Budget révisé'!$A$2:$AO$2,0))</f>
        <v>0</v>
      </c>
      <c r="J118" s="320"/>
      <c r="K118" s="214">
        <f t="shared" si="86"/>
        <v>0</v>
      </c>
      <c r="L118" s="197">
        <f>SUMIFS(BV_Data_An_Cour!$O:$O,BV_Data_An_Cour!$U:$U,$B118,BV_Data_An_Cour!$V:$V,$C118,BV_Data_An_Cour!$W:$W,$L$2)</f>
        <v>0</v>
      </c>
      <c r="M118" s="320"/>
      <c r="N118" s="321">
        <f t="shared" si="87"/>
        <v>0</v>
      </c>
      <c r="O118" s="320"/>
      <c r="P118" s="214">
        <f t="shared" si="88"/>
        <v>0</v>
      </c>
      <c r="Q118" s="197">
        <f>SUMIFS(BV_Data_An_Prec!$O:$O,BV_Data_An_Prec!$U:$U,$B118,BV_Data_An_Prec!$V:$V,$C118,BV_Data_An_Prec!$W:$W,$L$2)</f>
        <v>0</v>
      </c>
      <c r="R118" s="320"/>
      <c r="S118" s="216">
        <f t="shared" si="89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239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  <c r="BC118" s="532"/>
    </row>
    <row r="119" spans="1:55" s="600" customFormat="1" ht="15.75" customHeight="1">
      <c r="A119" s="600" t="str">
        <f t="shared" si="83"/>
        <v>Véhicules usagés[...]</v>
      </c>
      <c r="B119" s="24" t="s">
        <v>144</v>
      </c>
      <c r="C119" s="281" t="s">
        <v>42</v>
      </c>
      <c r="D119" s="318"/>
      <c r="E119" s="214">
        <f t="shared" si="84"/>
        <v>0</v>
      </c>
      <c r="F119" s="196">
        <f>+INDEX('Budget original'!$A$2:$AO$496,MATCH($A119,'Budget original'!$A$2:$A$496,0),MATCH(F$2,'Budget original'!$A$2:$AO$2,0))</f>
        <v>0</v>
      </c>
      <c r="G119" s="319"/>
      <c r="H119" s="214">
        <f t="shared" si="85"/>
        <v>0</v>
      </c>
      <c r="I119" s="196">
        <f>+INDEX('Budget révisé'!$A$2:$AO$496,MATCH($A119,'Budget révisé'!$A$2:$A$496,0),MATCH(I$2,'Budget révisé'!$A$2:$AO$2,0))</f>
        <v>0</v>
      </c>
      <c r="J119" s="320"/>
      <c r="K119" s="214">
        <f t="shared" si="86"/>
        <v>0</v>
      </c>
      <c r="L119" s="197">
        <f>SUMIFS(BV_Data_An_Cour!$O:$O,BV_Data_An_Cour!$U:$U,$B119,BV_Data_An_Cour!$V:$V,$C119,BV_Data_An_Cour!$W:$W,$L$2)</f>
        <v>0</v>
      </c>
      <c r="M119" s="320"/>
      <c r="N119" s="321">
        <f t="shared" si="87"/>
        <v>0</v>
      </c>
      <c r="O119" s="320"/>
      <c r="P119" s="214">
        <f t="shared" si="88"/>
        <v>0</v>
      </c>
      <c r="Q119" s="197">
        <f>SUMIFS(BV_Data_An_Prec!$O:$O,BV_Data_An_Prec!$U:$U,$B119,BV_Data_An_Prec!$V:$V,$C119,BV_Data_An_Prec!$W:$W,$L$2)</f>
        <v>0</v>
      </c>
      <c r="R119" s="320"/>
      <c r="S119" s="216">
        <f t="shared" si="89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239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  <c r="BC119" s="532"/>
    </row>
    <row r="120" spans="1:55" ht="15.75" customHeight="1">
      <c r="A120" s="600" t="str">
        <f t="shared" si="83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+INDEX('Budget original'!$A$2:$AO$496,MATCH($A120,'Budget original'!$A$2:$A$496,0),MATCH(F$2,'Budget original'!$A$2:$AO$2,0))</f>
        <v>0</v>
      </c>
      <c r="G120" s="319"/>
      <c r="H120" s="214">
        <f>I120/G$96</f>
        <v>0</v>
      </c>
      <c r="I120" s="196">
        <f>+INDEX('Budget révisé'!$A$2:$AO$496,MATCH($A120,'Budget révisé'!$A$2:$A$496,0),MATCH(I$2,'Budget révisé'!$A$2:$AO$2,0))</f>
        <v>0</v>
      </c>
      <c r="J120" s="320"/>
      <c r="K120" s="214">
        <f>IF($J$96=0,0,L120/(J$94+J$95))</f>
        <v>0</v>
      </c>
      <c r="L120" s="197">
        <f>SUMIFS(BV_Data_An_Cour!$O:$O,BV_Data_An_Cour!$U:$U,$B120,BV_Data_An_Cour!$V:$V,$C120,BV_Data_An_Cour!$W:$W,$L$2)</f>
        <v>0</v>
      </c>
      <c r="M120" s="320"/>
      <c r="N120" s="321">
        <f t="shared" si="80"/>
        <v>0</v>
      </c>
      <c r="O120" s="320"/>
      <c r="P120" s="214">
        <f>IF($J$96=0,0,Q120/(O$94+O$95))</f>
        <v>0</v>
      </c>
      <c r="Q120" s="197">
        <f>SUMIFS(BV_Data_An_Prec!$O:$O,BV_Data_An_Prec!$U:$U,$B120,BV_Data_An_Prec!$V:$V,$C120,BV_Data_An_Prec!$W:$W,$L$2)</f>
        <v>0</v>
      </c>
      <c r="R120" s="320"/>
      <c r="S120" s="216">
        <f t="shared" si="82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239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  <c r="BC120" s="532"/>
    </row>
    <row r="121" spans="1:55" ht="15.75" customHeight="1">
      <c r="A121" s="600" t="str">
        <f t="shared" si="55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0.57343177293442571</v>
      </c>
      <c r="L121" s="41">
        <f>SUM(L111:L120)</f>
        <v>23013.480000000003</v>
      </c>
      <c r="M121" s="44"/>
      <c r="N121" s="41">
        <f t="shared" si="80"/>
        <v>-4404.9501659989583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2"/>
        <v>-5710.1999999999971</v>
      </c>
      <c r="T121" s="239"/>
      <c r="U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239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</row>
    <row r="122" spans="1:55" ht="15.75" customHeight="1">
      <c r="A122" s="600" t="str">
        <f t="shared" si="55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+INDEX('Budget original'!$A$2:$AO$496,MATCH($A122,'Budget original'!$A$2:$A$496,0),MATCH(F$2,'Budget original'!$A$2:$AO$2,0))</f>
        <v>6355.5385057471267</v>
      </c>
      <c r="G122" s="320"/>
      <c r="H122" s="195"/>
      <c r="I122" s="196">
        <f>+INDEX('Budget révisé'!$A$2:$AO$496,MATCH($A122,'Budget révisé'!$A$2:$A$496,0),MATCH(I$2,'Budget révisé'!$A$2:$AO$2,0))</f>
        <v>6355.5385057471267</v>
      </c>
      <c r="J122" s="320"/>
      <c r="K122" s="195"/>
      <c r="L122" s="298">
        <f>SUMIFS(BV_Data_An_Cour!$O:$O,BV_Data_An_Cour!$U:$U,$B122,BV_Data_An_Cour!$V:$V,$C122,BV_Data_An_Cour!$W:$W,$L$2)</f>
        <v>11571</v>
      </c>
      <c r="M122" s="320"/>
      <c r="N122" s="321">
        <f t="shared" ref="N122:N133" si="90">L122-I122</f>
        <v>5215.4614942528733</v>
      </c>
      <c r="O122" s="320"/>
      <c r="P122" s="195"/>
      <c r="Q122" s="197">
        <f>SUMIFS(BV_Data_An_Prec!$O:$O,BV_Data_An_Prec!$U:$U,$B122,BV_Data_An_Prec!$V:$V,$C122,BV_Data_An_Prec!$W:$W,$L$2)</f>
        <v>4058.3</v>
      </c>
      <c r="R122" s="320"/>
      <c r="S122" s="216">
        <f t="shared" ref="S122:S133" si="91">L122-Q122</f>
        <v>7512.7</v>
      </c>
      <c r="T122" s="250"/>
      <c r="U122" s="250"/>
      <c r="V122" s="239" t="s">
        <v>2885</v>
      </c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50"/>
      <c r="AK122" s="239"/>
      <c r="AL122" s="239"/>
      <c r="AM122" s="239"/>
      <c r="AN122" s="250"/>
      <c r="AO122" s="250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  <c r="BC122" s="532"/>
    </row>
    <row r="123" spans="1:55" ht="15.75" customHeight="1">
      <c r="A123" s="600" t="str">
        <f t="shared" si="55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+INDEX('Budget original'!$A$2:$AO$496,MATCH($A123,'Budget original'!$A$2:$A$496,0),MATCH(F$2,'Budget original'!$A$2:$AO$2,0))</f>
        <v>2127.4401145747129</v>
      </c>
      <c r="G123" s="319"/>
      <c r="H123" s="195"/>
      <c r="I123" s="194">
        <f>+INDEX('Budget révisé'!$A$2:$AO$496,MATCH($A123,'Budget révisé'!$A$2:$A$496,0),MATCH(I$2,'Budget révisé'!$A$2:$AO$2,0))</f>
        <v>2127.4401145747129</v>
      </c>
      <c r="J123" s="320"/>
      <c r="K123" s="195"/>
      <c r="L123" s="194">
        <f>SUMIFS(BV_Data_An_Cour!$O:$O,BV_Data_An_Cour!$U:$U,$B123,BV_Data_An_Cour!$V:$V,$C123,BV_Data_An_Cour!$W:$W,$L$2)</f>
        <v>2021.59</v>
      </c>
      <c r="M123" s="320"/>
      <c r="N123" s="321">
        <f t="shared" si="90"/>
        <v>-105.85011457471296</v>
      </c>
      <c r="O123" s="320"/>
      <c r="P123" s="195"/>
      <c r="Q123" s="194">
        <f>SUMIFS(BV_Data_An_Prec!$O:$O,BV_Data_An_Prec!$U:$U,$B123,BV_Data_An_Prec!$V:$V,$C123,BV_Data_An_Prec!$W:$W,$L$2)</f>
        <v>3416.68</v>
      </c>
      <c r="R123" s="320"/>
      <c r="S123" s="216">
        <f t="shared" si="91"/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50"/>
      <c r="AK123" s="239"/>
      <c r="AL123" s="239"/>
      <c r="AM123" s="239"/>
      <c r="AN123" s="250"/>
      <c r="AO123" s="250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  <c r="BC123" s="532"/>
    </row>
    <row r="124" spans="1:55" ht="15.75" customHeight="1">
      <c r="A124" s="600" t="str">
        <f t="shared" si="55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+INDEX('Budget original'!$A$2:$AO$496,MATCH($A124,'Budget original'!$A$2:$A$496,0),MATCH(F$2,'Budget original'!$A$2:$AO$2,0))</f>
        <v>6708.1630258758623</v>
      </c>
      <c r="G124" s="410"/>
      <c r="H124" s="369"/>
      <c r="I124" s="196">
        <f>+INDEX('Budget révisé'!$A$2:$AO$496,MATCH($A124,'Budget révisé'!$A$2:$A$496,0),MATCH(I$2,'Budget révisé'!$A$2:$AO$2,0))</f>
        <v>6708.1630258758623</v>
      </c>
      <c r="J124" s="385"/>
      <c r="K124" s="369"/>
      <c r="L124" s="298">
        <f>SUMIFS(BV_Data_An_Cour!$O:$O,BV_Data_An_Cour!$U:$U,$B124,BV_Data_An_Cour!$V:$V,$C124,BV_Data_An_Cour!$W:$W,$L$2)</f>
        <v>5454.29</v>
      </c>
      <c r="M124" s="385"/>
      <c r="N124" s="373">
        <f t="shared" si="90"/>
        <v>-1253.8730258758624</v>
      </c>
      <c r="O124" s="385"/>
      <c r="P124" s="369"/>
      <c r="Q124" s="197">
        <f>SUMIFS(BV_Data_An_Prec!$O:$O,BV_Data_An_Prec!$U:$U,$B124,BV_Data_An_Prec!$V:$V,$C124,BV_Data_An_Prec!$W:$W,$L$2)</f>
        <v>9099.89</v>
      </c>
      <c r="R124" s="385"/>
      <c r="S124" s="218">
        <f t="shared" si="91"/>
        <v>-3645.5999999999995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50"/>
      <c r="AK124" s="239"/>
      <c r="AL124" s="239"/>
      <c r="AM124" s="239"/>
      <c r="AN124" s="250"/>
      <c r="AO124" s="250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  <c r="BC124" s="532"/>
    </row>
    <row r="125" spans="1:55" ht="15.75" customHeight="1">
      <c r="A125" s="600" t="str">
        <f t="shared" si="55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+INDEX('Budget original'!$A$2:$AO$496,MATCH($A125,'Budget original'!$A$2:$A$496,0),MATCH(F$2,'Budget original'!$A$2:$AO$2,0))</f>
        <v>0</v>
      </c>
      <c r="G125" s="319"/>
      <c r="H125" s="195"/>
      <c r="I125" s="196">
        <f>+INDEX('Budget révisé'!$A$2:$AO$496,MATCH($A125,'Budget révisé'!$A$2:$A$496,0),MATCH(I$2,'Budget révisé'!$A$2:$AO$2,0))</f>
        <v>0</v>
      </c>
      <c r="J125" s="320"/>
      <c r="K125" s="195"/>
      <c r="L125" s="197">
        <f>SUMIFS(BV_Data_An_Cour!$O:$O,BV_Data_An_Cour!$U:$U,$B125,BV_Data_An_Cour!$V:$V,$C125,BV_Data_An_Cour!$W:$W,$L$2)</f>
        <v>0</v>
      </c>
      <c r="M125" s="320"/>
      <c r="N125" s="321">
        <f t="shared" si="90"/>
        <v>0</v>
      </c>
      <c r="O125" s="320"/>
      <c r="P125" s="195"/>
      <c r="Q125" s="197">
        <f>SUMIFS(BV_Data_An_Prec!$O:$O,BV_Data_An_Prec!$U:$U,$B125,BV_Data_An_Prec!$V:$V,$C125,BV_Data_An_Prec!$W:$W,$L$2)</f>
        <v>0</v>
      </c>
      <c r="R125" s="320"/>
      <c r="S125" s="216">
        <f t="shared" si="91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39"/>
      <c r="AL125" s="239"/>
      <c r="AM125" s="239"/>
      <c r="AN125" s="250"/>
      <c r="AO125" s="250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  <c r="BC125" s="532"/>
    </row>
    <row r="126" spans="1:55" s="600" customFormat="1" ht="15.75" customHeight="1">
      <c r="A126" s="600" t="str">
        <f t="shared" ref="A126:A128" si="92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+INDEX('Budget original'!$A$2:$AO$496,MATCH($A126,'Budget original'!$A$2:$A$496,0),MATCH(F$2,'Budget original'!$A$2:$AO$2,0))</f>
        <v>0</v>
      </c>
      <c r="G126" s="319"/>
      <c r="H126" s="195"/>
      <c r="I126" s="196">
        <f>+INDEX('Budget révisé'!$A$2:$AO$496,MATCH($A126,'Budget révisé'!$A$2:$A$496,0),MATCH(I$2,'Budget révisé'!$A$2:$AO$2,0))</f>
        <v>0</v>
      </c>
      <c r="J126" s="320"/>
      <c r="K126" s="195"/>
      <c r="L126" s="197">
        <f>SUMIFS(BV_Data_An_Cour!$O:$O,BV_Data_An_Cour!$U:$U,$B126,BV_Data_An_Cour!$V:$V,$C126,BV_Data_An_Cour!$W:$W,$L$2)</f>
        <v>0</v>
      </c>
      <c r="M126" s="320"/>
      <c r="N126" s="321">
        <f t="shared" ref="N126:N129" si="93">L126-I126</f>
        <v>0</v>
      </c>
      <c r="O126" s="320"/>
      <c r="P126" s="195"/>
      <c r="Q126" s="197">
        <f>SUMIFS(BV_Data_An_Prec!$O:$O,BV_Data_An_Prec!$U:$U,$B126,BV_Data_An_Prec!$V:$V,$C126,BV_Data_An_Prec!$W:$W,$L$2)</f>
        <v>0</v>
      </c>
      <c r="R126" s="320"/>
      <c r="S126" s="216">
        <f t="shared" ref="S126:S129" si="94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50"/>
      <c r="AK126" s="239"/>
      <c r="AL126" s="239"/>
      <c r="AM126" s="239"/>
      <c r="AN126" s="250"/>
      <c r="AO126" s="250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  <c r="BC126" s="532"/>
    </row>
    <row r="127" spans="1:55" s="600" customFormat="1" ht="15.75" customHeight="1">
      <c r="A127" s="600" t="str">
        <f t="shared" si="92"/>
        <v>Véhicules usagés[...]</v>
      </c>
      <c r="B127" s="24" t="s">
        <v>144</v>
      </c>
      <c r="C127" s="322" t="s">
        <v>42</v>
      </c>
      <c r="D127" s="318"/>
      <c r="E127" s="195"/>
      <c r="F127" s="196">
        <f>+INDEX('Budget original'!$A$2:$AO$496,MATCH($A127,'Budget original'!$A$2:$A$496,0),MATCH(F$2,'Budget original'!$A$2:$AO$2,0))</f>
        <v>0</v>
      </c>
      <c r="G127" s="319"/>
      <c r="H127" s="195"/>
      <c r="I127" s="196">
        <f>+INDEX('Budget révisé'!$A$2:$AO$496,MATCH($A127,'Budget révisé'!$A$2:$A$496,0),MATCH(I$2,'Budget révisé'!$A$2:$AO$2,0))</f>
        <v>0</v>
      </c>
      <c r="J127" s="320"/>
      <c r="K127" s="195"/>
      <c r="L127" s="197">
        <f>SUMIFS(BV_Data_An_Cour!$O:$O,BV_Data_An_Cour!$U:$U,$B127,BV_Data_An_Cour!$V:$V,$C127,BV_Data_An_Cour!$W:$W,$L$2)</f>
        <v>0</v>
      </c>
      <c r="M127" s="320"/>
      <c r="N127" s="321">
        <f t="shared" si="93"/>
        <v>0</v>
      </c>
      <c r="O127" s="320"/>
      <c r="P127" s="195"/>
      <c r="Q127" s="197">
        <f>SUMIFS(BV_Data_An_Prec!$O:$O,BV_Data_An_Prec!$U:$U,$B127,BV_Data_An_Prec!$V:$V,$C127,BV_Data_An_Prec!$W:$W,$L$2)</f>
        <v>0</v>
      </c>
      <c r="R127" s="320"/>
      <c r="S127" s="216">
        <f t="shared" si="94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50"/>
      <c r="AK127" s="239"/>
      <c r="AL127" s="239"/>
      <c r="AM127" s="239"/>
      <c r="AN127" s="250"/>
      <c r="AO127" s="250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  <c r="BC127" s="532"/>
    </row>
    <row r="128" spans="1:55" s="600" customFormat="1" ht="15.75" customHeight="1">
      <c r="A128" s="600" t="str">
        <f t="shared" si="92"/>
        <v>Véhicules usagés[...]</v>
      </c>
      <c r="B128" s="24" t="s">
        <v>144</v>
      </c>
      <c r="C128" s="322" t="s">
        <v>42</v>
      </c>
      <c r="D128" s="318"/>
      <c r="E128" s="195"/>
      <c r="F128" s="196">
        <f>+INDEX('Budget original'!$A$2:$AO$496,MATCH($A128,'Budget original'!$A$2:$A$496,0),MATCH(F$2,'Budget original'!$A$2:$AO$2,0))</f>
        <v>0</v>
      </c>
      <c r="G128" s="319"/>
      <c r="H128" s="195"/>
      <c r="I128" s="196">
        <f>+INDEX('Budget révisé'!$A$2:$AO$496,MATCH($A128,'Budget révisé'!$A$2:$A$496,0),MATCH(I$2,'Budget révisé'!$A$2:$AO$2,0))</f>
        <v>0</v>
      </c>
      <c r="J128" s="320"/>
      <c r="K128" s="195"/>
      <c r="L128" s="197">
        <f>SUMIFS(BV_Data_An_Cour!$O:$O,BV_Data_An_Cour!$U:$U,$B128,BV_Data_An_Cour!$V:$V,$C128,BV_Data_An_Cour!$W:$W,$L$2)</f>
        <v>0</v>
      </c>
      <c r="M128" s="320"/>
      <c r="N128" s="321">
        <f t="shared" si="93"/>
        <v>0</v>
      </c>
      <c r="O128" s="320"/>
      <c r="P128" s="195"/>
      <c r="Q128" s="197">
        <f>SUMIFS(BV_Data_An_Prec!$O:$O,BV_Data_An_Prec!$U:$U,$B128,BV_Data_An_Prec!$V:$V,$C128,BV_Data_An_Prec!$W:$W,$L$2)</f>
        <v>0</v>
      </c>
      <c r="R128" s="320"/>
      <c r="S128" s="216">
        <f t="shared" si="94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50"/>
      <c r="AK128" s="239"/>
      <c r="AL128" s="239"/>
      <c r="AM128" s="239"/>
      <c r="AN128" s="250"/>
      <c r="AO128" s="250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  <c r="BC128" s="532"/>
    </row>
    <row r="129" spans="1:55" ht="15.75" customHeight="1">
      <c r="A129" s="600" t="str">
        <f t="shared" si="55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+INDEX('Budget original'!$A$2:$AO$496,MATCH($A129,'Budget original'!$A$2:$A$496,0),MATCH(F$2,'Budget original'!$A$2:$AO$2,0))</f>
        <v>4379.5591505447674</v>
      </c>
      <c r="G129" s="319"/>
      <c r="H129" s="195"/>
      <c r="I129" s="196">
        <f>+INDEX('Budget révisé'!$A$2:$AO$496,MATCH($A129,'Budget révisé'!$A$2:$A$496,0),MATCH(I$2,'Budget révisé'!$A$2:$AO$2,0))</f>
        <v>4379.5591505447674</v>
      </c>
      <c r="J129" s="320"/>
      <c r="K129" s="195"/>
      <c r="L129" s="197">
        <f>SUMIFS(BV_Data_An_Cour!$O:$O,BV_Data_An_Cour!$U:$U,$B129,BV_Data_An_Cour!$V:$V,$C129,BV_Data_An_Cour!$W:$W,$L$2)</f>
        <v>2069.35</v>
      </c>
      <c r="M129" s="320"/>
      <c r="N129" s="321">
        <f t="shared" si="93"/>
        <v>-2310.2091505447675</v>
      </c>
      <c r="O129" s="320"/>
      <c r="P129" s="195"/>
      <c r="Q129" s="197">
        <f>SUMIFS(BV_Data_An_Prec!$O:$O,BV_Data_An_Prec!$U:$U,$B129,BV_Data_An_Prec!$V:$V,$C129,BV_Data_An_Prec!$W:$W,$L$2)</f>
        <v>5243.31</v>
      </c>
      <c r="R129" s="320"/>
      <c r="S129" s="216">
        <f t="shared" si="94"/>
        <v>-3173.9600000000005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  <c r="BC129" s="532"/>
    </row>
    <row r="130" spans="1:55" ht="15.75" customHeight="1">
      <c r="A130" s="600" t="str">
        <f t="shared" si="55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+INDEX('Budget original'!$A$2:$AO$496,MATCH($A130,'Budget original'!$A$2:$A$496,0),MATCH(F$2,'Budget original'!$A$2:$AO$2,0))</f>
        <v>4379.5591505447674</v>
      </c>
      <c r="G130" s="304"/>
      <c r="H130" s="303"/>
      <c r="I130" s="666">
        <f>+INDEX('Budget révisé'!$A$2:$AO$496,MATCH($A130,'Budget révisé'!$A$2:$A$496,0),MATCH(I$2,'Budget révisé'!$A$2:$AO$2,0))</f>
        <v>4379.5591505447674</v>
      </c>
      <c r="J130" s="305"/>
      <c r="K130" s="303"/>
      <c r="L130" s="667">
        <f>SUMIFS(BV_Data_An_Cour!$O:$O,BV_Data_An_Cour!$U:$U,$B130,BV_Data_An_Cour!$V:$V,$C130,BV_Data_An_Cour!$W:$W,$L$2)</f>
        <v>2743.13</v>
      </c>
      <c r="M130" s="305"/>
      <c r="N130" s="373">
        <f t="shared" si="90"/>
        <v>-1636.4291505447673</v>
      </c>
      <c r="O130" s="305"/>
      <c r="P130" s="303"/>
      <c r="Q130" s="667">
        <f>SUMIFS(BV_Data_An_Prec!$O:$O,BV_Data_An_Prec!$U:$U,$B130,BV_Data_An_Prec!$V:$V,$C130,BV_Data_An_Prec!$W:$W,$L$2)</f>
        <v>5428.14</v>
      </c>
      <c r="R130" s="305"/>
      <c r="S130" s="307">
        <f t="shared" si="91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239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  <c r="BC130" s="532"/>
    </row>
    <row r="131" spans="1:55" ht="15.75" customHeight="1">
      <c r="A131" s="600" t="str">
        <f t="shared" si="55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+INDEX('Budget original'!$A$2:$AO$496,MATCH($A131,'Budget original'!$A$2:$A$496,0),MATCH(F$2,'Budget original'!$A$2:$AO$2,0))</f>
        <v>3138.6840578904166</v>
      </c>
      <c r="G131" s="300"/>
      <c r="H131" s="250"/>
      <c r="I131" s="248">
        <f>+INDEX('Budget révisé'!$A$2:$AO$496,MATCH($A131,'Budget révisé'!$A$2:$A$496,0),MATCH(I$2,'Budget révisé'!$A$2:$AO$2,0))</f>
        <v>3138.6840578904166</v>
      </c>
      <c r="J131" s="244"/>
      <c r="K131" s="250"/>
      <c r="L131" s="298">
        <f>SUMIFS(BV_Data_An_Cour!$O:$O,BV_Data_An_Cour!$U:$U,$B131,BV_Data_An_Cour!$V:$V,$C131,BV_Data_An_Cour!$W:$W,$L$2)</f>
        <v>2196</v>
      </c>
      <c r="M131" s="244"/>
      <c r="N131" s="321">
        <f t="shared" si="90"/>
        <v>-942.68405789041663</v>
      </c>
      <c r="O131" s="244"/>
      <c r="P131" s="250"/>
      <c r="Q131" s="298">
        <f>SUMIFS(BV_Data_An_Prec!$O:$O,BV_Data_An_Prec!$U:$U,$B131,BV_Data_An_Prec!$V:$V,$C131,BV_Data_An_Prec!$W:$W,$L$2)</f>
        <v>3475.02</v>
      </c>
      <c r="R131" s="244"/>
      <c r="S131" s="301">
        <f t="shared" si="91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50"/>
      <c r="AK131" s="239"/>
      <c r="AL131" s="239"/>
      <c r="AM131" s="239"/>
      <c r="AN131" s="250"/>
      <c r="AO131" s="250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  <c r="BC131" s="532"/>
    </row>
    <row r="132" spans="1:55" ht="15.75" customHeight="1">
      <c r="A132" s="600" t="str">
        <f t="shared" si="55"/>
        <v>Véhicules usagésCsst</v>
      </c>
      <c r="B132" s="24" t="s">
        <v>144</v>
      </c>
      <c r="C132" s="297" t="s">
        <v>119</v>
      </c>
      <c r="D132" s="279"/>
      <c r="E132" s="250"/>
      <c r="F132" s="248">
        <f>+INDEX('Budget original'!$A$2:$AO$496,MATCH($A132,'Budget original'!$A$2:$A$496,0),MATCH(F$2,'Budget original'!$A$2:$AO$2,0))</f>
        <v>729.9265250907946</v>
      </c>
      <c r="G132" s="300"/>
      <c r="H132" s="250"/>
      <c r="I132" s="248">
        <f>+INDEX('Budget révisé'!$A$2:$AO$496,MATCH($A132,'Budget révisé'!$A$2:$A$496,0),MATCH(I$2,'Budget révisé'!$A$2:$AO$2,0))</f>
        <v>729.9265250907946</v>
      </c>
      <c r="J132" s="244"/>
      <c r="K132" s="250"/>
      <c r="L132" s="298">
        <f>SUMIFS(BV_Data_An_Cour!$O:$O,BV_Data_An_Cour!$U:$U,$B132,BV_Data_An_Cour!$V:$V,$C132,BV_Data_An_Cour!$W:$W,$L$2)</f>
        <v>0</v>
      </c>
      <c r="M132" s="244"/>
      <c r="N132" s="321">
        <f t="shared" si="90"/>
        <v>-729.9265250907946</v>
      </c>
      <c r="O132" s="244"/>
      <c r="P132" s="250"/>
      <c r="Q132" s="298">
        <f>SUMIFS(BV_Data_An_Prec!$O:$O,BV_Data_An_Prec!$U:$U,$B132,BV_Data_An_Prec!$V:$V,$C132,BV_Data_An_Prec!$W:$W,$L$2)</f>
        <v>1473.68</v>
      </c>
      <c r="R132" s="244"/>
      <c r="S132" s="301">
        <f t="shared" si="91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50"/>
      <c r="AK132" s="239"/>
      <c r="AL132" s="239"/>
      <c r="AM132" s="239"/>
      <c r="AN132" s="250"/>
      <c r="AO132" s="250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  <c r="BC132" s="532"/>
    </row>
    <row r="133" spans="1:55" ht="15.75" customHeight="1">
      <c r="A133" s="600" t="str">
        <f t="shared" si="55"/>
        <v>Véhicules usagés[...]</v>
      </c>
      <c r="B133" s="24" t="s">
        <v>144</v>
      </c>
      <c r="C133" s="308" t="s">
        <v>42</v>
      </c>
      <c r="D133" s="309"/>
      <c r="E133" s="310"/>
      <c r="F133" s="248">
        <f>+INDEX('Budget original'!$A$2:$AO$496,MATCH($A133,'Budget original'!$A$2:$A$496,0),MATCH(F$2,'Budget original'!$A$2:$AO$2,0))</f>
        <v>0</v>
      </c>
      <c r="G133" s="311"/>
      <c r="H133" s="310"/>
      <c r="I133" s="248">
        <f>+INDEX('Budget révisé'!$A$2:$AO$496,MATCH($A133,'Budget révisé'!$A$2:$A$496,0),MATCH(I$2,'Budget révisé'!$A$2:$AO$2,0))</f>
        <v>0</v>
      </c>
      <c r="J133" s="312"/>
      <c r="K133" s="310"/>
      <c r="L133" s="298">
        <f>SUMIFS(BV_Data_An_Cour!$O:$O,BV_Data_An_Cour!$U:$U,$B133,BV_Data_An_Cour!$V:$V,$C133,BV_Data_An_Cour!$W:$W,$L$2)</f>
        <v>0</v>
      </c>
      <c r="M133" s="312"/>
      <c r="N133" s="213">
        <f t="shared" si="90"/>
        <v>0</v>
      </c>
      <c r="O133" s="312"/>
      <c r="P133" s="310"/>
      <c r="Q133" s="298">
        <f>SUMIFS(BV_Data_An_Prec!$O:$O,BV_Data_An_Prec!$U:$U,$B133,BV_Data_An_Prec!$V:$V,$C133,BV_Data_An_Prec!$W:$W,$L$2)</f>
        <v>0</v>
      </c>
      <c r="R133" s="312"/>
      <c r="S133" s="314">
        <f t="shared" si="91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50"/>
      <c r="AK133" s="239"/>
      <c r="AL133" s="239"/>
      <c r="AM133" s="239"/>
      <c r="AN133" s="250"/>
      <c r="AO133" s="250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  <c r="BC133" s="532"/>
    </row>
    <row r="134" spans="1:55" ht="15.75" customHeight="1">
      <c r="A134" s="600" t="str">
        <f t="shared" si="55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0.64922694348028709</v>
      </c>
      <c r="L134" s="41">
        <f>SUM(L122:L133)</f>
        <v>26055.360000000001</v>
      </c>
      <c r="M134" s="43"/>
      <c r="N134" s="46">
        <f t="shared" ref="N134:N147" si="95">L134-I134</f>
        <v>-1763.510530268446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ref="S134:S147" si="96">L134-Q134</f>
        <v>-6139.66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239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  <c r="BC134" s="532"/>
    </row>
    <row r="135" spans="1:55" ht="15.75" customHeight="1">
      <c r="A135" s="600" t="str">
        <f t="shared" si="55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+INDEX('Budget original'!$A$2:$AO$496,MATCH($A135,'Budget original'!$A$2:$A$496,0),MATCH(F$2,'Budget original'!$A$2:$AO$2,0))</f>
        <v>0</v>
      </c>
      <c r="G135" s="319"/>
      <c r="H135" s="195"/>
      <c r="I135" s="196">
        <f>+INDEX('Budget révisé'!$A$2:$AO$496,MATCH($A135,'Budget révisé'!$A$2:$A$496,0),MATCH(I$2,'Budget révisé'!$A$2:$AO$2,0))</f>
        <v>0</v>
      </c>
      <c r="J135" s="320"/>
      <c r="K135" s="195"/>
      <c r="L135" s="298">
        <f>SUMIFS(BV_Data_An_Cour!$O:$O,BV_Data_An_Cour!$U:$U,$B135,BV_Data_An_Cour!$V:$V,$C135,BV_Data_An_Cour!$W:$W,$L$2)</f>
        <v>0</v>
      </c>
      <c r="M135" s="320"/>
      <c r="N135" s="321">
        <f t="shared" si="95"/>
        <v>0</v>
      </c>
      <c r="O135" s="320"/>
      <c r="P135" s="195"/>
      <c r="Q135" s="298">
        <f>SUMIFS(BV_Data_An_Prec!$O:$O,BV_Data_An_Prec!$U:$U,$B135,BV_Data_An_Prec!$V:$V,$C135,BV_Data_An_Prec!$W:$W,$L$2)</f>
        <v>0</v>
      </c>
      <c r="R135" s="320"/>
      <c r="S135" s="216">
        <f t="shared" si="96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239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  <c r="BC135" s="532"/>
    </row>
    <row r="136" spans="1:55" ht="15.75" customHeight="1">
      <c r="A136" s="600" t="str">
        <f t="shared" si="55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+INDEX('Budget original'!$A$2:$AO$496,MATCH($A136,'Budget original'!$A$2:$A$496,0),MATCH(F$2,'Budget original'!$A$2:$AO$2,0))</f>
        <v>0</v>
      </c>
      <c r="G136" s="319"/>
      <c r="H136" s="195"/>
      <c r="I136" s="196">
        <f>+INDEX('Budget révisé'!$A$2:$AO$496,MATCH($A136,'Budget révisé'!$A$2:$A$496,0),MATCH(I$2,'Budget révisé'!$A$2:$AO$2,0))</f>
        <v>0</v>
      </c>
      <c r="J136" s="320"/>
      <c r="K136" s="195"/>
      <c r="L136" s="298">
        <f>SUMIFS(BV_Data_An_Cour!$O:$O,BV_Data_An_Cour!$U:$U,$B136,BV_Data_An_Cour!$V:$V,$C136,BV_Data_An_Cour!$W:$W,$L$2)</f>
        <v>0</v>
      </c>
      <c r="M136" s="320"/>
      <c r="N136" s="321">
        <f t="shared" si="95"/>
        <v>0</v>
      </c>
      <c r="O136" s="320"/>
      <c r="P136" s="195"/>
      <c r="Q136" s="197">
        <f>SUMIFS(BV_Data_An_Prec!$O:$O,BV_Data_An_Prec!$U:$U,$B136,BV_Data_An_Prec!$V:$V,$C136,BV_Data_An_Prec!$W:$W,$L$2)</f>
        <v>0</v>
      </c>
      <c r="R136" s="320"/>
      <c r="S136" s="216">
        <f t="shared" si="96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239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  <c r="BC136" s="532"/>
    </row>
    <row r="137" spans="1:55" ht="15.75" customHeight="1">
      <c r="A137" s="600" t="str">
        <f t="shared" si="55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+INDEX('Budget original'!$A$2:$AO$496,MATCH($A137,'Budget original'!$A$2:$A$496,0),MATCH(F$2,'Budget original'!$A$2:$AO$2,0))</f>
        <v>215.04</v>
      </c>
      <c r="G137" s="326"/>
      <c r="H137" s="325"/>
      <c r="I137" s="194">
        <f>+INDEX('Budget révisé'!$A$2:$AO$496,MATCH($A137,'Budget révisé'!$A$2:$A$496,0),MATCH(I$2,'Budget révisé'!$A$2:$AO$2,0))</f>
        <v>215.04</v>
      </c>
      <c r="J137" s="327"/>
      <c r="K137" s="325"/>
      <c r="L137" s="261">
        <f>SUMIFS(BV_Data_An_Cour!$O:$O,BV_Data_An_Cour!$U:$U,$B137,BV_Data_An_Cour!$V:$V,$C137,BV_Data_An_Cour!$W:$W,$L$2)</f>
        <v>-409.62</v>
      </c>
      <c r="M137" s="327"/>
      <c r="N137" s="328">
        <f t="shared" si="95"/>
        <v>-624.66</v>
      </c>
      <c r="O137" s="327"/>
      <c r="P137" s="325"/>
      <c r="Q137" s="194">
        <f>SUMIFS(BV_Data_An_Prec!$O:$O,BV_Data_An_Prec!$U:$U,$B137,BV_Data_An_Prec!$V:$V,$C137,BV_Data_An_Prec!$W:$W,$L$2)</f>
        <v>3029.69</v>
      </c>
      <c r="R137" s="327"/>
      <c r="S137" s="219">
        <f t="shared" si="96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239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  <c r="BC137" s="532"/>
    </row>
    <row r="138" spans="1:55" ht="15.75" customHeight="1">
      <c r="A138" s="600" t="str">
        <f t="shared" si="55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+INDEX('Budget original'!$A$2:$AO$496,MATCH($A138,'Budget original'!$A$2:$A$496,0),MATCH(F$2,'Budget original'!$A$2:$AO$2,0))</f>
        <v>2662.7736</v>
      </c>
      <c r="G138" s="319"/>
      <c r="H138" s="195"/>
      <c r="I138" s="196">
        <f>+INDEX('Budget révisé'!$A$2:$AO$496,MATCH($A138,'Budget révisé'!$A$2:$A$496,0),MATCH(I$2,'Budget révisé'!$A$2:$AO$2,0))</f>
        <v>2662.7736</v>
      </c>
      <c r="J138" s="320"/>
      <c r="K138" s="195"/>
      <c r="L138" s="298">
        <f>SUMIFS(BV_Data_An_Cour!$O:$O,BV_Data_An_Cour!$U:$U,$B138,BV_Data_An_Cour!$V:$V,$C138,BV_Data_An_Cour!$W:$W,$L$2)</f>
        <v>2438.41</v>
      </c>
      <c r="M138" s="320"/>
      <c r="N138" s="321">
        <f t="shared" si="95"/>
        <v>-224.36360000000013</v>
      </c>
      <c r="O138" s="320"/>
      <c r="P138" s="195"/>
      <c r="Q138" s="197">
        <f>SUMIFS(BV_Data_An_Prec!$O:$O,BV_Data_An_Prec!$U:$U,$B138,BV_Data_An_Prec!$V:$V,$C138,BV_Data_An_Prec!$W:$W,$L$2)</f>
        <v>2495.1999999999998</v>
      </c>
      <c r="R138" s="320"/>
      <c r="S138" s="216">
        <f t="shared" si="96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239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  <c r="BC138" s="532"/>
    </row>
    <row r="139" spans="1:55" ht="15.75" customHeight="1">
      <c r="A139" s="600" t="str">
        <f t="shared" si="55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+INDEX('Budget original'!$A$2:$AO$496,MATCH($A139,'Budget original'!$A$2:$A$496,0),MATCH(F$2,'Budget original'!$A$2:$AO$2,0))</f>
        <v>598.68629999999996</v>
      </c>
      <c r="G139" s="319"/>
      <c r="H139" s="195"/>
      <c r="I139" s="196">
        <f>+INDEX('Budget révisé'!$A$2:$AO$496,MATCH($A139,'Budget révisé'!$A$2:$A$496,0),MATCH(I$2,'Budget révisé'!$A$2:$AO$2,0))</f>
        <v>598.68629999999996</v>
      </c>
      <c r="J139" s="320"/>
      <c r="K139" s="195"/>
      <c r="L139" s="298">
        <f>SUMIFS(BV_Data_An_Cour!$O:$O,BV_Data_An_Cour!$U:$U,$B139,BV_Data_An_Cour!$V:$V,$C139,BV_Data_An_Cour!$W:$W,$L$2)</f>
        <v>23.26</v>
      </c>
      <c r="M139" s="320"/>
      <c r="N139" s="321">
        <f t="shared" si="95"/>
        <v>-575.42629999999997</v>
      </c>
      <c r="O139" s="320"/>
      <c r="P139" s="195"/>
      <c r="Q139" s="197">
        <f>SUMIFS(BV_Data_An_Prec!$O:$O,BV_Data_An_Prec!$U:$U,$B139,BV_Data_An_Prec!$V:$V,$C139,BV_Data_An_Prec!$W:$W,$L$2)</f>
        <v>729.24</v>
      </c>
      <c r="R139" s="320"/>
      <c r="S139" s="216">
        <f t="shared" si="96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239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  <c r="BC139" s="532"/>
    </row>
    <row r="140" spans="1:55" ht="15.75" customHeight="1">
      <c r="A140" s="600" t="str">
        <f t="shared" si="55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+INDEX('Budget original'!$A$2:$AO$496,MATCH($A140,'Budget original'!$A$2:$A$496,0),MATCH(F$2,'Budget original'!$A$2:$AO$2,0))</f>
        <v>2766.5604999999996</v>
      </c>
      <c r="G140" s="326"/>
      <c r="H140" s="325"/>
      <c r="I140" s="194">
        <f>+INDEX('Budget révisé'!$A$2:$AO$496,MATCH($A140,'Budget révisé'!$A$2:$A$496,0),MATCH(I$2,'Budget révisé'!$A$2:$AO$2,0))</f>
        <v>2766.5604999999996</v>
      </c>
      <c r="J140" s="327"/>
      <c r="K140" s="325"/>
      <c r="L140" s="261">
        <f>SUMIFS(BV_Data_An_Cour!$O:$O,BV_Data_An_Cour!$U:$U,$B140,BV_Data_An_Cour!$V:$V,$C140,BV_Data_An_Cour!$W:$W,$L$2)</f>
        <v>798.93</v>
      </c>
      <c r="M140" s="327"/>
      <c r="N140" s="328">
        <f t="shared" si="95"/>
        <v>-1967.6304999999998</v>
      </c>
      <c r="O140" s="327"/>
      <c r="P140" s="325"/>
      <c r="Q140" s="194">
        <f>SUMIFS(BV_Data_An_Prec!$O:$O,BV_Data_An_Prec!$U:$U,$B140,BV_Data_An_Prec!$V:$V,$C140,BV_Data_An_Prec!$W:$W,$L$2)</f>
        <v>1694.28</v>
      </c>
      <c r="R140" s="327"/>
      <c r="S140" s="219">
        <f t="shared" si="96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239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  <c r="BC140" s="532"/>
    </row>
    <row r="141" spans="1:55" ht="15.75" customHeight="1">
      <c r="A141" s="600" t="str">
        <f t="shared" si="55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+INDEX('Budget original'!$A$2:$AO$496,MATCH($A141,'Budget original'!$A$2:$A$496,0),MATCH(F$2,'Budget original'!$A$2:$AO$2,0))</f>
        <v>81.351246619967213</v>
      </c>
      <c r="G141" s="319"/>
      <c r="H141" s="195"/>
      <c r="I141" s="196">
        <f>+INDEX('Budget révisé'!$A$2:$AO$496,MATCH($A141,'Budget révisé'!$A$2:$A$496,0),MATCH(I$2,'Budget révisé'!$A$2:$AO$2,0))</f>
        <v>81.351246619967213</v>
      </c>
      <c r="J141" s="320"/>
      <c r="K141" s="195"/>
      <c r="L141" s="298">
        <f>SUMIFS(BV_Data_An_Cour!$O:$O,BV_Data_An_Cour!$U:$U,$B141,BV_Data_An_Cour!$V:$V,$C141,BV_Data_An_Cour!$W:$W,$L$2)</f>
        <v>0</v>
      </c>
      <c r="M141" s="320"/>
      <c r="N141" s="321">
        <f t="shared" si="95"/>
        <v>-81.351246619967213</v>
      </c>
      <c r="O141" s="320"/>
      <c r="P141" s="195"/>
      <c r="Q141" s="197">
        <f>SUMIFS(BV_Data_An_Prec!$O:$O,BV_Data_An_Prec!$U:$U,$B141,BV_Data_An_Prec!$V:$V,$C141,BV_Data_An_Prec!$W:$W,$L$2)</f>
        <v>87</v>
      </c>
      <c r="R141" s="320"/>
      <c r="S141" s="216">
        <f t="shared" si="96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239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  <c r="BC141" s="532"/>
    </row>
    <row r="142" spans="1:55" ht="15.75" customHeight="1">
      <c r="A142" s="600" t="str">
        <f t="shared" si="55"/>
        <v>Véhicules usagésUniformes</v>
      </c>
      <c r="B142" s="24" t="s">
        <v>144</v>
      </c>
      <c r="C142" s="281" t="s">
        <v>128</v>
      </c>
      <c r="D142" s="318"/>
      <c r="E142" s="195"/>
      <c r="F142" s="196">
        <f>+INDEX('Budget original'!$A$2:$AO$496,MATCH($A142,'Budget original'!$A$2:$A$496,0),MATCH(F$2,'Budget original'!$A$2:$AO$2,0))</f>
        <v>10</v>
      </c>
      <c r="G142" s="319"/>
      <c r="H142" s="195"/>
      <c r="I142" s="196">
        <f>+INDEX('Budget révisé'!$A$2:$AO$496,MATCH($A142,'Budget révisé'!$A$2:$A$496,0),MATCH(I$2,'Budget révisé'!$A$2:$AO$2,0))</f>
        <v>10</v>
      </c>
      <c r="J142" s="320"/>
      <c r="K142" s="195"/>
      <c r="L142" s="298">
        <f>SUMIFS(BV_Data_An_Cour!$O:$O,BV_Data_An_Cour!$U:$U,$B142,BV_Data_An_Cour!$V:$V,$C142,BV_Data_An_Cour!$W:$W,$L$2)</f>
        <v>0</v>
      </c>
      <c r="M142" s="320"/>
      <c r="N142" s="321">
        <f t="shared" si="95"/>
        <v>-10</v>
      </c>
      <c r="O142" s="320"/>
      <c r="P142" s="195"/>
      <c r="Q142" s="197">
        <f>SUMIFS(BV_Data_An_Prec!$O:$O,BV_Data_An_Prec!$U:$U,$B142,BV_Data_An_Prec!$V:$V,$C142,BV_Data_An_Prec!$W:$W,$L$2)</f>
        <v>10</v>
      </c>
      <c r="R142" s="320"/>
      <c r="S142" s="216">
        <f t="shared" si="96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239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  <c r="BC142" s="532"/>
    </row>
    <row r="143" spans="1:55" ht="15.75" customHeight="1">
      <c r="A143" s="600" t="str">
        <f t="shared" si="55"/>
        <v>Véhicules usagésPapeterie</v>
      </c>
      <c r="B143" s="24" t="s">
        <v>144</v>
      </c>
      <c r="C143" s="281" t="s">
        <v>129</v>
      </c>
      <c r="D143" s="318"/>
      <c r="E143" s="195"/>
      <c r="F143" s="196">
        <f>+INDEX('Budget original'!$A$2:$AO$496,MATCH($A143,'Budget original'!$A$2:$A$496,0),MATCH(F$2,'Budget original'!$A$2:$AO$2,0))</f>
        <v>261.59999999999997</v>
      </c>
      <c r="G143" s="319"/>
      <c r="H143" s="195"/>
      <c r="I143" s="196">
        <f>+INDEX('Budget révisé'!$A$2:$AO$496,MATCH($A143,'Budget révisé'!$A$2:$A$496,0),MATCH(I$2,'Budget révisé'!$A$2:$AO$2,0))</f>
        <v>261.59999999999997</v>
      </c>
      <c r="J143" s="320"/>
      <c r="K143" s="195"/>
      <c r="L143" s="1090">
        <f>SUMIFS(BV_Data_An_Cour!$O:$O,BV_Data_An_Cour!$U:$U,$B143,BV_Data_An_Cour!$V:$V,$C143,BV_Data_An_Cour!$W:$W,$L$2)</f>
        <v>93.33</v>
      </c>
      <c r="M143" s="320"/>
      <c r="N143" s="321">
        <f t="shared" si="95"/>
        <v>-168.26999999999998</v>
      </c>
      <c r="O143" s="320"/>
      <c r="P143" s="195"/>
      <c r="Q143" s="572">
        <f>SUMIFS(BV_Data_An_Prec!$O:$O,BV_Data_An_Prec!$U:$U,$B143,BV_Data_An_Prec!$V:$V,$C143,BV_Data_An_Prec!$W:$W,$L$2)</f>
        <v>222</v>
      </c>
      <c r="R143" s="320"/>
      <c r="S143" s="216">
        <f t="shared" si="96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239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  <c r="BC143" s="532"/>
    </row>
    <row r="144" spans="1:55" ht="15.75" customHeight="1">
      <c r="A144" s="600" t="str">
        <f t="shared" si="55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+INDEX('Budget original'!$A$2:$AO$496,MATCH($A144,'Budget original'!$A$2:$A$496,0),MATCH(F$2,'Budget original'!$A$2:$AO$2,0))</f>
        <v>268.09199999999998</v>
      </c>
      <c r="G144" s="319"/>
      <c r="H144" s="195"/>
      <c r="I144" s="196">
        <f>+INDEX('Budget révisé'!$A$2:$AO$496,MATCH($A144,'Budget révisé'!$A$2:$A$496,0),MATCH(I$2,'Budget révisé'!$A$2:$AO$2,0))</f>
        <v>268.09199999999998</v>
      </c>
      <c r="J144" s="320"/>
      <c r="K144" s="195"/>
      <c r="L144" s="298">
        <f>SUMIFS(BV_Data_An_Cour!$O:$O,BV_Data_An_Cour!$U:$U,$B144,BV_Data_An_Cour!$V:$V,$C144,BV_Data_An_Cour!$W:$W,$L$2)</f>
        <v>123.27</v>
      </c>
      <c r="M144" s="320"/>
      <c r="N144" s="321">
        <f t="shared" si="95"/>
        <v>-144.822</v>
      </c>
      <c r="O144" s="320"/>
      <c r="P144" s="195"/>
      <c r="Q144" s="197">
        <f>SUMIFS(BV_Data_An_Prec!$O:$O,BV_Data_An_Prec!$U:$U,$B144,BV_Data_An_Prec!$V:$V,$C144,BV_Data_An_Prec!$W:$W,$L$2)</f>
        <v>142.84</v>
      </c>
      <c r="R144" s="320"/>
      <c r="S144" s="216">
        <f t="shared" si="96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239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  <c r="BC144" s="532"/>
    </row>
    <row r="145" spans="1:55" ht="15.75" customHeight="1">
      <c r="A145" s="600" t="str">
        <f t="shared" si="55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+INDEX('Budget original'!$A$2:$AO$496,MATCH($A145,'Budget original'!$A$2:$A$496,0),MATCH(F$2,'Budget original'!$A$2:$AO$2,0))</f>
        <v>103.8</v>
      </c>
      <c r="G145" s="319"/>
      <c r="H145" s="195"/>
      <c r="I145" s="196">
        <f>+INDEX('Budget révisé'!$A$2:$AO$496,MATCH($A145,'Budget révisé'!$A$2:$A$496,0),MATCH(I$2,'Budget révisé'!$A$2:$AO$2,0))</f>
        <v>103.8</v>
      </c>
      <c r="J145" s="320"/>
      <c r="K145" s="195"/>
      <c r="L145" s="298">
        <f>SUMIFS(BV_Data_An_Cour!$O:$O,BV_Data_An_Cour!$U:$U,$B145,BV_Data_An_Cour!$V:$V,$C145,BV_Data_An_Cour!$W:$W,$L$2)</f>
        <v>38.65</v>
      </c>
      <c r="M145" s="320"/>
      <c r="N145" s="321">
        <f t="shared" si="95"/>
        <v>-65.150000000000006</v>
      </c>
      <c r="O145" s="320"/>
      <c r="P145" s="195"/>
      <c r="Q145" s="197">
        <f>SUMIFS(BV_Data_An_Prec!$O:$O,BV_Data_An_Prec!$U:$U,$B145,BV_Data_An_Prec!$V:$V,$C145,BV_Data_An_Prec!$W:$W,$L$2)</f>
        <v>78.760000000000005</v>
      </c>
      <c r="R145" s="320"/>
      <c r="S145" s="216">
        <f t="shared" si="96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239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  <c r="BC145" s="532"/>
    </row>
    <row r="146" spans="1:55" ht="15.75" customHeight="1">
      <c r="A146" s="600" t="str">
        <f t="shared" si="55"/>
        <v>Véhicules usagésDivers</v>
      </c>
      <c r="B146" s="24" t="s">
        <v>144</v>
      </c>
      <c r="C146" s="281" t="s">
        <v>132</v>
      </c>
      <c r="D146" s="318"/>
      <c r="E146" s="195"/>
      <c r="F146" s="196">
        <f>+INDEX('Budget original'!$A$2:$AO$496,MATCH($A146,'Budget original'!$A$2:$A$496,0),MATCH(F$2,'Budget original'!$A$2:$AO$2,0))</f>
        <v>430.91999999999996</v>
      </c>
      <c r="G146" s="319"/>
      <c r="H146" s="195"/>
      <c r="I146" s="196">
        <f>+INDEX('Budget révisé'!$A$2:$AO$496,MATCH($A146,'Budget révisé'!$A$2:$A$496,0),MATCH(I$2,'Budget révisé'!$A$2:$AO$2,0))</f>
        <v>430.91999999999996</v>
      </c>
      <c r="J146" s="320"/>
      <c r="K146" s="195"/>
      <c r="L146" s="298">
        <f>SUMIFS(BV_Data_An_Cour!$O:$O,BV_Data_An_Cour!$U:$U,$B146,BV_Data_An_Cour!$V:$V,$C146,BV_Data_An_Cour!$W:$W,$L$2)</f>
        <v>94.62</v>
      </c>
      <c r="M146" s="320"/>
      <c r="N146" s="321">
        <f t="shared" si="95"/>
        <v>-336.29999999999995</v>
      </c>
      <c r="O146" s="320"/>
      <c r="P146" s="195"/>
      <c r="Q146" s="197">
        <f>SUMIFS(BV_Data_An_Prec!$O:$O,BV_Data_An_Prec!$U:$U,$B146,BV_Data_An_Prec!$V:$V,$C146,BV_Data_An_Prec!$W:$W,$L$2)</f>
        <v>639.48</v>
      </c>
      <c r="R146" s="320"/>
      <c r="S146" s="216">
        <f t="shared" si="96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239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  <c r="BC146" s="532"/>
    </row>
    <row r="147" spans="1:55" ht="15.75" customHeight="1">
      <c r="A147" s="600" t="str">
        <f t="shared" si="55"/>
        <v>Véhicules usagésFormation</v>
      </c>
      <c r="B147" s="24" t="s">
        <v>144</v>
      </c>
      <c r="C147" s="281" t="s">
        <v>133</v>
      </c>
      <c r="D147" s="318"/>
      <c r="E147" s="195"/>
      <c r="F147" s="196">
        <f>+INDEX('Budget original'!$A$2:$AO$496,MATCH($A147,'Budget original'!$A$2:$A$496,0),MATCH(F$2,'Budget original'!$A$2:$AO$2,0))</f>
        <v>70.63</v>
      </c>
      <c r="G147" s="319"/>
      <c r="H147" s="195"/>
      <c r="I147" s="196">
        <f>+INDEX('Budget révisé'!$A$2:$AO$496,MATCH($A147,'Budget révisé'!$A$2:$A$496,0),MATCH(I$2,'Budget révisé'!$A$2:$AO$2,0))</f>
        <v>70.63</v>
      </c>
      <c r="J147" s="320"/>
      <c r="K147" s="195"/>
      <c r="L147" s="298">
        <f>SUMIFS(BV_Data_An_Cour!$O:$O,BV_Data_An_Cour!$U:$U,$B147,BV_Data_An_Cour!$V:$V,$C147,BV_Data_An_Cour!$W:$W,$L$2)</f>
        <v>10.62</v>
      </c>
      <c r="M147" s="320"/>
      <c r="N147" s="321">
        <f t="shared" si="95"/>
        <v>-60.01</v>
      </c>
      <c r="O147" s="320"/>
      <c r="P147" s="195"/>
      <c r="Q147" s="197">
        <f>SUMIFS(BV_Data_An_Prec!$O:$O,BV_Data_An_Prec!$U:$U,$B147,BV_Data_An_Prec!$V:$V,$C147,BV_Data_An_Prec!$W:$W,$L$2)</f>
        <v>60</v>
      </c>
      <c r="R147" s="320"/>
      <c r="S147" s="216">
        <f t="shared" si="96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239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  <c r="BC147" s="532"/>
    </row>
    <row r="148" spans="1:55" s="600" customFormat="1" ht="15.75" customHeight="1">
      <c r="A148" s="600" t="str">
        <f t="shared" ref="A148:A151" si="97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+INDEX('Budget original'!$A$2:$AO$496,MATCH($A148,'Budget original'!$A$2:$A$496,0),MATCH(F$2,'Budget original'!$A$2:$AO$2,0))</f>
        <v>782.87768732213056</v>
      </c>
      <c r="G148" s="319"/>
      <c r="H148" s="195"/>
      <c r="I148" s="196">
        <f>+INDEX('Budget révisé'!$A$2:$AO$496,MATCH($A148,'Budget révisé'!$A$2:$A$496,0),MATCH(I$2,'Budget révisé'!$A$2:$AO$2,0))</f>
        <v>782.87768732213056</v>
      </c>
      <c r="J148" s="320"/>
      <c r="K148" s="195"/>
      <c r="L148" s="298">
        <f>AG447*W4</f>
        <v>428.12200000000007</v>
      </c>
      <c r="M148" s="320"/>
      <c r="N148" s="321">
        <f t="shared" ref="N148:N151" si="98">L148-I148</f>
        <v>-354.75568732213048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9">L148-Q148</f>
        <v>428.12200000000007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239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  <c r="BC148" s="532"/>
    </row>
    <row r="149" spans="1:55" s="600" customFormat="1" ht="15.75" customHeight="1">
      <c r="A149" s="600" t="str">
        <f t="shared" si="97"/>
        <v>Véhicules usagés[...]</v>
      </c>
      <c r="B149" s="24" t="s">
        <v>144</v>
      </c>
      <c r="C149" s="281" t="s">
        <v>42</v>
      </c>
      <c r="D149" s="318"/>
      <c r="E149" s="195"/>
      <c r="F149" s="196">
        <f>+INDEX('Budget original'!$A$2:$AO$496,MATCH($A149,'Budget original'!$A$2:$A$496,0),MATCH(F$2,'Budget original'!$A$2:$AO$2,0))</f>
        <v>0</v>
      </c>
      <c r="G149" s="319"/>
      <c r="H149" s="195"/>
      <c r="I149" s="196">
        <f>+INDEX('Budget révisé'!$A$2:$AO$496,MATCH($A149,'Budget révisé'!$A$2:$A$496,0),MATCH(I$2,'Budget révisé'!$A$2:$AO$2,0))</f>
        <v>0</v>
      </c>
      <c r="J149" s="320"/>
      <c r="K149" s="195"/>
      <c r="L149" s="197">
        <f>SUMIFS(BV_Data_An_Cour!$O:$O,BV_Data_An_Cour!$U:$U,$B149,BV_Data_An_Cour!$V:$V,$C149,BV_Data_An_Cour!$W:$W,$L$2)</f>
        <v>0</v>
      </c>
      <c r="M149" s="320"/>
      <c r="N149" s="321">
        <f t="shared" si="98"/>
        <v>0</v>
      </c>
      <c r="O149" s="320"/>
      <c r="P149" s="195"/>
      <c r="Q149" s="197">
        <f>SUMIFS(BV_Data_An_Prec!$O:$O,BV_Data_An_Prec!$U:$U,$B149,BV_Data_An_Prec!$V:$V,$C149,BV_Data_An_Prec!$W:$W,$L$2)</f>
        <v>0</v>
      </c>
      <c r="R149" s="320"/>
      <c r="S149" s="216">
        <f t="shared" si="99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239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  <c r="BC149" s="532"/>
    </row>
    <row r="150" spans="1:55" s="600" customFormat="1" ht="15.75" customHeight="1">
      <c r="A150" s="600" t="str">
        <f t="shared" si="97"/>
        <v>Véhicules usagés[...]</v>
      </c>
      <c r="B150" s="24" t="s">
        <v>144</v>
      </c>
      <c r="C150" s="281" t="s">
        <v>42</v>
      </c>
      <c r="D150" s="318"/>
      <c r="E150" s="195"/>
      <c r="F150" s="196">
        <f>+INDEX('Budget original'!$A$2:$AO$496,MATCH($A150,'Budget original'!$A$2:$A$496,0),MATCH(F$2,'Budget original'!$A$2:$AO$2,0))</f>
        <v>0</v>
      </c>
      <c r="G150" s="319"/>
      <c r="H150" s="195"/>
      <c r="I150" s="196">
        <f>+INDEX('Budget révisé'!$A$2:$AO$496,MATCH($A150,'Budget révisé'!$A$2:$A$496,0),MATCH(I$2,'Budget révisé'!$A$2:$AO$2,0))</f>
        <v>0</v>
      </c>
      <c r="J150" s="320"/>
      <c r="K150" s="195"/>
      <c r="L150" s="197">
        <f>SUMIFS(BV_Data_An_Cour!$O:$O,BV_Data_An_Cour!$U:$U,$B150,BV_Data_An_Cour!$V:$V,$C150,BV_Data_An_Cour!$W:$W,$L$2)</f>
        <v>0</v>
      </c>
      <c r="M150" s="320"/>
      <c r="N150" s="321">
        <f t="shared" si="98"/>
        <v>0</v>
      </c>
      <c r="O150" s="320"/>
      <c r="P150" s="195"/>
      <c r="Q150" s="197">
        <f>SUMIFS(BV_Data_An_Prec!$O:$O,BV_Data_An_Prec!$U:$U,$B150,BV_Data_An_Prec!$V:$V,$C150,BV_Data_An_Prec!$W:$W,$L$2)</f>
        <v>0</v>
      </c>
      <c r="R150" s="320"/>
      <c r="S150" s="216">
        <f t="shared" si="99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239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  <c r="BC150" s="532"/>
    </row>
    <row r="151" spans="1:55" ht="15.75" customHeight="1">
      <c r="A151" s="600" t="str">
        <f t="shared" si="97"/>
        <v>Véhicules usagés[...]</v>
      </c>
      <c r="B151" s="24" t="s">
        <v>144</v>
      </c>
      <c r="C151" s="281" t="s">
        <v>42</v>
      </c>
      <c r="D151" s="318"/>
      <c r="E151" s="195"/>
      <c r="F151" s="196">
        <f>+INDEX('Budget original'!$A$2:$AO$496,MATCH($A151,'Budget original'!$A$2:$A$496,0),MATCH(F$2,'Budget original'!$A$2:$AO$2,0))</f>
        <v>0</v>
      </c>
      <c r="G151" s="319"/>
      <c r="H151" s="195"/>
      <c r="I151" s="196">
        <f>+INDEX('Budget révisé'!$A$2:$AO$496,MATCH($A151,'Budget révisé'!$A$2:$A$496,0),MATCH(I$2,'Budget révisé'!$A$2:$AO$2,0))</f>
        <v>0</v>
      </c>
      <c r="J151" s="320"/>
      <c r="K151" s="195"/>
      <c r="L151" s="197">
        <f>SUMIFS(BV_Data_An_Cour!$O:$O,BV_Data_An_Cour!$U:$U,$B151,BV_Data_An_Cour!$V:$V,$C151,BV_Data_An_Cour!$W:$W,$L$2)</f>
        <v>0</v>
      </c>
      <c r="M151" s="320"/>
      <c r="N151" s="321">
        <f t="shared" si="98"/>
        <v>0</v>
      </c>
      <c r="O151" s="320"/>
      <c r="P151" s="195"/>
      <c r="Q151" s="197">
        <f>SUMIFS(BV_Data_An_Prec!$O:$O,BV_Data_An_Prec!$U:$U,$B151,BV_Data_An_Prec!$V:$V,$C151,BV_Data_An_Prec!$W:$W,$L$2)</f>
        <v>0</v>
      </c>
      <c r="R151" s="320"/>
      <c r="S151" s="216">
        <f t="shared" si="99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239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  <c r="BC151" s="532"/>
    </row>
    <row r="152" spans="1:55" ht="15.75" customHeight="1">
      <c r="A152" s="600" t="str">
        <f t="shared" si="55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9.0688487500280357E-2</v>
      </c>
      <c r="L152" s="41">
        <f>+SUM(L135:L151)</f>
        <v>3639.5919999999996</v>
      </c>
      <c r="M152" s="44"/>
      <c r="N152" s="41">
        <f t="shared" ref="N152" si="100">L152-I152</f>
        <v>-4612.7393339420987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ref="S152" si="101">L152-Q152</f>
        <v>-5548.8980000000001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239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  <c r="BC152" s="532"/>
    </row>
    <row r="153" spans="1:55" ht="15.75" customHeight="1">
      <c r="A153" s="600" t="str">
        <f t="shared" si="55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239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  <c r="BC153" s="532"/>
    </row>
    <row r="154" spans="1:55" ht="15.75" customHeight="1">
      <c r="A154" s="600" t="str">
        <f t="shared" si="55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1.3133472039149932</v>
      </c>
      <c r="L154" s="41">
        <f>L121+L134+L152</f>
        <v>52708.432000000001</v>
      </c>
      <c r="M154" s="44"/>
      <c r="N154" s="46">
        <f>L154-I154</f>
        <v>-10781.200030209511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-17398.758000000002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239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  <c r="BC154" s="532"/>
    </row>
    <row r="155" spans="1:55" ht="15.75" customHeight="1">
      <c r="A155" s="600" t="str">
        <f t="shared" si="55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+INDEX('Budget original'!$A$2:$AO$496,MATCH($A155,'Budget original'!$A$2:$A$496,0),MATCH(F$2,'Budget original'!$A$2:$AO$2,0))</f>
        <v>0</v>
      </c>
      <c r="G155" s="433"/>
      <c r="H155" s="432"/>
      <c r="I155" s="196">
        <f>+INDEX('Budget révisé'!$A$2:$AO$496,MATCH($A155,'Budget révisé'!$A$2:$A$496,0),MATCH(I$2,'Budget révisé'!$A$2:$AO$2,0))</f>
        <v>0</v>
      </c>
      <c r="J155" s="433"/>
      <c r="K155" s="1091"/>
      <c r="L155" s="1090">
        <f>-SUMIFS(BV_Data_An_Cour!$O:$O,BV_Data_An_Cour!$U:$U,$B155,BV_Data_An_Cour!$V:$V,$C155,BV_Data_An_Cour!$W:$W,$L$2)</f>
        <v>0</v>
      </c>
      <c r="M155" s="320"/>
      <c r="N155" s="321">
        <f t="shared" ref="N155:N157" si="102">L155-I155</f>
        <v>0</v>
      </c>
      <c r="O155" s="433"/>
      <c r="P155" s="432"/>
      <c r="Q155" s="197">
        <f>-SUMIFS(BV_Data_An_Prec!$O:$O,BV_Data_An_Prec!$U:$U,$B155,BV_Data_An_Prec!$V:$V,$C155,BV_Data_An_Prec!$W:$W,$L$2)</f>
        <v>0</v>
      </c>
      <c r="R155" s="320"/>
      <c r="S155" s="216">
        <f t="shared" ref="S155:S157" si="103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239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  <c r="BC155" s="532"/>
    </row>
    <row r="156" spans="1:55" ht="15.75" customHeight="1">
      <c r="A156" s="600" t="str">
        <f t="shared" si="55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+INDEX('Budget original'!$A$2:$AO$496,MATCH($A156,'Budget original'!$A$2:$A$496,0),MATCH(F$2,'Budget original'!$A$2:$AO$2,0))</f>
        <v>0</v>
      </c>
      <c r="G156" s="433"/>
      <c r="H156" s="432"/>
      <c r="I156" s="196">
        <f>+INDEX('Budget révisé'!$A$2:$AO$496,MATCH($A156,'Budget révisé'!$A$2:$A$496,0),MATCH(I$2,'Budget révisé'!$A$2:$AO$2,0))</f>
        <v>0</v>
      </c>
      <c r="J156" s="433"/>
      <c r="K156" s="1091"/>
      <c r="L156" s="298">
        <f>-SUMIFS(BV_Data_An_Cour!$O:$O,BV_Data_An_Cour!$U:$U,$B156,BV_Data_An_Cour!$V:$V,$C156,BV_Data_An_Cour!$W:$W,$L$2)</f>
        <v>0</v>
      </c>
      <c r="M156" s="320"/>
      <c r="N156" s="321">
        <f t="shared" si="102"/>
        <v>0</v>
      </c>
      <c r="O156" s="433"/>
      <c r="P156" s="432"/>
      <c r="Q156" s="197">
        <f>-SUMIFS(BV_Data_An_Prec!$O:$O,BV_Data_An_Prec!$U:$U,$B156,BV_Data_An_Prec!$V:$V,$C156,BV_Data_An_Prec!$W:$W,$L$2)</f>
        <v>0</v>
      </c>
      <c r="R156" s="320"/>
      <c r="S156" s="216">
        <f t="shared" si="103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239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  <c r="BC156" s="532"/>
    </row>
    <row r="157" spans="1:55" ht="15.75" customHeight="1">
      <c r="A157" s="600" t="str">
        <f t="shared" si="55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+INDEX('Budget original'!$A$2:$AO$496,MATCH($A157,'Budget original'!$A$2:$A$496,0),MATCH(F$2,'Budget original'!$A$2:$AO$2,0))</f>
        <v>0</v>
      </c>
      <c r="G157" s="319"/>
      <c r="H157" s="195"/>
      <c r="I157" s="196">
        <f>+INDEX('Budget révisé'!$A$2:$AO$496,MATCH($A157,'Budget révisé'!$A$2:$A$496,0),MATCH(I$2,'Budget révisé'!$A$2:$AO$2,0))</f>
        <v>0</v>
      </c>
      <c r="J157" s="320"/>
      <c r="K157" s="250"/>
      <c r="L157" s="298">
        <f>-SUMIFS(BV_Data_An_Cour!$O:$O,BV_Data_An_Cour!$U:$U,$B157,BV_Data_An_Cour!$V:$V,$C157,BV_Data_An_Cour!$W:$W,$L$2)</f>
        <v>0</v>
      </c>
      <c r="M157" s="320"/>
      <c r="N157" s="321">
        <f t="shared" si="102"/>
        <v>0</v>
      </c>
      <c r="O157" s="320"/>
      <c r="P157" s="195"/>
      <c r="Q157" s="197">
        <f>-SUMIFS(BV_Data_An_Prec!$O:$O,BV_Data_An_Prec!$U:$U,$B157,BV_Data_An_Prec!$V:$V,$C157,BV_Data_An_Prec!$W:$W,$L$2)</f>
        <v>0</v>
      </c>
      <c r="R157" s="320"/>
      <c r="S157" s="216">
        <f t="shared" si="103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239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  <c r="BC157" s="532"/>
    </row>
    <row r="158" spans="1:55" s="600" customFormat="1" ht="15.75" customHeight="1">
      <c r="A158" s="600" t="str">
        <f t="shared" ref="A158:A161" si="104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+INDEX('Budget original'!$A$2:$AO$496,MATCH($A158,'Budget original'!$A$2:$A$496,0),MATCH(F$2,'Budget original'!$A$2:$AO$2,0))</f>
        <v>6388.1066408329252</v>
      </c>
      <c r="G158" s="319"/>
      <c r="H158" s="195"/>
      <c r="I158" s="196">
        <f>+INDEX('Budget révisé'!$A$2:$AO$496,MATCH($A158,'Budget révisé'!$A$2:$A$496,0),MATCH(I$2,'Budget révisé'!$A$2:$AO$2,0))</f>
        <v>6388.1066408329252</v>
      </c>
      <c r="J158" s="320"/>
      <c r="K158" s="250"/>
      <c r="L158" s="1090">
        <f>349*J96</f>
        <v>5235</v>
      </c>
      <c r="M158" s="320"/>
      <c r="N158" s="321">
        <f t="shared" ref="N158" si="105">L158-I158</f>
        <v>-1153.1066408329252</v>
      </c>
      <c r="O158" s="320"/>
      <c r="P158" s="195"/>
      <c r="Q158" s="197">
        <f>-SUMIFS(BV_Data_An_Prec!$O:$O,BV_Data_An_Prec!$U:$U,$B158,BV_Data_An_Prec!$V:$V,$C158,BV_Data_An_Prec!$W:$W,$L$2)</f>
        <v>0</v>
      </c>
      <c r="R158" s="320"/>
      <c r="S158" s="216">
        <f t="shared" ref="S158" si="106">L158-Q158</f>
        <v>5235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  <c r="BC158" s="532"/>
    </row>
    <row r="159" spans="1:55" s="600" customFormat="1" ht="15.75" customHeight="1">
      <c r="A159" s="600" t="str">
        <f t="shared" si="104"/>
        <v>Véhicules usagés[...]</v>
      </c>
      <c r="B159" s="24" t="s">
        <v>144</v>
      </c>
      <c r="C159" s="281" t="s">
        <v>42</v>
      </c>
      <c r="D159" s="318"/>
      <c r="E159" s="195"/>
      <c r="F159" s="196">
        <f>+INDEX('Budget original'!$A$2:$AO$496,MATCH($A159,'Budget original'!$A$2:$A$496,0),MATCH(F$2,'Budget original'!$A$2:$AO$2,0))</f>
        <v>0</v>
      </c>
      <c r="G159" s="319"/>
      <c r="H159" s="195"/>
      <c r="I159" s="196">
        <f>+INDEX('Budget révisé'!$A$2:$AO$496,MATCH($A159,'Budget révisé'!$A$2:$A$496,0),MATCH(I$2,'Budget révisé'!$A$2:$AO$2,0))</f>
        <v>0</v>
      </c>
      <c r="J159" s="320"/>
      <c r="K159" s="250"/>
      <c r="L159" s="1090">
        <f>-SUMIFS(BV_Data_An_Cour!$O:$O,BV_Data_An_Cour!$U:$U,$B159,BV_Data_An_Cour!$V:$V,$C159,BV_Data_An_Cour!$W:$W,$L$2)</f>
        <v>0</v>
      </c>
      <c r="M159" s="320"/>
      <c r="N159" s="321">
        <f t="shared" ref="N159:N161" si="107">L159-I159</f>
        <v>0</v>
      </c>
      <c r="O159" s="320"/>
      <c r="P159" s="195"/>
      <c r="Q159" s="197">
        <f>-SUMIFS(BV_Data_An_Prec!$O:$O,BV_Data_An_Prec!$U:$U,$B159,BV_Data_An_Prec!$V:$V,$C159,BV_Data_An_Prec!$W:$W,$L$2)</f>
        <v>0</v>
      </c>
      <c r="R159" s="320"/>
      <c r="S159" s="216">
        <f t="shared" ref="S159:S161" si="108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239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  <c r="BC159" s="532"/>
    </row>
    <row r="160" spans="1:55" s="600" customFormat="1" ht="15.75" customHeight="1">
      <c r="A160" s="600" t="str">
        <f t="shared" si="104"/>
        <v>Véhicules usagés[...]</v>
      </c>
      <c r="B160" s="24" t="s">
        <v>144</v>
      </c>
      <c r="C160" s="281" t="s">
        <v>42</v>
      </c>
      <c r="D160" s="318"/>
      <c r="E160" s="195"/>
      <c r="F160" s="196">
        <f>+INDEX('Budget original'!$A$2:$AO$496,MATCH($A160,'Budget original'!$A$2:$A$496,0),MATCH(F$2,'Budget original'!$A$2:$AO$2,0))</f>
        <v>0</v>
      </c>
      <c r="G160" s="319"/>
      <c r="H160" s="195"/>
      <c r="I160" s="196">
        <f>+INDEX('Budget révisé'!$A$2:$AO$496,MATCH($A160,'Budget révisé'!$A$2:$A$496,0),MATCH(I$2,'Budget révisé'!$A$2:$AO$2,0))</f>
        <v>0</v>
      </c>
      <c r="J160" s="320"/>
      <c r="K160" s="195"/>
      <c r="L160" s="572">
        <f>-SUMIFS(BV_Data_An_Cour!$O:$O,BV_Data_An_Cour!$U:$U,$B160,BV_Data_An_Cour!$V:$V,$C160,BV_Data_An_Cour!$W:$W,$L$2)</f>
        <v>0</v>
      </c>
      <c r="M160" s="320"/>
      <c r="N160" s="321">
        <f t="shared" si="107"/>
        <v>0</v>
      </c>
      <c r="O160" s="320"/>
      <c r="P160" s="195"/>
      <c r="Q160" s="197">
        <f>-SUMIFS(BV_Data_An_Prec!$O:$O,BV_Data_An_Prec!$U:$U,$B160,BV_Data_An_Prec!$V:$V,$C160,BV_Data_An_Prec!$W:$W,$L$2)</f>
        <v>0</v>
      </c>
      <c r="R160" s="320"/>
      <c r="S160" s="216">
        <f t="shared" si="108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239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  <c r="BC160" s="532"/>
    </row>
    <row r="161" spans="1:55" ht="15.75" customHeight="1">
      <c r="A161" s="600" t="str">
        <f t="shared" si="104"/>
        <v>Véhicules usagés[...]</v>
      </c>
      <c r="B161" s="24" t="s">
        <v>144</v>
      </c>
      <c r="C161" s="343" t="s">
        <v>42</v>
      </c>
      <c r="D161" s="324"/>
      <c r="E161" s="325"/>
      <c r="F161" s="196">
        <f>+INDEX('Budget original'!$A$2:$AO$496,MATCH($A161,'Budget original'!$A$2:$A$496,0),MATCH(F$2,'Budget original'!$A$2:$AO$2,0))</f>
        <v>0</v>
      </c>
      <c r="G161" s="319"/>
      <c r="H161" s="195"/>
      <c r="I161" s="196">
        <f>+INDEX('Budget révisé'!$A$2:$AO$496,MATCH($A161,'Budget révisé'!$A$2:$A$496,0),MATCH(I$2,'Budget révisé'!$A$2:$AO$2,0))</f>
        <v>0</v>
      </c>
      <c r="J161" s="320"/>
      <c r="K161" s="195"/>
      <c r="L161" s="572">
        <f>-SUMIFS(BV_Data_An_Cour!$O:$O,BV_Data_An_Cour!$U:$U,$B161,BV_Data_An_Cour!$V:$V,$C161,BV_Data_An_Cour!$W:$W,$L$2)</f>
        <v>0</v>
      </c>
      <c r="M161" s="320"/>
      <c r="N161" s="321">
        <f t="shared" si="107"/>
        <v>0</v>
      </c>
      <c r="O161" s="320"/>
      <c r="P161" s="195"/>
      <c r="Q161" s="197">
        <f>-SUMIFS(BV_Data_An_Prec!$O:$O,BV_Data_An_Prec!$U:$U,$B161,BV_Data_An_Prec!$V:$V,$C161,BV_Data_An_Prec!$W:$W,$L$2)</f>
        <v>0</v>
      </c>
      <c r="R161" s="320"/>
      <c r="S161" s="216">
        <f t="shared" si="108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239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  <c r="BC161" s="532"/>
    </row>
    <row r="162" spans="1:55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5235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5235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239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  <c r="BC162" s="532"/>
    </row>
    <row r="163" spans="1:55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239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  <c r="BC163" s="532"/>
    </row>
    <row r="164" spans="1:55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-7340.5320000000211</v>
      </c>
      <c r="M164" s="362"/>
      <c r="N164" s="360">
        <f>L164-I164</f>
        <v>-2447.8738578395614</v>
      </c>
      <c r="O164" s="362"/>
      <c r="P164" s="363"/>
      <c r="Q164" s="360">
        <f>Q107-Q154+Q162</f>
        <v>-50387.799999999988</v>
      </c>
      <c r="R164" s="362"/>
      <c r="S164" s="364">
        <f>L164-Q164</f>
        <v>43047.267999999967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239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  <c r="BC164" s="532"/>
    </row>
    <row r="165" spans="1:55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239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  <c r="BC165" s="532"/>
    </row>
    <row r="166" spans="1:55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7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  <c r="BC166" s="532"/>
    </row>
    <row r="167" spans="1:55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7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  <c r="BC167" s="532"/>
    </row>
    <row r="168" spans="1:55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8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  <c r="BC168" s="532"/>
    </row>
    <row r="169" spans="1:55" ht="15.75" customHeight="1" thickTop="1">
      <c r="B169" s="24"/>
      <c r="C169" s="280"/>
      <c r="D169" s="1105" t="s">
        <v>77</v>
      </c>
      <c r="E169" s="1106"/>
      <c r="F169" s="1107"/>
      <c r="G169" s="1108" t="s">
        <v>145</v>
      </c>
      <c r="H169" s="1106"/>
      <c r="I169" s="1107"/>
      <c r="J169" s="1108" t="s">
        <v>79</v>
      </c>
      <c r="K169" s="1106"/>
      <c r="L169" s="1107"/>
      <c r="M169" s="1108" t="s">
        <v>80</v>
      </c>
      <c r="N169" s="1107"/>
      <c r="O169" s="1105" t="s">
        <v>81</v>
      </c>
      <c r="P169" s="1106"/>
      <c r="Q169" s="1107"/>
      <c r="R169" s="1108" t="s">
        <v>82</v>
      </c>
      <c r="S169" s="1109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7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  <c r="BC169" s="532"/>
    </row>
    <row r="170" spans="1:55" ht="15.75" customHeight="1">
      <c r="A170" s="600" t="str">
        <f t="shared" ref="A170:A227" si="109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239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  <c r="BC170" s="532"/>
    </row>
    <row r="171" spans="1:55" ht="15.75" customHeight="1">
      <c r="A171" s="600" t="str">
        <f t="shared" si="109"/>
        <v>ServiceM/O Client</v>
      </c>
      <c r="B171" s="24" t="s">
        <v>155</v>
      </c>
      <c r="C171" s="281" t="s">
        <v>159</v>
      </c>
      <c r="D171" s="195">
        <f>+INDEX('Budget original'!$A$2:$AO$496,MATCH($A171,'Budget original'!$A$2:$A$496,0),MATCH(D$2,'Budget original'!$A$2:$AO$2,0))</f>
        <v>309.1242508979725</v>
      </c>
      <c r="E171" s="214">
        <f>+INDEX('Budget original'!$A$2:$AO$496,MATCH($A171,'Budget original'!$A$2:$A$496,0),MATCH(E$2,'Budget original'!$A$2:$AO$2,0))</f>
        <v>75870.988065822879</v>
      </c>
      <c r="F171" s="214">
        <f>+INDEX('Budget original'!$A$2:$AO$496,MATCH($A171,'Budget original'!$A$2:$A$496,0),MATCH(F$2,'Budget original'!$A$2:$AO$2,0))</f>
        <v>56941.626710577031</v>
      </c>
      <c r="G171" s="365">
        <f>+INDEX('Budget révisé'!$A$2:$AO$496,MATCH($A171,'Budget révisé'!$A$2:$A$496,0),MATCH(G$2,'Budget révisé'!$A$2:$AO$2,0))</f>
        <v>309.1242508979725</v>
      </c>
      <c r="H171" s="214">
        <f>+INDEX('Budget révisé'!$A$2:$AO$496,MATCH($A171,'Budget révisé'!$A$2:$A$496,0),MATCH(H$2,'Budget révisé'!$A$2:$AO$2,0))</f>
        <v>75870.988065822879</v>
      </c>
      <c r="I171" s="214">
        <f>+INDEX('Budget révisé'!$A$2:$AO$496,MATCH($A171,'Budget révisé'!$A$2:$A$496,0),MATCH(I$2,'Budget révisé'!$A$2:$AO$2,0))</f>
        <v>56941.626710577031</v>
      </c>
      <c r="J171" s="342">
        <f>-SUMIFS(BV_Data_An_Cour!$O:$O,BV_Data_An_Cour!$U:$U,$B171,BV_Data_An_Cour!$V:$V,$C171,BV_Data_An_Cour!$W:$W,J$2)</f>
        <v>214</v>
      </c>
      <c r="K171" s="196">
        <f>-SUMIFS(BV_Data_An_Cour!$O:$O,BV_Data_An_Cour!$X:$X,"Oui",BV_Data_An_Cour!$U:$U,$B171,BV_Data_An_Cour!$V:$V,$C171)</f>
        <v>51348.31</v>
      </c>
      <c r="L171" s="197">
        <f>-SUMIFS(BV_Data_An_Cour!$O:$O,BV_Data_An_Cour!$U:$U,$B171,BV_Data_An_Cour!$V:$V,$C171,BV_Data_An_Cour!$W:$W,$L$2)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-SUMIFS(BV_Data_An_Prec!$O:$O,BV_Data_An_Prec!$U:$U,$B171,BV_Data_An_Prec!$V:$V,$C171,BV_Data_An_Prec!$W:$W,O$2)</f>
        <v>300</v>
      </c>
      <c r="P171" s="196">
        <f>-SUMIFS(BV_Data_An_Prec!$O:$O,BV_Data_An_Prec!$X:$X,"Oui",BV_Data_An_Prec!$U:$U,$B171,BV_Data_An_Prec!$V:$V,$C171)</f>
        <v>69640.87</v>
      </c>
      <c r="Q171" s="197">
        <f>-SUMIFS(BV_Data_An_Prec!$O:$O,BV_Data_An_Prec!$U:$U,$B171,BV_Data_An_Prec!$V:$V,$C171,BV_Data_An_Prec!$W:$W,$L$2)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239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  <c r="BC171" s="532"/>
    </row>
    <row r="172" spans="1:55" ht="15.75" customHeight="1">
      <c r="A172" s="600" t="str">
        <f t="shared" si="109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239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  <c r="BC172" s="532"/>
    </row>
    <row r="173" spans="1:55" ht="15.75" customHeight="1">
      <c r="A173" s="600" t="str">
        <f t="shared" si="109"/>
        <v>Service</v>
      </c>
      <c r="B173" s="24" t="s">
        <v>155</v>
      </c>
      <c r="C173" s="343"/>
      <c r="D173" s="325"/>
      <c r="E173" s="375">
        <f t="shared" ref="E173" si="110">IFERROR(E171/D171,0)</f>
        <v>245.43848580441642</v>
      </c>
      <c r="F173" s="376"/>
      <c r="G173" s="327"/>
      <c r="H173" s="375">
        <f t="shared" ref="H173" si="111">IFERROR(H171/G171,0)</f>
        <v>245.43848580441642</v>
      </c>
      <c r="I173" s="376"/>
      <c r="J173" s="356"/>
      <c r="K173" s="606">
        <f t="shared" ref="K173" si="112">IFERROR(K171/J171,0)</f>
        <v>239.9453738317757</v>
      </c>
      <c r="L173" s="376"/>
      <c r="M173" s="378"/>
      <c r="N173" s="328"/>
      <c r="O173" s="356"/>
      <c r="P173" s="606">
        <f t="shared" ref="P173" si="113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239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  <c r="BC173" s="532"/>
    </row>
    <row r="174" spans="1:55" ht="18" customHeight="1">
      <c r="A174" s="600" t="str">
        <f t="shared" si="109"/>
        <v>ServiceM/O Garantie</v>
      </c>
      <c r="B174" s="24" t="s">
        <v>155</v>
      </c>
      <c r="C174" s="368" t="s">
        <v>161</v>
      </c>
      <c r="D174" s="374">
        <f>+INDEX('Budget original'!$A$2:$AO$496,MATCH($A174,'Budget original'!$A$2:$A$496,0),MATCH(D$2,'Budget original'!$A$2:$AO$2,0))</f>
        <v>260.73056767022592</v>
      </c>
      <c r="E174" s="214">
        <f>+INDEX('Budget original'!$A$2:$AO$496,MATCH($A174,'Budget original'!$A$2:$A$496,0),MATCH(E$2,'Budget original'!$A$2:$AO$2,0))</f>
        <v>46079.956800909669</v>
      </c>
      <c r="F174" s="214">
        <f>+INDEX('Budget original'!$A$2:$AO$496,MATCH($A174,'Budget original'!$A$2:$A$496,0),MATCH(F$2,'Budget original'!$A$2:$AO$2,0))</f>
        <v>32171.38226530352</v>
      </c>
      <c r="G174" s="371">
        <f>+INDEX('Budget révisé'!$A$2:$AO$496,MATCH($A174,'Budget révisé'!$A$2:$A$496,0),MATCH(G$2,'Budget révisé'!$A$2:$AO$2,0))</f>
        <v>260.73056767022592</v>
      </c>
      <c r="H174" s="214">
        <f>+INDEX('Budget révisé'!$A$2:$AO$496,MATCH($A174,'Budget révisé'!$A$2:$A$496,0),MATCH(H$2,'Budget révisé'!$A$2:$AO$2,0))</f>
        <v>46079.956800909669</v>
      </c>
      <c r="I174" s="214">
        <f>+INDEX('Budget révisé'!$A$2:$AO$496,MATCH($A174,'Budget révisé'!$A$2:$A$496,0),MATCH(I$2,'Budget révisé'!$A$2:$AO$2,0))</f>
        <v>32171.38226530352</v>
      </c>
      <c r="J174" s="371">
        <f>-SUMIFS(BV_Data_An_Cour!$O:$O,BV_Data_An_Cour!$U:$U,$B174,BV_Data_An_Cour!$V:$V,$C174,BV_Data_An_Cour!$W:$W,J$2)</f>
        <v>294</v>
      </c>
      <c r="K174" s="203">
        <f>-SUMIFS(BV_Data_An_Cour!$O:$O,BV_Data_An_Cour!$X:$X,"Oui",BV_Data_An_Cour!$U:$U,$B174,BV_Data_An_Cour!$V:$V,$C174)</f>
        <v>68701.34</v>
      </c>
      <c r="L174" s="197">
        <f>-SUMIFS(BV_Data_An_Cour!$O:$O,BV_Data_An_Cour!$U:$U,$B174,BV_Data_An_Cour!$V:$V,$C174,BV_Data_An_Cour!$W:$W,$L$2)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-SUMIFS(BV_Data_An_Prec!$O:$O,BV_Data_An_Prec!$U:$U,$B174,BV_Data_An_Prec!$V:$V,$C174,BV_Data_An_Prec!$W:$W,O$2)</f>
        <v>294</v>
      </c>
      <c r="P174" s="203">
        <f>-SUMIFS(BV_Data_An_Prec!$O:$O,BV_Data_An_Prec!$X:$X,"Oui",BV_Data_An_Prec!$U:$U,$B174,BV_Data_An_Prec!$V:$V,$C174)</f>
        <v>54710.36</v>
      </c>
      <c r="Q174" s="197">
        <f>-SUMIFS(BV_Data_An_Prec!$O:$O,BV_Data_An_Prec!$U:$U,$B174,BV_Data_An_Prec!$V:$V,$C174,BV_Data_An_Prec!$W:$W,$L$2)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 t="s">
        <v>2898</v>
      </c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239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  <c r="BC174" s="532"/>
    </row>
    <row r="175" spans="1:55" ht="15.75" customHeight="1">
      <c r="A175" s="600" t="str">
        <f t="shared" si="109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239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  <c r="BC175" s="532"/>
    </row>
    <row r="176" spans="1:55" ht="15.75" customHeight="1">
      <c r="A176" s="600" t="str">
        <f t="shared" si="109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239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  <c r="BC176" s="532"/>
    </row>
    <row r="177" spans="1:55" ht="15.75" customHeight="1">
      <c r="A177" s="600" t="str">
        <f t="shared" si="109"/>
        <v>ServiceM/O Interne</v>
      </c>
      <c r="B177" s="24" t="s">
        <v>155</v>
      </c>
      <c r="C177" s="281" t="s">
        <v>162</v>
      </c>
      <c r="D177" s="195">
        <f>+INDEX('Budget original'!$A$2:$AO$496,MATCH($A177,'Budget original'!$A$2:$A$496,0),MATCH(D$2,'Budget original'!$A$2:$AO$2,0))</f>
        <v>200.69466402901355</v>
      </c>
      <c r="E177" s="214">
        <f>+INDEX('Budget original'!$A$2:$AO$496,MATCH($A177,'Budget original'!$A$2:$A$496,0),MATCH(E$2,'Budget original'!$A$2:$AO$2,0))</f>
        <v>47328.252104281775</v>
      </c>
      <c r="F177" s="214">
        <f>+INDEX('Budget original'!$A$2:$AO$496,MATCH($A177,'Budget original'!$A$2:$A$496,0),MATCH(F$2,'Budget original'!$A$2:$AO$2,0))</f>
        <v>34702.332573736632</v>
      </c>
      <c r="G177" s="320">
        <f>+INDEX('Budget révisé'!$A$2:$AO$496,MATCH($A177,'Budget révisé'!$A$2:$A$496,0),MATCH(G$2,'Budget révisé'!$A$2:$AO$2,0))</f>
        <v>200.69466402901355</v>
      </c>
      <c r="H177" s="214">
        <f>+INDEX('Budget révisé'!$A$2:$AO$496,MATCH($A177,'Budget révisé'!$A$2:$A$496,0),MATCH(H$2,'Budget révisé'!$A$2:$AO$2,0))</f>
        <v>47328.252104281775</v>
      </c>
      <c r="I177" s="214">
        <f>+INDEX('Budget révisé'!$A$2:$AO$496,MATCH($A177,'Budget révisé'!$A$2:$A$496,0),MATCH(I$2,'Budget révisé'!$A$2:$AO$2,0))</f>
        <v>34702.332573736632</v>
      </c>
      <c r="J177" s="342">
        <f>-SUMIFS(BV_Data_An_Cour!$O:$O,BV_Data_An_Cour!$U:$U,$B177,BV_Data_An_Cour!$V:$V,$C177,BV_Data_An_Cour!$W:$W,J$2)</f>
        <v>166</v>
      </c>
      <c r="K177" s="203">
        <f>-SUMIFS(BV_Data_An_Cour!$O:$O,BV_Data_An_Cour!$X:$X,"Oui",BV_Data_An_Cour!$U:$U,$B177,BV_Data_An_Cour!$V:$V,$C177)</f>
        <v>31066.5</v>
      </c>
      <c r="L177" s="197">
        <f>-SUMIFS(BV_Data_An_Cour!$O:$O,BV_Data_An_Cour!$U:$U,$B177,BV_Data_An_Cour!$V:$V,$C177,BV_Data_An_Cour!$W:$W,$L$2)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14">L177-I177</f>
        <v>-12246.492573736636</v>
      </c>
      <c r="O177" s="342">
        <f>-SUMIFS(BV_Data_An_Prec!$O:$O,BV_Data_An_Prec!$U:$U,$B177,BV_Data_An_Prec!$V:$V,$C177,BV_Data_An_Prec!$W:$W,O$2)</f>
        <v>226</v>
      </c>
      <c r="P177" s="203">
        <f>-SUMIFS(BV_Data_An_Prec!$O:$O,BV_Data_An_Prec!$X:$X,"Oui",BV_Data_An_Prec!$U:$U,$B177,BV_Data_An_Prec!$V:$V,$C177)</f>
        <v>38396.53</v>
      </c>
      <c r="Q177" s="197">
        <f>-SUMIFS(BV_Data_An_Prec!$O:$O,BV_Data_An_Prec!$U:$U,$B177,BV_Data_An_Prec!$V:$V,$C177,BV_Data_An_Prec!$W:$W,$L$2)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239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  <c r="BC177" s="532"/>
    </row>
    <row r="178" spans="1:55" ht="15.75" customHeight="1">
      <c r="A178" s="600" t="str">
        <f t="shared" si="109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14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239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  <c r="BC178" s="532"/>
    </row>
    <row r="179" spans="1:55" ht="15.75" customHeight="1">
      <c r="A179" s="600" t="str">
        <f t="shared" si="109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239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  <c r="BC179" s="532"/>
    </row>
    <row r="180" spans="1:55" ht="15.75" customHeight="1">
      <c r="A180" s="600" t="str">
        <f t="shared" si="109"/>
        <v>ServiceM/O Esthétique</v>
      </c>
      <c r="B180" s="24" t="s">
        <v>155</v>
      </c>
      <c r="C180" s="368" t="s">
        <v>163</v>
      </c>
      <c r="D180" s="369">
        <f>+INDEX('Budget original'!$A$2:$AO$496,MATCH($A180,'Budget original'!$A$2:$A$496,0),MATCH(D$2,'Budget original'!$A$2:$AO$2,0))</f>
        <v>0</v>
      </c>
      <c r="E180" s="214">
        <f>+INDEX('Budget original'!$A$2:$AO$496,MATCH($A180,'Budget original'!$A$2:$A$496,0),MATCH(E$2,'Budget original'!$A$2:$AO$2,0))</f>
        <v>270.33034111310593</v>
      </c>
      <c r="F180" s="214">
        <f>+INDEX('Budget original'!$A$2:$AO$496,MATCH($A180,'Budget original'!$A$2:$A$496,0),MATCH(F$2,'Budget original'!$A$2:$AO$2,0))</f>
        <v>200.04445242369837</v>
      </c>
      <c r="G180" s="385">
        <f>+INDEX('Budget révisé'!$A$2:$AO$496,MATCH($A180,'Budget révisé'!$A$2:$A$496,0),MATCH(G$2,'Budget révisé'!$A$2:$AO$2,0))</f>
        <v>0</v>
      </c>
      <c r="H180" s="214">
        <f>+INDEX('Budget révisé'!$A$2:$AO$496,MATCH($A180,'Budget révisé'!$A$2:$A$496,0),MATCH(H$2,'Budget révisé'!$A$2:$AO$2,0))</f>
        <v>270.33034111310593</v>
      </c>
      <c r="I180" s="214">
        <f>+INDEX('Budget révisé'!$A$2:$AO$496,MATCH($A180,'Budget révisé'!$A$2:$A$496,0),MATCH(I$2,'Budget révisé'!$A$2:$AO$2,0))</f>
        <v>200.04445242369837</v>
      </c>
      <c r="J180" s="371">
        <f>-SUMIFS(BV_Data_An_Cour!$O:$O,BV_Data_An_Cour!$U:$U,$B180,BV_Data_An_Cour!$V:$V,$C180,BV_Data_An_Cour!$W:$W,J$2)</f>
        <v>0</v>
      </c>
      <c r="K180" s="203">
        <f>-SUMIFS(BV_Data_An_Cour!$O:$O,BV_Data_An_Cour!$X:$X,"Oui",BV_Data_An_Cour!$U:$U,$B180,BV_Data_An_Cour!$V:$V,$C180)</f>
        <v>0</v>
      </c>
      <c r="L180" s="198">
        <f>-SUMIFS(BV_Data_An_Cour!$O:$O,BV_Data_An_Cour!$U:$U,$B180,BV_Data_An_Cour!$V:$V,$C180,BV_Data_An_Cour!$W:$W,$L$2)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-SUMIFS(BV_Data_An_Prec!$O:$O,BV_Data_An_Prec!$U:$U,$B180,BV_Data_An_Prec!$V:$V,$C180,BV_Data_An_Prec!$W:$W,O$2)</f>
        <v>0</v>
      </c>
      <c r="P180" s="203">
        <f>-SUMIFS(BV_Data_An_Prec!$O:$O,BV_Data_An_Prec!$X:$X,"Oui",BV_Data_An_Prec!$U:$U,$B180,BV_Data_An_Prec!$V:$V,$C180)</f>
        <v>0</v>
      </c>
      <c r="Q180" s="198">
        <f>-SUMIFS(BV_Data_An_Prec!$O:$O,BV_Data_An_Prec!$U:$U,$B180,BV_Data_An_Prec!$V:$V,$C180,BV_Data_An_Prec!$W:$W,$L$2)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239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  <c r="BC180" s="532"/>
    </row>
    <row r="181" spans="1:55" ht="15.75" customHeight="1">
      <c r="A181" s="600" t="str">
        <f t="shared" si="109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239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  <c r="BC181" s="532"/>
    </row>
    <row r="182" spans="1:55" ht="15.75" customHeight="1">
      <c r="A182" s="600" t="str">
        <f t="shared" si="109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239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  <c r="BC182" s="532"/>
    </row>
    <row r="183" spans="1:55" ht="26.25" customHeight="1" thickBot="1">
      <c r="A183" s="600" t="str">
        <f t="shared" si="109"/>
        <v>ServiceAjustement M/O</v>
      </c>
      <c r="B183" s="24" t="s">
        <v>155</v>
      </c>
      <c r="C183" s="281" t="s">
        <v>164</v>
      </c>
      <c r="D183" s="195"/>
      <c r="E183" s="195"/>
      <c r="F183" s="321">
        <f>+INDEX('Budget original'!$A$2:$AO$496,MATCH($A183,'Budget original'!$A$2:$A$496,0),MATCH(F$2,'Budget original'!$A$2:$AO$2,0))</f>
        <v>-2959.7191851556272</v>
      </c>
      <c r="G183" s="320"/>
      <c r="H183" s="214"/>
      <c r="I183" s="214">
        <f>+INDEX('Budget révisé'!$A$2:$AO$496,MATCH($A183,'Budget révisé'!$A$2:$A$496,0),MATCH(I$2,'Budget révisé'!$A$2:$AO$2,0))</f>
        <v>-2959.7191851556272</v>
      </c>
      <c r="J183" s="342"/>
      <c r="K183" s="214"/>
      <c r="L183" s="214">
        <f>-SUMIFS(BV_Data_An_Cour!$O:$O,BV_Data_An_Cour!$U:$U,$B183,BV_Data_An_Cour!$V:$V,$C183,BV_Data_An_Cour!$W:$W,$L$2)</f>
        <v>-868.59</v>
      </c>
      <c r="M183" s="388"/>
      <c r="N183" s="321">
        <f t="shared" ref="N183:N184" si="115">L183-I183</f>
        <v>2091.1291851556271</v>
      </c>
      <c r="O183" s="342"/>
      <c r="P183" s="214"/>
      <c r="Q183" s="197">
        <f>-SUMIFS(BV_Data_An_Prec!$O:$O,BV_Data_An_Prec!$U:$U,$B183,BV_Data_An_Prec!$V:$V,$C183,BV_Data_An_Prec!$W:$W,$L$2)</f>
        <v>-3920.28</v>
      </c>
      <c r="R183" s="226"/>
      <c r="S183" s="216">
        <f t="shared" ref="S183:S184" si="116">L183-Q183</f>
        <v>3051.69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239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  <c r="BC183" s="532"/>
    </row>
    <row r="184" spans="1:55" ht="15.75" customHeight="1" thickTop="1">
      <c r="A184" s="600" t="str">
        <f t="shared" si="109"/>
        <v>ServiceSous-total M/O</v>
      </c>
      <c r="B184" s="24" t="s">
        <v>155</v>
      </c>
      <c r="C184" s="397" t="s">
        <v>165</v>
      </c>
      <c r="D184" s="58"/>
      <c r="E184" s="58">
        <f t="shared" ref="E184:F184" si="117">E171+E174+E177+E180+E183</f>
        <v>169549.52731212744</v>
      </c>
      <c r="F184" s="59">
        <f t="shared" si="117"/>
        <v>121055.66681688525</v>
      </c>
      <c r="G184" s="60"/>
      <c r="H184" s="58">
        <f t="shared" ref="H184:I184" si="118">H171+H174+H177+H180+H183</f>
        <v>169549.52731212744</v>
      </c>
      <c r="I184" s="59">
        <f t="shared" si="118"/>
        <v>121055.66681688525</v>
      </c>
      <c r="J184" s="60">
        <f t="shared" ref="J184:L184" si="119">J171+J174+J177+J180+J183</f>
        <v>674</v>
      </c>
      <c r="K184" s="58">
        <f t="shared" si="119"/>
        <v>151116.15</v>
      </c>
      <c r="L184" s="59">
        <f t="shared" si="119"/>
        <v>106975.38999999998</v>
      </c>
      <c r="M184" s="61">
        <f>(K184-H184)/H184</f>
        <v>-0.10871972104170503</v>
      </c>
      <c r="N184" s="59">
        <f t="shared" si="115"/>
        <v>-14080.276816885264</v>
      </c>
      <c r="O184" s="60">
        <f t="shared" ref="O184:Q184" si="120">O171+O174+O177+O180+O183</f>
        <v>820</v>
      </c>
      <c r="P184" s="58">
        <f t="shared" si="120"/>
        <v>162747.76</v>
      </c>
      <c r="Q184" s="59">
        <f t="shared" si="120"/>
        <v>113878.90999999999</v>
      </c>
      <c r="R184" s="398">
        <f>IF(O184=0,0,J184/O184)</f>
        <v>0.82195121951219507</v>
      </c>
      <c r="S184" s="399">
        <f t="shared" si="116"/>
        <v>-6903.5200000000041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239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  <c r="BC184" s="532"/>
    </row>
    <row r="185" spans="1:55" ht="15.75" customHeight="1">
      <c r="A185" s="600" t="str">
        <f t="shared" si="109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0.7079017695990798</v>
      </c>
      <c r="M185" s="64"/>
      <c r="N185" s="63">
        <f>N184/I184</f>
        <v>-0.11631241384332534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-8398.9412462908058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239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  <c r="BC185" s="532"/>
    </row>
    <row r="186" spans="1:55" ht="15.75" customHeight="1">
      <c r="A186" s="600" t="str">
        <f t="shared" si="109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239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  <c r="BC186" s="532"/>
    </row>
    <row r="187" spans="1:55" ht="15.75" customHeight="1">
      <c r="A187" s="600" t="str">
        <f t="shared" si="109"/>
        <v>ServiceSous-traitement</v>
      </c>
      <c r="B187" s="24" t="s">
        <v>155</v>
      </c>
      <c r="C187" s="308" t="s">
        <v>167</v>
      </c>
      <c r="D187" s="245"/>
      <c r="E187" s="245">
        <f>+INDEX('Budget original'!$A$2:$AO$496,MATCH($A187,'Budget original'!$A$2:$A$496,0),MATCH(E$2,'Budget original'!$A$2:$AO$2,0))</f>
        <v>19187.075768751314</v>
      </c>
      <c r="F187" s="245">
        <f>+INDEX('Budget original'!$A$2:$AO$496,MATCH($A187,'Budget original'!$A$2:$A$496,0),MATCH(F$2,'Budget original'!$A$2:$AO$2,0))</f>
        <v>4604.8981845003154</v>
      </c>
      <c r="G187" s="247"/>
      <c r="H187" s="245">
        <f>+INDEX('Budget révisé'!$A$2:$AO$496,MATCH($A187,'Budget révisé'!$A$2:$A$496,0),MATCH(H$2,'Budget révisé'!$A$2:$AO$2,0))</f>
        <v>19187.075768751314</v>
      </c>
      <c r="I187" s="245">
        <f>+INDEX('Budget révisé'!$A$2:$AO$496,MATCH($A187,'Budget révisé'!$A$2:$A$496,0),MATCH(I$2,'Budget révisé'!$A$2:$AO$2,0))</f>
        <v>4604.8981845003154</v>
      </c>
      <c r="J187" s="247"/>
      <c r="K187" s="248">
        <f>-SUMIFS(BV_Data_An_Cour!$O:$O,BV_Data_An_Cour!$X:$X,"Oui",BV_Data_An_Cour!$U:$U,$B187,BV_Data_An_Cour!$V:$V,$C187)</f>
        <v>7855.2</v>
      </c>
      <c r="L187" s="298">
        <f>-SUMIFS(BV_Data_An_Cour!$O:$O,BV_Data_An_Cour!$U:$U,$B187,BV_Data_An_Cour!$V:$V,$C187,BV_Data_An_Cour!$W:$W,$L$2)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-SUMIFS(BV_Data_An_Prec!$O:$O,BV_Data_An_Prec!$X:$X,"Oui",BV_Data_An_Prec!$U:$U,$B187,BV_Data_An_Prec!$V:$V,$C187)</f>
        <v>26864.41</v>
      </c>
      <c r="Q187" s="298">
        <f>-SUMIFS(BV_Data_An_Prec!$O:$O,BV_Data_An_Prec!$U:$U,$B187,BV_Data_An_Prec!$V:$V,$C187,BV_Data_An_Prec!$W:$W,$L$2)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239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  <c r="BC187" s="532"/>
    </row>
    <row r="188" spans="1:55" ht="15.75" customHeight="1">
      <c r="A188" s="600" t="str">
        <f t="shared" si="109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239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  <c r="BC188" s="532"/>
    </row>
    <row r="189" spans="1:55" ht="15.75" customHeight="1">
      <c r="A189" s="600" t="str">
        <f t="shared" si="109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239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  <c r="BC189" s="532"/>
    </row>
    <row r="190" spans="1:55" ht="15.75" customHeight="1">
      <c r="A190" s="600" t="str">
        <f t="shared" si="109"/>
        <v>ServiceM.O. Recond. MCPA</v>
      </c>
      <c r="B190" s="24" t="s">
        <v>155</v>
      </c>
      <c r="C190" s="308" t="s">
        <v>168</v>
      </c>
      <c r="D190" s="250"/>
      <c r="E190" s="245">
        <f>+INDEX('Budget original'!$A$2:$AO$496,MATCH($A190,'Budget original'!$A$2:$A$496,0),MATCH(E$2,'Budget original'!$A$2:$AO$2,0))</f>
        <v>0</v>
      </c>
      <c r="F190" s="245">
        <f>+INDEX('Budget original'!$A$2:$AO$496,MATCH($A190,'Budget original'!$A$2:$A$496,0),MATCH(F$2,'Budget original'!$A$2:$AO$2,0))</f>
        <v>0</v>
      </c>
      <c r="G190" s="244"/>
      <c r="H190" s="245">
        <f>+INDEX('Budget révisé'!$A$2:$AO$496,MATCH($A190,'Budget révisé'!$A$2:$A$496,0),MATCH(H$2,'Budget révisé'!$A$2:$AO$2,0))</f>
        <v>0</v>
      </c>
      <c r="I190" s="245">
        <f>+INDEX('Budget révisé'!$A$2:$AO$496,MATCH($A190,'Budget révisé'!$A$2:$A$496,0),MATCH(I$2,'Budget révisé'!$A$2:$AO$2,0))</f>
        <v>0</v>
      </c>
      <c r="J190" s="253"/>
      <c r="K190" s="248">
        <f>-SUMIFS(BV_Data_An_Cour!$O:$O,BV_Data_An_Cour!$X:$X,"Oui",BV_Data_An_Cour!$U:$U,$B190,BV_Data_An_Cour!$V:$V,$C190)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-SUMIFS(BV_Data_An_Prec!$O:$O,BV_Data_An_Prec!$X:$X,"Oui",BV_Data_An_Prec!$U:$U,$B190,BV_Data_An_Prec!$V:$V,$C190)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239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  <c r="BC190" s="532"/>
    </row>
    <row r="191" spans="1:55" ht="15.75" customHeight="1">
      <c r="A191" s="600" t="str">
        <f t="shared" si="109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239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  <c r="BC191" s="532"/>
    </row>
    <row r="192" spans="1:55" ht="15.75" customHeight="1" thickBot="1">
      <c r="A192" s="600" t="str">
        <f t="shared" si="109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239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  <c r="BC192" s="532"/>
    </row>
    <row r="193" spans="1:55" ht="15.75" customHeight="1" thickTop="1">
      <c r="A193" s="600" t="str">
        <f t="shared" si="109"/>
        <v>ServiceTotal Mécanique</v>
      </c>
      <c r="B193" s="24" t="s">
        <v>155</v>
      </c>
      <c r="C193" s="286" t="s">
        <v>169</v>
      </c>
      <c r="D193" s="26"/>
      <c r="E193" s="26">
        <f t="shared" ref="E193:F193" si="121">E184+E187+E190</f>
        <v>188736.60308087876</v>
      </c>
      <c r="F193" s="28">
        <f t="shared" si="121"/>
        <v>125660.56500138556</v>
      </c>
      <c r="G193" s="29"/>
      <c r="H193" s="26">
        <f t="shared" ref="H193:I193" si="122">H184+H187+H190</f>
        <v>188736.60308087876</v>
      </c>
      <c r="I193" s="28">
        <f t="shared" si="122"/>
        <v>125660.56500138556</v>
      </c>
      <c r="J193" s="29"/>
      <c r="K193" s="26">
        <f>K184+K187+K190</f>
        <v>158971.35</v>
      </c>
      <c r="L193" s="28">
        <f t="shared" ref="L193" si="123">L184+L187+L190</f>
        <v>108076.13999999998</v>
      </c>
      <c r="M193" s="70">
        <f>L194-I194</f>
        <v>1.4048057434551953E-2</v>
      </c>
      <c r="N193" s="28">
        <f>L193-I193</f>
        <v>-17584.425001385578</v>
      </c>
      <c r="O193" s="29"/>
      <c r="P193" s="26">
        <f>P184+P187+P190</f>
        <v>189612.17</v>
      </c>
      <c r="Q193" s="28">
        <f t="shared" ref="Q193" si="124">Q184+Q187+Q190</f>
        <v>121152.04</v>
      </c>
      <c r="R193" s="70">
        <f>L194-Q194</f>
        <v>4.0900111420570928E-2</v>
      </c>
      <c r="S193" s="380">
        <f>L193-Q193</f>
        <v>-13075.900000000009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239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  <c r="BC193" s="532"/>
    </row>
    <row r="194" spans="1:55" ht="15.75" customHeight="1" thickBot="1">
      <c r="A194" s="600" t="str">
        <f t="shared" si="109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0.67984665161363966</v>
      </c>
      <c r="M194" s="33"/>
      <c r="N194" s="34">
        <f>N193/I193</f>
        <v>-0.13993590591600227</v>
      </c>
      <c r="O194" s="31"/>
      <c r="P194" s="382"/>
      <c r="Q194" s="34">
        <f>Q193/P193</f>
        <v>0.63894654019306873</v>
      </c>
      <c r="R194" s="33"/>
      <c r="S194" s="289">
        <f>L193/S193</f>
        <v>-8.2652926376004636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239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  <c r="BC194" s="532"/>
    </row>
    <row r="195" spans="1:55" ht="15.75" customHeight="1" thickTop="1">
      <c r="A195" s="600" t="str">
        <f t="shared" si="109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239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  <c r="BC195" s="532"/>
    </row>
    <row r="196" spans="1:55" ht="15.75" customHeight="1">
      <c r="A196" s="600" t="str">
        <f t="shared" si="109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239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  <c r="BC196" s="532"/>
    </row>
    <row r="197" spans="1:55" ht="15.75" customHeight="1">
      <c r="A197" s="600" t="str">
        <f t="shared" si="109"/>
        <v>ServiceSalaires cadres</v>
      </c>
      <c r="B197" s="24" t="s">
        <v>155</v>
      </c>
      <c r="C197" s="322" t="s">
        <v>112</v>
      </c>
      <c r="D197" s="195"/>
      <c r="E197" s="195"/>
      <c r="F197" s="196">
        <f>+INDEX('Budget original'!$A$2:$AO$496,MATCH($A197,'Budget original'!$A$2:$A$496,0),MATCH(F$2,'Budget original'!$A$2:$AO$2,0))</f>
        <v>12044.250946206896</v>
      </c>
      <c r="G197" s="320"/>
      <c r="H197" s="195"/>
      <c r="I197" s="196">
        <f>+INDEX('Budget révisé'!$A$2:$AO$496,MATCH($A197,'Budget révisé'!$A$2:$A$496,0),MATCH(I$2,'Budget révisé'!$A$2:$AO$2,0))</f>
        <v>12044.250946206896</v>
      </c>
      <c r="J197" s="320"/>
      <c r="K197" s="195"/>
      <c r="L197" s="197">
        <f>SUMIFS(BV_Data_An_Cour!$O:$O,BV_Data_An_Cour!$U:$U,$B197,BV_Data_An_Cour!$V:$V,$C197,BV_Data_An_Cour!$W:$W,$L$2)</f>
        <v>12230.15</v>
      </c>
      <c r="M197" s="320"/>
      <c r="N197" s="321">
        <f t="shared" ref="N197:N208" si="125">L197-I197</f>
        <v>185.89905379310403</v>
      </c>
      <c r="O197" s="320"/>
      <c r="P197" s="195"/>
      <c r="Q197" s="197">
        <f>SUMIFS(BV_Data_An_Prec!$O:$O,BV_Data_An_Prec!$U:$U,$B197,BV_Data_An_Prec!$V:$V,$C197,BV_Data_An_Prec!$W:$W,$L$2)</f>
        <v>14495.87</v>
      </c>
      <c r="R197" s="320"/>
      <c r="S197" s="416">
        <f>L197-Q197</f>
        <v>-2265.7200000000012</v>
      </c>
      <c r="T197" s="250"/>
      <c r="U197" s="250"/>
      <c r="V197" s="250" t="s">
        <v>2886</v>
      </c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50"/>
      <c r="AK197" s="239"/>
      <c r="AL197" s="239"/>
      <c r="AM197" s="239"/>
      <c r="AN197" s="250"/>
      <c r="AO197" s="250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  <c r="BC197" s="532"/>
    </row>
    <row r="198" spans="1:55" ht="15.75" customHeight="1">
      <c r="A198" s="600" t="str">
        <f t="shared" si="109"/>
        <v>ServiceSalaires commis</v>
      </c>
      <c r="B198" s="24" t="s">
        <v>155</v>
      </c>
      <c r="C198" s="323" t="s">
        <v>113</v>
      </c>
      <c r="D198" s="318"/>
      <c r="E198" s="195"/>
      <c r="F198" s="194">
        <f>+INDEX('Budget original'!$A$2:$AO$496,MATCH($A198,'Budget original'!$A$2:$A$496,0),MATCH(F$2,'Budget original'!$A$2:$AO$2,0))</f>
        <v>8746.0360371034476</v>
      </c>
      <c r="G198" s="319"/>
      <c r="H198" s="195"/>
      <c r="I198" s="194">
        <f>+INDEX('Budget révisé'!$A$2:$AO$496,MATCH($A198,'Budget révisé'!$A$2:$A$496,0),MATCH(I$2,'Budget révisé'!$A$2:$AO$2,0))</f>
        <v>8746.0360371034476</v>
      </c>
      <c r="J198" s="320"/>
      <c r="K198" s="195"/>
      <c r="L198" s="197">
        <f>SUMIFS(BV_Data_An_Cour!$O:$O,BV_Data_An_Cour!$U:$U,$B198,BV_Data_An_Cour!$V:$V,$C198,BV_Data_An_Cour!$W:$W,$L$2)</f>
        <v>8211.75</v>
      </c>
      <c r="M198" s="320"/>
      <c r="N198" s="321">
        <f t="shared" si="125"/>
        <v>-534.2860371034476</v>
      </c>
      <c r="O198" s="320"/>
      <c r="P198" s="195"/>
      <c r="Q198" s="197">
        <f>SUMIFS(BV_Data_An_Prec!$O:$O,BV_Data_An_Prec!$U:$U,$B198,BV_Data_An_Prec!$V:$V,$C198,BV_Data_An_Prec!$W:$W,$L$2)</f>
        <v>7646.95</v>
      </c>
      <c r="R198" s="320"/>
      <c r="S198" s="216">
        <f t="shared" ref="S198:S227" si="126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239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  <c r="BC198" s="532"/>
    </row>
    <row r="199" spans="1:55" ht="15.75" customHeight="1">
      <c r="A199" s="600" t="str">
        <f t="shared" si="109"/>
        <v>ServiceSalaires autres</v>
      </c>
      <c r="B199" s="24" t="s">
        <v>155</v>
      </c>
      <c r="C199" s="322" t="s">
        <v>114</v>
      </c>
      <c r="D199" s="409"/>
      <c r="E199" s="369"/>
      <c r="F199" s="196">
        <f>+INDEX('Budget original'!$A$2:$AO$496,MATCH($A199,'Budget original'!$A$2:$A$496,0),MATCH(F$2,'Budget original'!$A$2:$AO$2,0))</f>
        <v>11814.360328496552</v>
      </c>
      <c r="G199" s="410"/>
      <c r="H199" s="369"/>
      <c r="I199" s="196">
        <f>+INDEX('Budget révisé'!$A$2:$AO$496,MATCH($A199,'Budget révisé'!$A$2:$A$496,0),MATCH(I$2,'Budget révisé'!$A$2:$AO$2,0))</f>
        <v>11814.360328496552</v>
      </c>
      <c r="J199" s="385"/>
      <c r="K199" s="369"/>
      <c r="L199" s="198">
        <f>SUMIFS(BV_Data_An_Cour!$O:$O,BV_Data_An_Cour!$U:$U,$B199,BV_Data_An_Cour!$V:$V,$C199,BV_Data_An_Cour!$W:$W,$L$2)</f>
        <v>14193.45</v>
      </c>
      <c r="M199" s="385"/>
      <c r="N199" s="373">
        <f t="shared" si="125"/>
        <v>2379.0896715034487</v>
      </c>
      <c r="O199" s="385"/>
      <c r="P199" s="369"/>
      <c r="Q199" s="198">
        <f>SUMIFS(BV_Data_An_Prec!$O:$O,BV_Data_An_Prec!$U:$U,$B199,BV_Data_An_Prec!$V:$V,$C199,BV_Data_An_Prec!$W:$W,$L$2)</f>
        <v>11116.14</v>
      </c>
      <c r="R199" s="385"/>
      <c r="S199" s="218">
        <f t="shared" si="126"/>
        <v>3077.3100000000013</v>
      </c>
      <c r="T199" s="239"/>
      <c r="U199" s="239"/>
      <c r="V199" s="239" t="s">
        <v>2889</v>
      </c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239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  <c r="BC199" s="532"/>
    </row>
    <row r="200" spans="1:55" ht="15.75" customHeight="1">
      <c r="A200" s="600" t="str">
        <f t="shared" si="109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+INDEX('Budget original'!$A$2:$AO$496,MATCH($A200,'Budget original'!$A$2:$A$496,0),MATCH(F$2,'Budget original'!$A$2:$AO$2,0))</f>
        <v>30510.931475862068</v>
      </c>
      <c r="G200" s="319"/>
      <c r="H200" s="195"/>
      <c r="I200" s="196">
        <f>+INDEX('Budget révisé'!$A$2:$AO$496,MATCH($A200,'Budget révisé'!$A$2:$A$496,0),MATCH(I$2,'Budget révisé'!$A$2:$AO$2,0))</f>
        <v>30510.931475862068</v>
      </c>
      <c r="J200" s="320"/>
      <c r="K200" s="195"/>
      <c r="L200" s="197">
        <f>SUMIFS(BV_Data_An_Cour!$O:$O,BV_Data_An_Cour!$U:$U,$B200,BV_Data_An_Cour!$V:$V,$C200,BV_Data_An_Cour!$W:$W,$L$2)</f>
        <v>21182.68</v>
      </c>
      <c r="M200" s="320"/>
      <c r="N200" s="321">
        <f t="shared" si="125"/>
        <v>-9328.2514758620673</v>
      </c>
      <c r="O200" s="320"/>
      <c r="P200" s="195"/>
      <c r="Q200" s="197">
        <f>SUMIFS(BV_Data_An_Prec!$O:$O,BV_Data_An_Prec!$U:$U,$B200,BV_Data_An_Prec!$V:$V,$C200,BV_Data_An_Prec!$W:$W,$L$2)</f>
        <v>20897.27</v>
      </c>
      <c r="R200" s="320"/>
      <c r="S200" s="216">
        <f t="shared" si="126"/>
        <v>285.40999999999985</v>
      </c>
      <c r="T200" s="239"/>
      <c r="U200" s="239"/>
      <c r="V200" s="239">
        <v>-1.5</v>
      </c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  <c r="BC200" s="532"/>
    </row>
    <row r="201" spans="1:55" ht="15.75" customHeight="1">
      <c r="A201" s="600" t="str">
        <f t="shared" si="109"/>
        <v>Service[...]</v>
      </c>
      <c r="B201" s="24" t="s">
        <v>155</v>
      </c>
      <c r="C201" s="281" t="s">
        <v>42</v>
      </c>
      <c r="D201" s="318"/>
      <c r="E201" s="195"/>
      <c r="F201" s="196">
        <f>+INDEX('Budget original'!$A$2:$AO$496,MATCH($A201,'Budget original'!$A$2:$A$496,0),MATCH(F$2,'Budget original'!$A$2:$AO$2,0))</f>
        <v>0</v>
      </c>
      <c r="G201" s="319"/>
      <c r="H201" s="195"/>
      <c r="I201" s="196">
        <f>+INDEX('Budget révisé'!$A$2:$AO$496,MATCH($A201,'Budget révisé'!$A$2:$A$496,0),MATCH(I$2,'Budget révisé'!$A$2:$AO$2,0))</f>
        <v>0</v>
      </c>
      <c r="J201" s="320"/>
      <c r="K201" s="195"/>
      <c r="L201" s="197">
        <f>SUMIFS(BV_Data_An_Cour!$O:$O,BV_Data_An_Cour!$U:$U,$B201,BV_Data_An_Cour!$V:$V,$C201,BV_Data_An_Cour!$W:$W,$L$2)</f>
        <v>0</v>
      </c>
      <c r="M201" s="320"/>
      <c r="N201" s="321">
        <f t="shared" si="125"/>
        <v>0</v>
      </c>
      <c r="O201" s="320"/>
      <c r="P201" s="195"/>
      <c r="Q201" s="197">
        <f>SUMIFS(BV_Data_An_Prec!$O:$O,BV_Data_An_Prec!$U:$U,$B201,BV_Data_An_Prec!$V:$V,$C201,BV_Data_An_Prec!$W:$W,$L$2)</f>
        <v>0</v>
      </c>
      <c r="R201" s="320"/>
      <c r="S201" s="216">
        <f t="shared" si="126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239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  <c r="BC201" s="532"/>
    </row>
    <row r="202" spans="1:55" ht="15.75" customHeight="1">
      <c r="A202" s="600" t="str">
        <f t="shared" si="109"/>
        <v>Service[...]</v>
      </c>
      <c r="B202" s="24" t="s">
        <v>155</v>
      </c>
      <c r="C202" s="281" t="s">
        <v>42</v>
      </c>
      <c r="D202" s="318"/>
      <c r="E202" s="195"/>
      <c r="F202" s="196">
        <f>+INDEX('Budget original'!$A$2:$AO$496,MATCH($A202,'Budget original'!$A$2:$A$496,0),MATCH(F$2,'Budget original'!$A$2:$AO$2,0))</f>
        <v>0</v>
      </c>
      <c r="G202" s="319"/>
      <c r="H202" s="195"/>
      <c r="I202" s="196">
        <f>+INDEX('Budget révisé'!$A$2:$AO$496,MATCH($A202,'Budget révisé'!$A$2:$A$496,0),MATCH(I$2,'Budget révisé'!$A$2:$AO$2,0))</f>
        <v>0</v>
      </c>
      <c r="J202" s="320"/>
      <c r="K202" s="195"/>
      <c r="L202" s="197">
        <f>SUMIFS(BV_Data_An_Cour!$O:$O,BV_Data_An_Cour!$U:$U,$B202,BV_Data_An_Cour!$V:$V,$C202,BV_Data_An_Cour!$W:$W,$L$2)</f>
        <v>0</v>
      </c>
      <c r="M202" s="320"/>
      <c r="N202" s="321">
        <f t="shared" si="125"/>
        <v>0</v>
      </c>
      <c r="O202" s="320"/>
      <c r="P202" s="195"/>
      <c r="Q202" s="197">
        <f>SUMIFS(BV_Data_An_Prec!$O:$O,BV_Data_An_Prec!$U:$U,$B202,BV_Data_An_Prec!$V:$V,$C202,BV_Data_An_Prec!$W:$W,$L$2)</f>
        <v>0</v>
      </c>
      <c r="R202" s="320"/>
      <c r="S202" s="216">
        <f t="shared" si="126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239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  <c r="BC202" s="532"/>
    </row>
    <row r="203" spans="1:55" ht="15.75" customHeight="1">
      <c r="A203" s="600" t="str">
        <f t="shared" si="109"/>
        <v>Service[...]</v>
      </c>
      <c r="B203" s="24" t="s">
        <v>155</v>
      </c>
      <c r="C203" s="281" t="s">
        <v>42</v>
      </c>
      <c r="D203" s="318"/>
      <c r="E203" s="195"/>
      <c r="F203" s="196">
        <f>+INDEX('Budget original'!$A$2:$AO$496,MATCH($A203,'Budget original'!$A$2:$A$496,0),MATCH(F$2,'Budget original'!$A$2:$AO$2,0))</f>
        <v>0</v>
      </c>
      <c r="G203" s="319"/>
      <c r="H203" s="195"/>
      <c r="I203" s="196">
        <f>+INDEX('Budget révisé'!$A$2:$AO$496,MATCH($A203,'Budget révisé'!$A$2:$A$496,0),MATCH(I$2,'Budget révisé'!$A$2:$AO$2,0))</f>
        <v>0</v>
      </c>
      <c r="J203" s="320"/>
      <c r="K203" s="195"/>
      <c r="L203" s="197">
        <f>SUMIFS(BV_Data_An_Cour!$O:$O,BV_Data_An_Cour!$U:$U,$B203,BV_Data_An_Cour!$V:$V,$C203,BV_Data_An_Cour!$W:$W,$L$2)</f>
        <v>0</v>
      </c>
      <c r="M203" s="320"/>
      <c r="N203" s="321">
        <f t="shared" ref="N203:N204" si="127">L203-I203</f>
        <v>0</v>
      </c>
      <c r="O203" s="320"/>
      <c r="P203" s="195"/>
      <c r="Q203" s="197">
        <f>SUMIFS(BV_Data_An_Prec!$O:$O,BV_Data_An_Prec!$U:$U,$B203,BV_Data_An_Prec!$V:$V,$C203,BV_Data_An_Prec!$W:$W,$L$2)</f>
        <v>0</v>
      </c>
      <c r="R203" s="320"/>
      <c r="S203" s="216">
        <f t="shared" ref="S203:S204" si="128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239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  <c r="BC203" s="532"/>
    </row>
    <row r="204" spans="1:55" ht="15.75" customHeight="1">
      <c r="A204" s="600" t="str">
        <f t="shared" si="109"/>
        <v>ServiceSalaires en absences</v>
      </c>
      <c r="B204" s="24" t="s">
        <v>155</v>
      </c>
      <c r="C204" s="323" t="s">
        <v>116</v>
      </c>
      <c r="D204" s="318"/>
      <c r="E204" s="195"/>
      <c r="F204" s="196">
        <f>+INDEX('Budget original'!$A$2:$AO$496,MATCH($A204,'Budget original'!$A$2:$A$496,0),MATCH(F$2,'Budget original'!$A$2:$AO$2,0))</f>
        <v>16673.690254520276</v>
      </c>
      <c r="G204" s="319"/>
      <c r="H204" s="195"/>
      <c r="I204" s="196">
        <f>+INDEX('Budget révisé'!$A$2:$AO$496,MATCH($A204,'Budget révisé'!$A$2:$A$496,0),MATCH(I$2,'Budget révisé'!$A$2:$AO$2,0))</f>
        <v>16673.690254520276</v>
      </c>
      <c r="J204" s="320"/>
      <c r="K204" s="195"/>
      <c r="L204" s="197">
        <f>SUMIFS(BV_Data_An_Cour!$O:$O,BV_Data_An_Cour!$U:$U,$B204,BV_Data_An_Cour!$V:$V,$C204,BV_Data_An_Cour!$W:$W,$L$2)</f>
        <v>9419.06</v>
      </c>
      <c r="M204" s="320"/>
      <c r="N204" s="321">
        <f t="shared" si="127"/>
        <v>-7254.6302545202761</v>
      </c>
      <c r="O204" s="320"/>
      <c r="P204" s="195"/>
      <c r="Q204" s="197">
        <f>SUMIFS(BV_Data_An_Prec!$O:$O,BV_Data_An_Prec!$U:$U,$B204,BV_Data_An_Prec!$V:$V,$C204,BV_Data_An_Prec!$W:$W,$L$2)</f>
        <v>12514.58</v>
      </c>
      <c r="R204" s="320"/>
      <c r="S204" s="216">
        <f t="shared" si="128"/>
        <v>-3095.5200000000004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239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  <c r="BC204" s="532"/>
    </row>
    <row r="205" spans="1:55" ht="15.75" customHeight="1">
      <c r="A205" s="600" t="str">
        <f t="shared" si="109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+INDEX('Budget original'!$A$2:$AO$496,MATCH($A205,'Budget original'!$A$2:$A$496,0),MATCH(F$2,'Budget original'!$A$2:$AO$2,0))</f>
        <v>16673.690254520276</v>
      </c>
      <c r="G205" s="410"/>
      <c r="H205" s="369"/>
      <c r="I205" s="446">
        <f>+INDEX('Budget révisé'!$A$2:$AO$496,MATCH($A205,'Budget révisé'!$A$2:$A$496,0),MATCH(I$2,'Budget révisé'!$A$2:$AO$2,0))</f>
        <v>16673.690254520276</v>
      </c>
      <c r="J205" s="385"/>
      <c r="K205" s="369"/>
      <c r="L205" s="198">
        <f>SUMIFS(BV_Data_An_Cour!$O:$O,BV_Data_An_Cour!$U:$U,$B205,BV_Data_An_Cour!$V:$V,$C205,BV_Data_An_Cour!$W:$W,$L$2)</f>
        <v>13265.27</v>
      </c>
      <c r="M205" s="385"/>
      <c r="N205" s="373">
        <f t="shared" si="125"/>
        <v>-3408.4202545202752</v>
      </c>
      <c r="O205" s="385"/>
      <c r="P205" s="369"/>
      <c r="Q205" s="198">
        <f>SUMIFS(BV_Data_An_Prec!$O:$O,BV_Data_An_Prec!$U:$U,$B205,BV_Data_An_Prec!$V:$V,$C205,BV_Data_An_Prec!$W:$W,$L$2)</f>
        <v>10453.51</v>
      </c>
      <c r="R205" s="385"/>
      <c r="S205" s="218">
        <f t="shared" si="126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239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  <c r="BC205" s="532"/>
    </row>
    <row r="206" spans="1:55" ht="15.75" customHeight="1">
      <c r="A206" s="600" t="str">
        <f t="shared" si="109"/>
        <v>ServiceBénéfices marginaux</v>
      </c>
      <c r="B206" s="24" t="s">
        <v>155</v>
      </c>
      <c r="C206" s="297" t="s">
        <v>118</v>
      </c>
      <c r="D206" s="318"/>
      <c r="E206" s="195"/>
      <c r="F206" s="196">
        <f>+INDEX('Budget original'!$A$2:$AO$496,MATCH($A206,'Budget original'!$A$2:$A$496,0),MATCH(F$2,'Budget original'!$A$2:$AO$2,0))</f>
        <v>11949.478015739529</v>
      </c>
      <c r="G206" s="319"/>
      <c r="H206" s="195"/>
      <c r="I206" s="196">
        <f>+INDEX('Budget révisé'!$A$2:$AO$496,MATCH($A206,'Budget révisé'!$A$2:$A$496,0),MATCH(I$2,'Budget révisé'!$A$2:$AO$2,0))</f>
        <v>11949.478015739529</v>
      </c>
      <c r="J206" s="320"/>
      <c r="K206" s="195"/>
      <c r="L206" s="197">
        <f>SUMIFS(BV_Data_An_Cour!$O:$O,BV_Data_An_Cour!$U:$U,$B206,BV_Data_An_Cour!$V:$V,$C206,BV_Data_An_Cour!$W:$W,$L$2)</f>
        <v>4597.8499999999995</v>
      </c>
      <c r="M206" s="320"/>
      <c r="N206" s="321">
        <f t="shared" si="125"/>
        <v>-7351.6280157395295</v>
      </c>
      <c r="O206" s="320"/>
      <c r="P206" s="195"/>
      <c r="Q206" s="197">
        <f>SUMIFS(BV_Data_An_Prec!$O:$O,BV_Data_An_Prec!$U:$U,$B206,BV_Data_An_Prec!$V:$V,$C206,BV_Data_An_Prec!$W:$W,$L$2)</f>
        <v>7642.54</v>
      </c>
      <c r="R206" s="320"/>
      <c r="S206" s="216">
        <f t="shared" si="126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239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  <c r="BC206" s="532"/>
    </row>
    <row r="207" spans="1:55" ht="15.75" customHeight="1">
      <c r="A207" s="600" t="str">
        <f t="shared" si="109"/>
        <v>ServiceCsst</v>
      </c>
      <c r="B207" s="24" t="s">
        <v>155</v>
      </c>
      <c r="C207" s="297" t="s">
        <v>119</v>
      </c>
      <c r="D207" s="318"/>
      <c r="E207" s="195"/>
      <c r="F207" s="196">
        <f>+INDEX('Budget original'!$A$2:$AO$496,MATCH($A207,'Budget original'!$A$2:$A$496,0),MATCH(F$2,'Budget original'!$A$2:$AO$2,0))</f>
        <v>2778.948375753379</v>
      </c>
      <c r="G207" s="319"/>
      <c r="H207" s="195"/>
      <c r="I207" s="196">
        <f>+INDEX('Budget révisé'!$A$2:$AO$496,MATCH($A207,'Budget révisé'!$A$2:$A$496,0),MATCH(I$2,'Budget révisé'!$A$2:$AO$2,0))</f>
        <v>2778.948375753379</v>
      </c>
      <c r="J207" s="320"/>
      <c r="K207" s="195"/>
      <c r="L207" s="197">
        <f>SUMIFS(BV_Data_An_Cour!$O:$O,BV_Data_An_Cour!$U:$U,$B207,BV_Data_An_Cour!$V:$V,$C207,BV_Data_An_Cour!$W:$W,$L$2)</f>
        <v>0</v>
      </c>
      <c r="M207" s="320"/>
      <c r="N207" s="321">
        <f t="shared" si="125"/>
        <v>-2778.948375753379</v>
      </c>
      <c r="O207" s="320"/>
      <c r="P207" s="195"/>
      <c r="Q207" s="197">
        <f>SUMIFS(BV_Data_An_Prec!$O:$O,BV_Data_An_Prec!$U:$U,$B207,BV_Data_An_Prec!$V:$V,$C207,BV_Data_An_Prec!$W:$W,$L$2)</f>
        <v>2836.55</v>
      </c>
      <c r="R207" s="320"/>
      <c r="S207" s="216">
        <f t="shared" si="126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239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  <c r="BC207" s="532"/>
    </row>
    <row r="208" spans="1:55" ht="15.75" customHeight="1">
      <c r="A208" s="600" t="str">
        <f t="shared" si="109"/>
        <v>Service[...]</v>
      </c>
      <c r="B208" s="24" t="s">
        <v>155</v>
      </c>
      <c r="C208" s="308" t="s">
        <v>42</v>
      </c>
      <c r="D208" s="324"/>
      <c r="E208" s="325"/>
      <c r="F208" s="196">
        <f>+INDEX('Budget original'!$A$2:$AO$496,MATCH($A208,'Budget original'!$A$2:$A$496,0),MATCH(F$2,'Budget original'!$A$2:$AO$2,0))</f>
        <v>0</v>
      </c>
      <c r="G208" s="326"/>
      <c r="H208" s="325"/>
      <c r="I208" s="196">
        <f>+INDEX('Budget révisé'!$A$2:$AO$496,MATCH($A208,'Budget révisé'!$A$2:$A$496,0),MATCH(I$2,'Budget révisé'!$A$2:$AO$2,0))</f>
        <v>0</v>
      </c>
      <c r="J208" s="327"/>
      <c r="K208" s="325"/>
      <c r="L208" s="197">
        <f>SUMIFS(BV_Data_An_Cour!$O:$O,BV_Data_An_Cour!$U:$U,$B208,BV_Data_An_Cour!$V:$V,$C208,BV_Data_An_Cour!$W:$W,$L$2)</f>
        <v>0</v>
      </c>
      <c r="M208" s="327"/>
      <c r="N208" s="328">
        <f t="shared" si="125"/>
        <v>0</v>
      </c>
      <c r="O208" s="327"/>
      <c r="P208" s="325"/>
      <c r="Q208" s="197">
        <f>SUMIFS(BV_Data_An_Prec!$O:$O,BV_Data_An_Prec!$U:$U,$B208,BV_Data_An_Prec!$V:$V,$C208,BV_Data_An_Prec!$W:$W,$L$2)</f>
        <v>0</v>
      </c>
      <c r="R208" s="327"/>
      <c r="S208" s="219">
        <f t="shared" si="126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239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  <c r="BC208" s="532"/>
    </row>
    <row r="209" spans="1:55" ht="15.75" customHeight="1">
      <c r="A209" s="600" t="str">
        <f t="shared" si="109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0.76890431134938775</v>
      </c>
      <c r="L209" s="41">
        <f>+SUM(L197:L208)</f>
        <v>83100.210000000006</v>
      </c>
      <c r="M209" s="43"/>
      <c r="N209" s="46">
        <f t="shared" ref="N209:N227" si="129">L209-I209</f>
        <v>-28091.175688202406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26"/>
        <v>-4503.1999999999825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239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  <c r="BC209" s="532"/>
    </row>
    <row r="210" spans="1:55" ht="15.75" customHeight="1">
      <c r="A210" s="600" t="str">
        <f t="shared" si="109"/>
        <v>ServicePublicité 2</v>
      </c>
      <c r="B210" s="24" t="s">
        <v>155</v>
      </c>
      <c r="C210" s="568" t="s">
        <v>121</v>
      </c>
      <c r="D210" s="318"/>
      <c r="E210" s="195"/>
      <c r="F210" s="196">
        <f>+INDEX('Budget original'!$A$2:$AO$496,MATCH($A210,'Budget original'!$A$2:$A$496,0),MATCH(F$2,'Budget original'!$A$2:$AO$2,0))</f>
        <v>7073.1916666666666</v>
      </c>
      <c r="G210" s="319"/>
      <c r="H210" s="195"/>
      <c r="I210" s="196">
        <f>+INDEX('Budget révisé'!$A$2:$AO$496,MATCH($A210,'Budget révisé'!$A$2:$A$496,0),MATCH(I$2,'Budget révisé'!$A$2:$AO$2,0))</f>
        <v>7073.1916666666666</v>
      </c>
      <c r="J210" s="320"/>
      <c r="K210" s="195"/>
      <c r="L210" s="197">
        <f>SUMIFS(BV_Data_An_Cour!$O:$O,BV_Data_An_Cour!$U:$U,$B210,BV_Data_An_Cour!$V:$V,$C210,BV_Data_An_Cour!$W:$W,$L$2)</f>
        <v>5848.16</v>
      </c>
      <c r="M210" s="320"/>
      <c r="N210" s="321">
        <f t="shared" si="129"/>
        <v>-1225.0316666666668</v>
      </c>
      <c r="O210" s="320"/>
      <c r="P210" s="195"/>
      <c r="Q210" s="197">
        <f>SUMIFS(BV_Data_An_Prec!$O:$O,BV_Data_An_Prec!$U:$U,$B210,BV_Data_An_Prec!$V:$V,$C210,BV_Data_An_Prec!$W:$W,$L$2)</f>
        <v>11306.3</v>
      </c>
      <c r="R210" s="320"/>
      <c r="S210" s="216">
        <f t="shared" si="126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239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  <c r="BC210" s="532"/>
    </row>
    <row r="211" spans="1:55" ht="15.75" customHeight="1">
      <c r="A211" s="600" t="str">
        <f t="shared" si="109"/>
        <v>ServiceService gratuit 2</v>
      </c>
      <c r="B211" s="24" t="s">
        <v>155</v>
      </c>
      <c r="C211" s="281" t="s">
        <v>122</v>
      </c>
      <c r="D211" s="318"/>
      <c r="E211" s="195"/>
      <c r="F211" s="196">
        <f>+INDEX('Budget original'!$A$2:$AO$496,MATCH($A211,'Budget original'!$A$2:$A$496,0),MATCH(F$2,'Budget original'!$A$2:$AO$2,0))</f>
        <v>1758.9169876094636</v>
      </c>
      <c r="G211" s="319"/>
      <c r="H211" s="195"/>
      <c r="I211" s="196">
        <f>+INDEX('Budget révisé'!$A$2:$AO$496,MATCH($A211,'Budget révisé'!$A$2:$A$496,0),MATCH(I$2,'Budget révisé'!$A$2:$AO$2,0))</f>
        <v>1758.9169876094636</v>
      </c>
      <c r="J211" s="320"/>
      <c r="K211" s="195"/>
      <c r="L211" s="1085">
        <f>SUMIFS(BV_Data_An_Cour!$O:$O,BV_Data_An_Cour!$U:$U,$B211,BV_Data_An_Cour!$V:$V,$C211,BV_Data_An_Cour!$W:$W,$L$2)</f>
        <v>166.99</v>
      </c>
      <c r="M211" s="320"/>
      <c r="N211" s="321">
        <f t="shared" si="129"/>
        <v>-1591.9269876094636</v>
      </c>
      <c r="O211" s="320"/>
      <c r="P211" s="195"/>
      <c r="Q211" s="197">
        <f>SUMIFS(BV_Data_An_Prec!$O:$O,BV_Data_An_Prec!$U:$U,$B211,BV_Data_An_Prec!$V:$V,$C211,BV_Data_An_Prec!$W:$W,$L$2)</f>
        <v>1109.1399999999999</v>
      </c>
      <c r="R211" s="320"/>
      <c r="S211" s="216">
        <f t="shared" si="126"/>
        <v>-942.14999999999986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239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  <c r="BC211" s="532"/>
    </row>
    <row r="212" spans="1:55" ht="15.75" customHeight="1">
      <c r="A212" s="600" t="str">
        <f t="shared" si="109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+INDEX('Budget original'!$A$2:$AO$496,MATCH($A212,'Budget original'!$A$2:$A$496,0),MATCH(F$2,'Budget original'!$A$2:$AO$2,0))</f>
        <v>16764.080000000002</v>
      </c>
      <c r="G212" s="326"/>
      <c r="H212" s="325"/>
      <c r="I212" s="194">
        <f>+INDEX('Budget révisé'!$A$2:$AO$496,MATCH($A212,'Budget révisé'!$A$2:$A$496,0),MATCH(I$2,'Budget révisé'!$A$2:$AO$2,0))</f>
        <v>16764.080000000002</v>
      </c>
      <c r="J212" s="327"/>
      <c r="K212" s="325"/>
      <c r="L212" s="197">
        <f>SUMIFS(BV_Data_An_Cour!$O:$O,BV_Data_An_Cour!$U:$U,$B212,BV_Data_An_Cour!$V:$V,$C212,BV_Data_An_Cour!$W:$W,$L$2)</f>
        <v>12067.73</v>
      </c>
      <c r="M212" s="327"/>
      <c r="N212" s="328">
        <f t="shared" si="129"/>
        <v>-4696.3500000000022</v>
      </c>
      <c r="O212" s="327"/>
      <c r="P212" s="325"/>
      <c r="Q212" s="197">
        <f>SUMIFS(BV_Data_An_Prec!$O:$O,BV_Data_An_Prec!$U:$U,$B212,BV_Data_An_Prec!$V:$V,$C212,BV_Data_An_Prec!$W:$W,$L$2)</f>
        <v>11357.03</v>
      </c>
      <c r="R212" s="327"/>
      <c r="S212" s="219">
        <f t="shared" si="126"/>
        <v>710.69999999999891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239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  <c r="BC212" s="532"/>
    </row>
    <row r="213" spans="1:55" ht="15.75" customHeight="1">
      <c r="A213" s="600" t="str">
        <f t="shared" si="109"/>
        <v>ServiceInformatique</v>
      </c>
      <c r="B213" s="24" t="s">
        <v>155</v>
      </c>
      <c r="C213" s="281" t="s">
        <v>124</v>
      </c>
      <c r="D213" s="318"/>
      <c r="E213" s="195"/>
      <c r="F213" s="196">
        <f>+INDEX('Budget original'!$A$2:$AO$496,MATCH($A213,'Budget original'!$A$2:$A$496,0),MATCH(F$2,'Budget original'!$A$2:$AO$2,0))</f>
        <v>4425.5472</v>
      </c>
      <c r="G213" s="319"/>
      <c r="H213" s="195"/>
      <c r="I213" s="196">
        <f>+INDEX('Budget révisé'!$A$2:$AO$496,MATCH($A213,'Budget révisé'!$A$2:$A$496,0),MATCH(I$2,'Budget révisé'!$A$2:$AO$2,0))</f>
        <v>4425.5472</v>
      </c>
      <c r="J213" s="320"/>
      <c r="K213" s="195"/>
      <c r="L213" s="198">
        <f>SUMIFS(BV_Data_An_Cour!$O:$O,BV_Data_An_Cour!$U:$U,$B213,BV_Data_An_Cour!$V:$V,$C213,BV_Data_An_Cour!$W:$W,$L$2)</f>
        <v>3947.31</v>
      </c>
      <c r="M213" s="320"/>
      <c r="N213" s="321">
        <f t="shared" si="129"/>
        <v>-478.23720000000003</v>
      </c>
      <c r="O213" s="320"/>
      <c r="P213" s="195"/>
      <c r="Q213" s="198">
        <f>SUMIFS(BV_Data_An_Prec!$O:$O,BV_Data_An_Prec!$U:$U,$B213,BV_Data_An_Prec!$V:$V,$C213,BV_Data_An_Prec!$W:$W,$L$2)</f>
        <v>3548.54</v>
      </c>
      <c r="R213" s="320"/>
      <c r="S213" s="216">
        <f t="shared" si="126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239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  <c r="BC213" s="532"/>
    </row>
    <row r="214" spans="1:55" ht="15.75" customHeight="1">
      <c r="A214" s="600" t="str">
        <f t="shared" si="109"/>
        <v>ServiceFrais de déplacement</v>
      </c>
      <c r="B214" s="24" t="s">
        <v>155</v>
      </c>
      <c r="C214" s="281" t="s">
        <v>125</v>
      </c>
      <c r="D214" s="318"/>
      <c r="E214" s="195"/>
      <c r="F214" s="196">
        <f>+INDEX('Budget original'!$A$2:$AO$496,MATCH($A214,'Budget original'!$A$2:$A$496,0),MATCH(F$2,'Budget original'!$A$2:$AO$2,0))</f>
        <v>1197.3725999999999</v>
      </c>
      <c r="G214" s="319"/>
      <c r="H214" s="195"/>
      <c r="I214" s="196">
        <f>+INDEX('Budget révisé'!$A$2:$AO$496,MATCH($A214,'Budget révisé'!$A$2:$A$496,0),MATCH(I$2,'Budget révisé'!$A$2:$AO$2,0))</f>
        <v>1197.3725999999999</v>
      </c>
      <c r="J214" s="320"/>
      <c r="K214" s="195"/>
      <c r="L214" s="197">
        <f>SUMIFS(BV_Data_An_Cour!$O:$O,BV_Data_An_Cour!$U:$U,$B214,BV_Data_An_Cour!$V:$V,$C214,BV_Data_An_Cour!$W:$W,$L$2)</f>
        <v>46.51</v>
      </c>
      <c r="M214" s="320"/>
      <c r="N214" s="321">
        <f t="shared" si="129"/>
        <v>-1150.8625999999999</v>
      </c>
      <c r="O214" s="320"/>
      <c r="P214" s="195"/>
      <c r="Q214" s="197">
        <f>SUMIFS(BV_Data_An_Prec!$O:$O,BV_Data_An_Prec!$U:$U,$B214,BV_Data_An_Prec!$V:$V,$C214,BV_Data_An_Prec!$W:$W,$L$2)</f>
        <v>1458.48</v>
      </c>
      <c r="R214" s="320"/>
      <c r="S214" s="216">
        <f t="shared" si="126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239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  <c r="BC214" s="532"/>
    </row>
    <row r="215" spans="1:55" ht="15.75" customHeight="1">
      <c r="A215" s="600" t="str">
        <f t="shared" si="109"/>
        <v>ServiceServices extérieurs</v>
      </c>
      <c r="B215" s="24" t="s">
        <v>155</v>
      </c>
      <c r="C215" s="343" t="s">
        <v>126</v>
      </c>
      <c r="D215" s="324"/>
      <c r="E215" s="325"/>
      <c r="F215" s="194">
        <f>+INDEX('Budget original'!$A$2:$AO$496,MATCH($A215,'Budget original'!$A$2:$A$496,0),MATCH(F$2,'Budget original'!$A$2:$AO$2,0))</f>
        <v>3513.5209999999993</v>
      </c>
      <c r="G215" s="326"/>
      <c r="H215" s="325"/>
      <c r="I215" s="194">
        <f>+INDEX('Budget révisé'!$A$2:$AO$496,MATCH($A215,'Budget révisé'!$A$2:$A$496,0),MATCH(I$2,'Budget révisé'!$A$2:$AO$2,0))</f>
        <v>3513.5209999999993</v>
      </c>
      <c r="J215" s="327"/>
      <c r="K215" s="325"/>
      <c r="L215" s="197">
        <f>SUMIFS(BV_Data_An_Cour!$O:$O,BV_Data_An_Cour!$U:$U,$B215,BV_Data_An_Cour!$V:$V,$C215,BV_Data_An_Cour!$W:$W,$L$2)</f>
        <v>1597.88</v>
      </c>
      <c r="M215" s="327"/>
      <c r="N215" s="328">
        <f t="shared" si="129"/>
        <v>-1915.6409999999992</v>
      </c>
      <c r="O215" s="327"/>
      <c r="P215" s="325"/>
      <c r="Q215" s="197">
        <f>SUMIFS(BV_Data_An_Prec!$O:$O,BV_Data_An_Prec!$U:$U,$B215,BV_Data_An_Prec!$V:$V,$C215,BV_Data_An_Prec!$W:$W,$L$2)</f>
        <v>9767.6</v>
      </c>
      <c r="R215" s="327"/>
      <c r="S215" s="219">
        <f t="shared" si="126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239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  <c r="BC215" s="532"/>
    </row>
    <row r="216" spans="1:55" s="600" customFormat="1" ht="15.75" customHeight="1">
      <c r="A216" s="600" t="str">
        <f t="shared" ref="A216" si="130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SUMIFS(BV_Data_An_Cour!$O:$O,BV_Data_An_Cour!$U:$U,$B216,BV_Data_An_Cour!$V:$V,$C216,BV_Data_An_Cour!$W:$W,$L$2)</f>
        <v>0</v>
      </c>
      <c r="M216" s="320"/>
      <c r="N216" s="321">
        <f t="shared" ref="N216" si="131">L216-I216</f>
        <v>0</v>
      </c>
      <c r="O216" s="320"/>
      <c r="P216" s="195"/>
      <c r="Q216" s="198">
        <f>SUMIFS(BV_Data_An_Prec!$O:$O,BV_Data_An_Prec!$U:$U,$B216,BV_Data_An_Prec!$V:$V,$C216,BV_Data_An_Prec!$W:$W,$L$2)</f>
        <v>0</v>
      </c>
      <c r="R216" s="320"/>
      <c r="S216" s="216">
        <f t="shared" ref="S216" si="132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239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  <c r="BC216" s="532"/>
    </row>
    <row r="217" spans="1:55" ht="15.75" customHeight="1">
      <c r="A217" s="600" t="str">
        <f t="shared" si="109"/>
        <v>ServiceFournitures autres</v>
      </c>
      <c r="B217" s="24" t="s">
        <v>155</v>
      </c>
      <c r="C217" s="281" t="s">
        <v>127</v>
      </c>
      <c r="D217" s="318"/>
      <c r="E217" s="195"/>
      <c r="F217" s="196">
        <f>+INDEX('Budget original'!$A$2:$AO$496,MATCH($A217,'Budget original'!$A$2:$A$496,0),MATCH(F$2,'Budget original'!$A$2:$AO$2,0))</f>
        <v>546</v>
      </c>
      <c r="G217" s="319"/>
      <c r="H217" s="195"/>
      <c r="I217" s="196">
        <f>+INDEX('Budget révisé'!$A$2:$AO$496,MATCH($A217,'Budget révisé'!$A$2:$A$496,0),MATCH(I$2,'Budget révisé'!$A$2:$AO$2,0))</f>
        <v>546</v>
      </c>
      <c r="J217" s="320"/>
      <c r="K217" s="195"/>
      <c r="L217" s="197">
        <f>SUMIFS(BV_Data_An_Cour!$O:$O,BV_Data_An_Cour!$U:$U,$B217,BV_Data_An_Cour!$V:$V,$C217,BV_Data_An_Cour!$W:$W,$L$2)</f>
        <v>2168.02</v>
      </c>
      <c r="M217" s="320"/>
      <c r="N217" s="321">
        <f t="shared" si="129"/>
        <v>1622.02</v>
      </c>
      <c r="O217" s="320"/>
      <c r="P217" s="195"/>
      <c r="Q217" s="197">
        <f>SUMIFS(BV_Data_An_Prec!$O:$O,BV_Data_An_Prec!$U:$U,$B217,BV_Data_An_Prec!$V:$V,$C217,BV_Data_An_Prec!$W:$W,$L$2)</f>
        <v>420</v>
      </c>
      <c r="R217" s="320"/>
      <c r="S217" s="216">
        <f t="shared" si="126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239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  <c r="BC217" s="532"/>
    </row>
    <row r="218" spans="1:55" ht="15.75" customHeight="1">
      <c r="A218" s="600" t="str">
        <f t="shared" si="109"/>
        <v>ServiceUniformes</v>
      </c>
      <c r="B218" s="24" t="s">
        <v>155</v>
      </c>
      <c r="C218" s="281" t="s">
        <v>128</v>
      </c>
      <c r="D218" s="318"/>
      <c r="E218" s="195"/>
      <c r="F218" s="196">
        <f>+INDEX('Budget original'!$A$2:$AO$496,MATCH($A218,'Budget original'!$A$2:$A$496,0),MATCH(F$2,'Budget original'!$A$2:$AO$2,0))</f>
        <v>1300</v>
      </c>
      <c r="G218" s="319"/>
      <c r="H218" s="195"/>
      <c r="I218" s="196">
        <f>+INDEX('Budget révisé'!$A$2:$AO$496,MATCH($A218,'Budget révisé'!$A$2:$A$496,0),MATCH(I$2,'Budget révisé'!$A$2:$AO$2,0))</f>
        <v>1300</v>
      </c>
      <c r="J218" s="320"/>
      <c r="K218" s="195"/>
      <c r="L218" s="197">
        <f>SUMIFS(BV_Data_An_Cour!$O:$O,BV_Data_An_Cour!$U:$U,$B218,BV_Data_An_Cour!$V:$V,$C218,BV_Data_An_Cour!$W:$W,$L$2)</f>
        <v>509.73</v>
      </c>
      <c r="M218" s="320"/>
      <c r="N218" s="321">
        <f t="shared" si="129"/>
        <v>-790.27</v>
      </c>
      <c r="O218" s="320"/>
      <c r="P218" s="195"/>
      <c r="Q218" s="197">
        <f>SUMIFS(BV_Data_An_Prec!$O:$O,BV_Data_An_Prec!$U:$U,$B218,BV_Data_An_Prec!$V:$V,$C218,BV_Data_An_Prec!$W:$W,$L$2)</f>
        <v>1300</v>
      </c>
      <c r="R218" s="320"/>
      <c r="S218" s="216">
        <f t="shared" si="126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239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  <c r="BC218" s="532"/>
    </row>
    <row r="219" spans="1:55" ht="15.75" customHeight="1">
      <c r="A219" s="600" t="str">
        <f t="shared" si="109"/>
        <v>ServicePapeterie</v>
      </c>
      <c r="B219" s="24" t="s">
        <v>155</v>
      </c>
      <c r="C219" s="281" t="s">
        <v>129</v>
      </c>
      <c r="D219" s="318"/>
      <c r="E219" s="195"/>
      <c r="F219" s="196">
        <f>+INDEX('Budget original'!$A$2:$AO$496,MATCH($A219,'Budget original'!$A$2:$A$496,0),MATCH(F$2,'Budget original'!$A$2:$AO$2,0))</f>
        <v>523.19999999999993</v>
      </c>
      <c r="G219" s="319"/>
      <c r="H219" s="195"/>
      <c r="I219" s="196">
        <f>+INDEX('Budget révisé'!$A$2:$AO$496,MATCH($A219,'Budget révisé'!$A$2:$A$496,0),MATCH(I$2,'Budget révisé'!$A$2:$AO$2,0))</f>
        <v>523.19999999999993</v>
      </c>
      <c r="J219" s="320"/>
      <c r="K219" s="195"/>
      <c r="L219" s="572">
        <f>SUMIFS(BV_Data_An_Cour!$O:$O,BV_Data_An_Cour!$U:$U,$B219,BV_Data_An_Cour!$V:$V,$C219,BV_Data_An_Cour!$W:$W,$L$2)</f>
        <v>186.65</v>
      </c>
      <c r="M219" s="320"/>
      <c r="N219" s="321">
        <f t="shared" si="129"/>
        <v>-336.54999999999995</v>
      </c>
      <c r="O219" s="320"/>
      <c r="P219" s="195"/>
      <c r="Q219" s="572">
        <f>SUMIFS(BV_Data_An_Prec!$O:$O,BV_Data_An_Prec!$U:$U,$B219,BV_Data_An_Prec!$V:$V,$C219,BV_Data_An_Prec!$W:$W,$L$2)</f>
        <v>444</v>
      </c>
      <c r="R219" s="320"/>
      <c r="S219" s="216">
        <f t="shared" si="126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239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  <c r="BC219" s="532"/>
    </row>
    <row r="220" spans="1:55" ht="15.75" customHeight="1">
      <c r="A220" s="600" t="str">
        <f t="shared" si="109"/>
        <v>ServiceTéléphone</v>
      </c>
      <c r="B220" s="24" t="s">
        <v>155</v>
      </c>
      <c r="C220" s="281" t="s">
        <v>130</v>
      </c>
      <c r="D220" s="318"/>
      <c r="E220" s="195"/>
      <c r="F220" s="196">
        <f>+INDEX('Budget original'!$A$2:$AO$496,MATCH($A220,'Budget original'!$A$2:$A$496,0),MATCH(F$2,'Budget original'!$A$2:$AO$2,0))</f>
        <v>461.18399999999997</v>
      </c>
      <c r="G220" s="319"/>
      <c r="H220" s="195"/>
      <c r="I220" s="196">
        <f>+INDEX('Budget révisé'!$A$2:$AO$496,MATCH($A220,'Budget révisé'!$A$2:$A$496,0),MATCH(I$2,'Budget révisé'!$A$2:$AO$2,0))</f>
        <v>461.18399999999997</v>
      </c>
      <c r="J220" s="320"/>
      <c r="K220" s="195"/>
      <c r="L220" s="298">
        <f>SUMIFS(BV_Data_An_Cour!$O:$O,BV_Data_An_Cour!$U:$U,$B220,BV_Data_An_Cour!$V:$V,$C220,BV_Data_An_Cour!$W:$W,$L$2)</f>
        <v>404.01</v>
      </c>
      <c r="M220" s="320"/>
      <c r="N220" s="321">
        <f t="shared" si="129"/>
        <v>-57.173999999999978</v>
      </c>
      <c r="O220" s="320"/>
      <c r="P220" s="195"/>
      <c r="Q220" s="197">
        <f>SUMIFS(BV_Data_An_Prec!$O:$O,BV_Data_An_Prec!$U:$U,$B220,BV_Data_An_Prec!$V:$V,$C220,BV_Data_An_Prec!$W:$W,$L$2)</f>
        <v>566.02</v>
      </c>
      <c r="R220" s="320"/>
      <c r="S220" s="216">
        <f t="shared" si="126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239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  <c r="BC220" s="532"/>
    </row>
    <row r="221" spans="1:55" ht="15.75" customHeight="1">
      <c r="A221" s="600" t="str">
        <f t="shared" si="109"/>
        <v>ServiceFrais postaux</v>
      </c>
      <c r="B221" s="24" t="s">
        <v>155</v>
      </c>
      <c r="C221" s="281" t="s">
        <v>131</v>
      </c>
      <c r="D221" s="318"/>
      <c r="E221" s="195"/>
      <c r="F221" s="196">
        <f>+INDEX('Budget original'!$A$2:$AO$496,MATCH($A221,'Budget original'!$A$2:$A$496,0),MATCH(F$2,'Budget original'!$A$2:$AO$2,0))</f>
        <v>207.6</v>
      </c>
      <c r="G221" s="319"/>
      <c r="H221" s="195"/>
      <c r="I221" s="196">
        <f>+INDEX('Budget révisé'!$A$2:$AO$496,MATCH($A221,'Budget révisé'!$A$2:$A$496,0),MATCH(I$2,'Budget révisé'!$A$2:$AO$2,0))</f>
        <v>207.6</v>
      </c>
      <c r="J221" s="320"/>
      <c r="K221" s="195"/>
      <c r="L221" s="298">
        <f>SUMIFS(BV_Data_An_Cour!$O:$O,BV_Data_An_Cour!$U:$U,$B221,BV_Data_An_Cour!$V:$V,$C221,BV_Data_An_Cour!$W:$W,$L$2)</f>
        <v>48.91</v>
      </c>
      <c r="M221" s="320"/>
      <c r="N221" s="321">
        <f t="shared" si="129"/>
        <v>-158.69</v>
      </c>
      <c r="O221" s="320"/>
      <c r="P221" s="195"/>
      <c r="Q221" s="197">
        <f>SUMIFS(BV_Data_An_Prec!$O:$O,BV_Data_An_Prec!$U:$U,$B221,BV_Data_An_Prec!$V:$V,$C221,BV_Data_An_Prec!$W:$W,$L$2)</f>
        <v>157.51</v>
      </c>
      <c r="R221" s="320"/>
      <c r="S221" s="216">
        <f t="shared" si="126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239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  <c r="BC221" s="532"/>
    </row>
    <row r="222" spans="1:55" ht="15.75" customHeight="1">
      <c r="A222" s="600" t="str">
        <f t="shared" si="109"/>
        <v>ServiceDivers</v>
      </c>
      <c r="B222" s="24" t="s">
        <v>155</v>
      </c>
      <c r="C222" s="281" t="s">
        <v>132</v>
      </c>
      <c r="D222" s="318"/>
      <c r="E222" s="195"/>
      <c r="F222" s="196">
        <f>+INDEX('Budget original'!$A$2:$AO$496,MATCH($A222,'Budget original'!$A$2:$A$496,0),MATCH(F$2,'Budget original'!$A$2:$AO$2,0))</f>
        <v>961.83999999999992</v>
      </c>
      <c r="G222" s="319"/>
      <c r="H222" s="195"/>
      <c r="I222" s="196">
        <f>+INDEX('Budget révisé'!$A$2:$AO$496,MATCH($A222,'Budget révisé'!$A$2:$A$496,0),MATCH(I$2,'Budget révisé'!$A$2:$AO$2,0))</f>
        <v>961.83999999999992</v>
      </c>
      <c r="J222" s="320"/>
      <c r="K222" s="195"/>
      <c r="L222" s="298">
        <f>SUMIFS(BV_Data_An_Cour!$O:$O,BV_Data_An_Cour!$U:$U,$B222,BV_Data_An_Cour!$V:$V,$C222,BV_Data_An_Cour!$W:$W,$L$2)</f>
        <v>189.22</v>
      </c>
      <c r="M222" s="320"/>
      <c r="N222" s="321">
        <f t="shared" si="129"/>
        <v>-772.61999999999989</v>
      </c>
      <c r="O222" s="320"/>
      <c r="P222" s="195"/>
      <c r="Q222" s="197">
        <f>SUMIFS(BV_Data_An_Prec!$O:$O,BV_Data_An_Prec!$U:$U,$B222,BV_Data_An_Prec!$V:$V,$C222,BV_Data_An_Prec!$W:$W,$L$2)</f>
        <v>1278.96</v>
      </c>
      <c r="R222" s="320"/>
      <c r="S222" s="216">
        <f t="shared" si="126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239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  <c r="BC222" s="532"/>
    </row>
    <row r="223" spans="1:55" ht="15.75" customHeight="1">
      <c r="A223" s="600" t="str">
        <f t="shared" si="109"/>
        <v>ServiceFormation</v>
      </c>
      <c r="B223" s="24" t="s">
        <v>155</v>
      </c>
      <c r="C223" s="281" t="s">
        <v>133</v>
      </c>
      <c r="D223" s="318"/>
      <c r="E223" s="195"/>
      <c r="F223" s="196">
        <f>+INDEX('Budget original'!$A$2:$AO$496,MATCH($A223,'Budget original'!$A$2:$A$496,0),MATCH(F$2,'Budget original'!$A$2:$AO$2,0))</f>
        <v>1391.26</v>
      </c>
      <c r="G223" s="319"/>
      <c r="H223" s="195"/>
      <c r="I223" s="196">
        <f>+INDEX('Budget révisé'!$A$2:$AO$496,MATCH($A223,'Budget révisé'!$A$2:$A$496,0),MATCH(I$2,'Budget révisé'!$A$2:$AO$2,0))</f>
        <v>1391.26</v>
      </c>
      <c r="J223" s="320"/>
      <c r="K223" s="195"/>
      <c r="L223" s="298">
        <f>SUMIFS(BV_Data_An_Cour!$O:$O,BV_Data_An_Cour!$U:$U,$B223,BV_Data_An_Cour!$V:$V,$C223,BV_Data_An_Cour!$W:$W,$L$2)</f>
        <v>708.75</v>
      </c>
      <c r="M223" s="320"/>
      <c r="N223" s="321">
        <f t="shared" si="129"/>
        <v>-682.51</v>
      </c>
      <c r="O223" s="320"/>
      <c r="P223" s="195"/>
      <c r="Q223" s="197">
        <f>SUMIFS(BV_Data_An_Prec!$O:$O,BV_Data_An_Prec!$U:$U,$B223,BV_Data_An_Prec!$V:$V,$C223,BV_Data_An_Prec!$W:$W,$L$2)</f>
        <v>2786.67</v>
      </c>
      <c r="R223" s="320"/>
      <c r="S223" s="216">
        <f t="shared" si="126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  <c r="BC223" s="532"/>
    </row>
    <row r="224" spans="1:55" ht="15.75" customHeight="1">
      <c r="A224" s="600" t="str">
        <f t="shared" si="109"/>
        <v>ServiceFrais bancaires</v>
      </c>
      <c r="B224" s="24" t="s">
        <v>155</v>
      </c>
      <c r="C224" s="281" t="s">
        <v>134</v>
      </c>
      <c r="D224" s="318"/>
      <c r="E224" s="195"/>
      <c r="F224" s="196">
        <f>+INDEX('Budget original'!$A$2:$AO$496,MATCH($A224,'Budget original'!$A$2:$A$496,0),MATCH(F$2,'Budget original'!$A$2:$AO$2,0))</f>
        <v>1565.7553746442611</v>
      </c>
      <c r="G224" s="319"/>
      <c r="H224" s="195"/>
      <c r="I224" s="196">
        <f>+INDEX('Budget révisé'!$A$2:$AO$496,MATCH($A224,'Budget révisé'!$A$2:$A$496,0),MATCH(I$2,'Budget révisé'!$A$2:$AO$2,0))</f>
        <v>1565.7553746442611</v>
      </c>
      <c r="J224" s="320"/>
      <c r="K224" s="195"/>
      <c r="L224" s="298">
        <f>AG447*W5</f>
        <v>963.2745000000001</v>
      </c>
      <c r="M224" s="320"/>
      <c r="N224" s="321">
        <f t="shared" si="129"/>
        <v>-602.48087464426101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26"/>
        <v>963.2745000000001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239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  <c r="BC224" s="532"/>
    </row>
    <row r="225" spans="1:55" ht="15.75" customHeight="1">
      <c r="A225" s="600" t="str">
        <f t="shared" si="109"/>
        <v>Service[...]</v>
      </c>
      <c r="B225" s="24" t="s">
        <v>155</v>
      </c>
      <c r="C225" s="281" t="s">
        <v>42</v>
      </c>
      <c r="D225" s="318"/>
      <c r="E225" s="195"/>
      <c r="F225" s="196">
        <f>+INDEX('Budget original'!$A$2:$AO$496,MATCH($A225,'Budget original'!$A$2:$A$496,0),MATCH(F$2,'Budget original'!$A$2:$AO$2,0))</f>
        <v>0</v>
      </c>
      <c r="G225" s="319"/>
      <c r="H225" s="195"/>
      <c r="I225" s="196">
        <f>+INDEX('Budget révisé'!$A$2:$AO$496,MATCH($A225,'Budget révisé'!$A$2:$A$496,0),MATCH(I$2,'Budget révisé'!$A$2:$AO$2,0))</f>
        <v>0</v>
      </c>
      <c r="J225" s="320"/>
      <c r="K225" s="195"/>
      <c r="L225" s="298">
        <f>SUMIFS(BV_Data_An_Cour!$O:$O,BV_Data_An_Cour!$U:$U,$B225,BV_Data_An_Cour!$V:$V,$C225,BV_Data_An_Cour!$W:$W,$L$2)</f>
        <v>0</v>
      </c>
      <c r="M225" s="320"/>
      <c r="N225" s="321">
        <f t="shared" si="129"/>
        <v>0</v>
      </c>
      <c r="O225" s="320"/>
      <c r="P225" s="195"/>
      <c r="Q225" s="197">
        <f>SUMIFS(BV_Data_An_Prec!$O:$O,BV_Data_An_Prec!$U:$U,$B225,BV_Data_An_Prec!$V:$V,$C225,BV_Data_An_Prec!$W:$W,$L$2)</f>
        <v>0</v>
      </c>
      <c r="R225" s="320"/>
      <c r="S225" s="216">
        <f t="shared" si="126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  <c r="BC225" s="532"/>
    </row>
    <row r="226" spans="1:55" s="600" customFormat="1" ht="15.75" customHeight="1">
      <c r="B226" s="24"/>
      <c r="C226" s="281" t="s">
        <v>42</v>
      </c>
      <c r="D226" s="318"/>
      <c r="E226" s="195"/>
      <c r="F226" s="196">
        <f>+INDEX('Budget original'!$A$2:$AO$496,MATCH($A226,'Budget original'!$A$2:$A$496,0),MATCH(F$2,'Budget original'!$A$2:$AO$2,0))</f>
        <v>0</v>
      </c>
      <c r="G226" s="319"/>
      <c r="H226" s="195"/>
      <c r="I226" s="196">
        <f>+INDEX('Budget révisé'!$A$2:$AO$496,MATCH($A226,'Budget révisé'!$A$2:$A$496,0),MATCH(I$2,'Budget révisé'!$A$2:$AO$2,0))</f>
        <v>0</v>
      </c>
      <c r="J226" s="320"/>
      <c r="K226" s="195"/>
      <c r="L226" s="298">
        <f>SUMIFS(BV_Data_An_Cour!$O:$O,BV_Data_An_Cour!$U:$U,$B226,BV_Data_An_Cour!$V:$V,$C226,BV_Data_An_Cour!$W:$W,$L$2)</f>
        <v>0</v>
      </c>
      <c r="M226" s="320"/>
      <c r="N226" s="321">
        <f t="shared" ref="N226" si="133">L226-I226</f>
        <v>0</v>
      </c>
      <c r="O226" s="320"/>
      <c r="P226" s="195"/>
      <c r="Q226" s="197">
        <f>SUMIFS(BV_Data_An_Prec!$O:$O,BV_Data_An_Prec!$U:$U,$B226,BV_Data_An_Prec!$V:$V,$C226,BV_Data_An_Prec!$W:$W,$L$2)</f>
        <v>0</v>
      </c>
      <c r="R226" s="320"/>
      <c r="S226" s="216">
        <f t="shared" ref="S226" si="134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239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  <c r="BC226" s="532"/>
    </row>
    <row r="227" spans="1:55" ht="15.75" customHeight="1">
      <c r="A227" s="600" t="str">
        <f t="shared" si="109"/>
        <v>Service[...]</v>
      </c>
      <c r="B227" s="24" t="s">
        <v>155</v>
      </c>
      <c r="C227" s="281" t="s">
        <v>42</v>
      </c>
      <c r="D227" s="318"/>
      <c r="E227" s="195"/>
      <c r="F227" s="196">
        <f>+INDEX('Budget original'!$A$2:$AO$496,MATCH($A227,'Budget original'!$A$2:$A$496,0),MATCH(F$2,'Budget original'!$A$2:$AO$2,0))</f>
        <v>0</v>
      </c>
      <c r="G227" s="319"/>
      <c r="H227" s="195"/>
      <c r="I227" s="196">
        <f>+INDEX('Budget révisé'!$A$2:$AO$496,MATCH($A227,'Budget révisé'!$A$2:$A$496,0),MATCH(I$2,'Budget révisé'!$A$2:$AO$2,0))</f>
        <v>0</v>
      </c>
      <c r="J227" s="320"/>
      <c r="K227" s="195"/>
      <c r="L227" s="298">
        <f>SUMIFS(BV_Data_An_Cour!$O:$O,BV_Data_An_Cour!$U:$U,$B227,BV_Data_An_Cour!$V:$V,$C227,BV_Data_An_Cour!$W:$W,$L$2)</f>
        <v>0</v>
      </c>
      <c r="M227" s="320"/>
      <c r="N227" s="321">
        <f t="shared" si="129"/>
        <v>0</v>
      </c>
      <c r="O227" s="320"/>
      <c r="P227" s="195"/>
      <c r="Q227" s="197">
        <f>SUMIFS(BV_Data_An_Prec!$O:$O,BV_Data_An_Prec!$U:$U,$B227,BV_Data_An_Prec!$V:$V,$C227,BV_Data_An_Prec!$W:$W,$L$2)</f>
        <v>0</v>
      </c>
      <c r="R227" s="320"/>
      <c r="S227" s="216">
        <f t="shared" si="126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239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  <c r="BC227" s="532"/>
    </row>
    <row r="228" spans="1:55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0.26697053114591252</v>
      </c>
      <c r="L228" s="41">
        <f>+SUM(L210:L227)</f>
        <v>28853.144499999999</v>
      </c>
      <c r="M228" s="44"/>
      <c r="N228" s="41">
        <f t="shared" ref="N228" si="135">L228-I228</f>
        <v>-12836.324328920393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ref="S228" si="136">L228-Q228</f>
        <v>-16647.105500000001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239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  <c r="BC228" s="532"/>
    </row>
    <row r="229" spans="1:55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239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  <c r="BC229" s="532"/>
    </row>
    <row r="230" spans="1:55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1.0358748424953002</v>
      </c>
      <c r="L230" s="41">
        <f>L209+L228</f>
        <v>111953.3545</v>
      </c>
      <c r="M230" s="44"/>
      <c r="N230" s="46">
        <f t="shared" ref="N230:N232" si="137">L230-I230</f>
        <v>-40927.500017122788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-21150.305499999973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239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  <c r="BC230" s="532"/>
    </row>
    <row r="231" spans="1:55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37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239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  <c r="BC231" s="532"/>
    </row>
    <row r="232" spans="1:55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-3877.2145000000164</v>
      </c>
      <c r="M232" s="362"/>
      <c r="N232" s="360">
        <f t="shared" si="137"/>
        <v>23343.075015737209</v>
      </c>
      <c r="O232" s="362"/>
      <c r="P232" s="363"/>
      <c r="Q232" s="360">
        <f>Q193-Q230</f>
        <v>-11951.619999999981</v>
      </c>
      <c r="R232" s="362"/>
      <c r="S232" s="364">
        <f>L232-Q232</f>
        <v>8074.4054999999644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239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  <c r="BC232" s="532"/>
    </row>
    <row r="233" spans="1:55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239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  <c r="BC233" s="532"/>
    </row>
    <row r="234" spans="1:55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239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  <c r="BC234" s="532"/>
    </row>
    <row r="235" spans="1:55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7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  <c r="BC235" s="532"/>
    </row>
    <row r="236" spans="1:55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9"/>
      <c r="AK236" s="538"/>
      <c r="AL236" s="538"/>
      <c r="AM236" s="538"/>
      <c r="AN236" s="539"/>
      <c r="AO236" s="539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  <c r="BC236" s="532"/>
    </row>
    <row r="237" spans="1:55" ht="15.75" customHeight="1" thickTop="1">
      <c r="B237" s="24"/>
      <c r="C237" s="280"/>
      <c r="D237" s="1105" t="s">
        <v>77</v>
      </c>
      <c r="E237" s="1106"/>
      <c r="F237" s="1107"/>
      <c r="G237" s="1108" t="s">
        <v>145</v>
      </c>
      <c r="H237" s="1106"/>
      <c r="I237" s="1107"/>
      <c r="J237" s="1108" t="s">
        <v>79</v>
      </c>
      <c r="K237" s="1106"/>
      <c r="L237" s="1107"/>
      <c r="M237" s="1108" t="s">
        <v>80</v>
      </c>
      <c r="N237" s="1107"/>
      <c r="O237" s="1105" t="s">
        <v>81</v>
      </c>
      <c r="P237" s="1106"/>
      <c r="Q237" s="1107"/>
      <c r="R237" s="1108" t="s">
        <v>82</v>
      </c>
      <c r="S237" s="1109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40"/>
      <c r="AK237" s="537"/>
      <c r="AL237" s="537"/>
      <c r="AM237" s="537"/>
      <c r="AN237" s="540"/>
      <c r="AO237" s="540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  <c r="BC237" s="532"/>
    </row>
    <row r="238" spans="1:55" ht="15.75" customHeight="1">
      <c r="A238" s="600" t="str">
        <f t="shared" ref="A238:A283" si="138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50"/>
      <c r="AK238" s="239"/>
      <c r="AL238" s="239"/>
      <c r="AM238" s="239"/>
      <c r="AN238" s="250"/>
      <c r="AO238" s="250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  <c r="BC238" s="532"/>
    </row>
    <row r="239" spans="1:55" ht="15.75" customHeight="1">
      <c r="A239" s="600" t="str">
        <f t="shared" si="138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50"/>
      <c r="AK239" s="239"/>
      <c r="AL239" s="239"/>
      <c r="AM239" s="239"/>
      <c r="AN239" s="250"/>
      <c r="AO239" s="250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  <c r="BC239" s="532"/>
    </row>
    <row r="240" spans="1:55" ht="15.75" customHeight="1">
      <c r="A240" s="600" t="str">
        <f t="shared" si="138"/>
        <v>CarrosserieM/O Sous-traitement</v>
      </c>
      <c r="B240" s="24" t="s">
        <v>171</v>
      </c>
      <c r="C240" s="568" t="s">
        <v>172</v>
      </c>
      <c r="D240" s="283">
        <f>+INDEX('Budget original'!$A$2:$AO$496,MATCH($A240,'Budget original'!$A$2:$A$496,0),MATCH(D$2,'Budget original'!$A$2:$AO$2,0))</f>
        <v>0</v>
      </c>
      <c r="E240" s="214">
        <f>+INDEX('Budget original'!$A$2:$AO$496,MATCH($A240,'Budget original'!$A$2:$A$496,0),MATCH(E$2,'Budget original'!$A$2:$AO$2,0))</f>
        <v>78517.102612357092</v>
      </c>
      <c r="F240" s="214">
        <f>+INDEX('Budget original'!$A$2:$AO$496,MATCH($A240,'Budget original'!$A$2:$A$496,0),MATCH(F$2,'Budget original'!$A$2:$AO$2,0))</f>
        <v>17889.166892491088</v>
      </c>
      <c r="G240" s="365">
        <f>+INDEX('Budget révisé'!$A$2:$AO$496,MATCH($A240,'Budget révisé'!$A$2:$A$496,0),MATCH(G$2,'Budget révisé'!$A$2:$AO$2,0))</f>
        <v>0</v>
      </c>
      <c r="H240" s="214">
        <f>+INDEX('Budget révisé'!$A$2:$AO$496,MATCH($A240,'Budget révisé'!$A$2:$A$496,0),MATCH(H$2,'Budget révisé'!$A$2:$AO$2,0))</f>
        <v>78517.102612357092</v>
      </c>
      <c r="I240" s="214">
        <f>+INDEX('Budget révisé'!$A$2:$AO$496,MATCH($A240,'Budget révisé'!$A$2:$A$496,0),MATCH(I$2,'Budget révisé'!$A$2:$AO$2,0))</f>
        <v>17889.166892491088</v>
      </c>
      <c r="J240" s="342">
        <f>-SUMIFS(BV_Data_An_Cour!$O:$O,BV_Data_An_Cour!$U:$U,$B240,BV_Data_An_Cour!$V:$V,$C240,BV_Data_An_Cour!$W:$W,J$2)</f>
        <v>59</v>
      </c>
      <c r="K240" s="196">
        <f>-SUMIFS(BV_Data_An_Cour!$O:$O,BV_Data_An_Cour!$X:$X,"Oui",BV_Data_An_Cour!$U:$U,$B240,BV_Data_An_Cour!$V:$V,$C240)</f>
        <v>103646.92</v>
      </c>
      <c r="L240" s="197">
        <f>-SUMIFS(BV_Data_An_Cour!$O:$O,BV_Data_An_Cour!$U:$U,$B240,BV_Data_An_Cour!$V:$V,$C240,BV_Data_An_Cour!$W:$W,$L$2)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-SUMIFS(BV_Data_An_Prec!$O:$O,BV_Data_An_Prec!$U:$U,$B240,BV_Data_An_Prec!$V:$V,$C240,BV_Data_An_Prec!$W:$W,O$2)</f>
        <v>67</v>
      </c>
      <c r="P240" s="196">
        <f>-SUMIFS(BV_Data_An_Prec!$O:$O,BV_Data_An_Prec!$X:$X,"Oui",BV_Data_An_Prec!$U:$U,$B240,BV_Data_An_Prec!$V:$V,$C240)</f>
        <v>101988.53</v>
      </c>
      <c r="Q240" s="197">
        <f>-SUMIFS(BV_Data_An_Prec!$O:$O,BV_Data_An_Prec!$U:$U,$B240,BV_Data_An_Prec!$V:$V,$C240,BV_Data_An_Prec!$W:$W,$L$2)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 t="s">
        <v>2899</v>
      </c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50"/>
      <c r="AK240" s="239"/>
      <c r="AL240" s="239"/>
      <c r="AM240" s="239"/>
      <c r="AN240" s="250"/>
      <c r="AO240" s="250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  <c r="BC240" s="532"/>
    </row>
    <row r="241" spans="1:55" ht="15.75" customHeight="1">
      <c r="A241" s="600" t="str">
        <f t="shared" si="138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 t="s">
        <v>2900</v>
      </c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50"/>
      <c r="AK241" s="239"/>
      <c r="AL241" s="239"/>
      <c r="AM241" s="239"/>
      <c r="AN241" s="250"/>
      <c r="AO241" s="250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  <c r="BC241" s="532"/>
    </row>
    <row r="242" spans="1:55" ht="15.75" customHeight="1">
      <c r="A242" s="600" t="str">
        <f t="shared" si="138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50"/>
      <c r="AK242" s="239"/>
      <c r="AL242" s="239"/>
      <c r="AM242" s="239"/>
      <c r="AN242" s="250"/>
      <c r="AO242" s="250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  <c r="BC242" s="532"/>
    </row>
    <row r="243" spans="1:55" ht="15.75" customHeight="1">
      <c r="A243" s="600" t="str">
        <f t="shared" si="138"/>
        <v>CarrosserieM/O Carrosserie</v>
      </c>
      <c r="B243" s="24" t="s">
        <v>171</v>
      </c>
      <c r="C243" s="368" t="s">
        <v>173</v>
      </c>
      <c r="D243" s="369">
        <f>+INDEX('Budget original'!$A$2:$AO$496,MATCH($A243,'Budget original'!$A$2:$A$496,0),MATCH(D$2,'Budget original'!$A$2:$AO$2,0))</f>
        <v>0</v>
      </c>
      <c r="E243" s="214">
        <f>+INDEX('Budget original'!$A$2:$AO$496,MATCH($A243,'Budget original'!$A$2:$A$496,0),MATCH(E$2,'Budget original'!$A$2:$AO$2,0))</f>
        <v>0</v>
      </c>
      <c r="F243" s="214">
        <f>+INDEX('Budget original'!$A$2:$AO$496,MATCH($A243,'Budget original'!$A$2:$A$496,0),MATCH(F$2,'Budget original'!$A$2:$AO$2,0))</f>
        <v>0</v>
      </c>
      <c r="G243" s="370">
        <f>+INDEX('Budget révisé'!$A$2:$AO$496,MATCH($A243,'Budget révisé'!$A$2:$A$496,0),MATCH(G$2,'Budget révisé'!$A$2:$AO$2,0))</f>
        <v>0</v>
      </c>
      <c r="H243" s="214">
        <f>+INDEX('Budget révisé'!$A$2:$AO$496,MATCH($A243,'Budget révisé'!$A$2:$A$496,0),MATCH(H$2,'Budget révisé'!$A$2:$AO$2,0))</f>
        <v>0</v>
      </c>
      <c r="I243" s="214">
        <f>+INDEX('Budget révisé'!$A$2:$AO$496,MATCH($A243,'Budget révisé'!$A$2:$A$496,0),MATCH(I$2,'Budget révisé'!$A$2:$AO$2,0))</f>
        <v>0</v>
      </c>
      <c r="J243" s="371">
        <f>SUMIFS(BV_Data_An_Cour!$C$1:$C$637,BV_Data_An_Cour!$V$1:$V$637,$C243,BV_Data_An_Cour!$U$1:$U$637,$K$235)</f>
        <v>0</v>
      </c>
      <c r="K243" s="203">
        <f>-SUMIFS(BV_Data_An_Cour!$O:$O,BV_Data_An_Cour!$X:$X,"Oui",BV_Data_An_Cour!$U:$U,$B243,BV_Data_An_Cour!$V:$V,$C243)</f>
        <v>0</v>
      </c>
      <c r="L243" s="198">
        <f>-SUMIFS(BV_Data_An_Cour!$O:$O,BV_Data_An_Cour!$U:$U,$B243,BV_Data_An_Cour!$V:$V,$C243,BV_Data_An_Cour!$W:$W,$L$2)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-SUMIFS(BV_Data_An_Prec!$O:$O,BV_Data_An_Prec!$X:$X,"Oui",BV_Data_An_Prec!$U:$U,$B243,BV_Data_An_Prec!$V:$V,$C243)</f>
        <v>0</v>
      </c>
      <c r="Q243" s="198">
        <f>-SUMIFS(BV_Data_An_Prec!$O:$O,BV_Data_An_Prec!$U:$U,$B243,BV_Data_An_Prec!$V:$V,$C243,BV_Data_An_Prec!$W:$W,$L$2)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50"/>
      <c r="AK243" s="239"/>
      <c r="AL243" s="239"/>
      <c r="AM243" s="239"/>
      <c r="AN243" s="250"/>
      <c r="AO243" s="250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  <c r="BC243" s="532"/>
    </row>
    <row r="244" spans="1:55" ht="15.75" customHeight="1">
      <c r="A244" s="600" t="str">
        <f t="shared" si="138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50"/>
      <c r="AK244" s="239"/>
      <c r="AL244" s="239"/>
      <c r="AM244" s="239"/>
      <c r="AN244" s="250"/>
      <c r="AO244" s="250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  <c r="BC244" s="532"/>
    </row>
    <row r="245" spans="1:55" ht="15.75" customHeight="1">
      <c r="A245" s="600" t="str">
        <f t="shared" si="138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50"/>
      <c r="AK245" s="239"/>
      <c r="AL245" s="239"/>
      <c r="AM245" s="239"/>
      <c r="AN245" s="250"/>
      <c r="AO245" s="250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  <c r="BC245" s="532"/>
    </row>
    <row r="246" spans="1:55" ht="15.75" customHeight="1">
      <c r="A246" s="600" t="str">
        <f t="shared" si="138"/>
        <v>CarrosserieM/O Esthétique Carr.</v>
      </c>
      <c r="B246" s="24" t="s">
        <v>171</v>
      </c>
      <c r="C246" s="368" t="s">
        <v>174</v>
      </c>
      <c r="D246" s="374">
        <v>0</v>
      </c>
      <c r="E246" s="214">
        <v>0</v>
      </c>
      <c r="F246" s="214">
        <v>0</v>
      </c>
      <c r="G246" s="371">
        <v>0</v>
      </c>
      <c r="H246" s="214">
        <v>0</v>
      </c>
      <c r="I246" s="214">
        <v>0</v>
      </c>
      <c r="J246" s="371">
        <f>SUMIFS(BV_Data_An_Cour!$C$1:$C$637,BV_Data_An_Cour!$V$1:$V$637,$C246,BV_Data_An_Cour!$U$1:$U$637,$K$235)</f>
        <v>0</v>
      </c>
      <c r="K246" s="196">
        <f>-SUMIFS(BV_Data_An_Cour!$O:$O,BV_Data_An_Cour!$X:$X,"Oui",BV_Data_An_Cour!$U:$U,$B246,BV_Data_An_Cour!$V:$V,$C246)</f>
        <v>0</v>
      </c>
      <c r="L246" s="197">
        <f>-SUMIFS(BV_Data_An_Cour!$O:$O,BV_Data_An_Cour!$U:$U,$B246,BV_Data_An_Cour!$V:$V,$C246,BV_Data_An_Cour!$W:$W,$L$2)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-SUMIFS(BV_Data_An_Prec!$O:$O,BV_Data_An_Prec!$X:$X,"Oui",BV_Data_An_Prec!$U:$U,$B246,BV_Data_An_Prec!$V:$V,$C246)</f>
        <v>0</v>
      </c>
      <c r="Q246" s="197">
        <f>-SUMIFS(BV_Data_An_Prec!$O:$O,BV_Data_An_Prec!$U:$U,$B246,BV_Data_An_Prec!$V:$V,$C246,BV_Data_An_Prec!$W:$W,$L$2)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50"/>
      <c r="AK246" s="239"/>
      <c r="AL246" s="239"/>
      <c r="AM246" s="239"/>
      <c r="AN246" s="250"/>
      <c r="AO246" s="250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  <c r="BC246" s="532"/>
    </row>
    <row r="247" spans="1:55" ht="15.75" customHeight="1">
      <c r="A247" s="600" t="str">
        <f t="shared" si="138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50"/>
      <c r="AK247" s="239"/>
      <c r="AL247" s="239"/>
      <c r="AM247" s="239"/>
      <c r="AN247" s="250"/>
      <c r="AO247" s="250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  <c r="BC247" s="532"/>
    </row>
    <row r="248" spans="1:55" ht="15.75" customHeight="1" thickBot="1">
      <c r="A248" s="600" t="str">
        <f t="shared" si="138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50"/>
      <c r="AK248" s="239"/>
      <c r="AL248" s="239"/>
      <c r="AM248" s="239"/>
      <c r="AN248" s="250"/>
      <c r="AO248" s="250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  <c r="BC248" s="532"/>
    </row>
    <row r="249" spans="1:55" ht="15.75" customHeight="1" thickTop="1">
      <c r="A249" s="600" t="str">
        <f t="shared" si="138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9">E243+E246+E240</f>
        <v>78517.102612357092</v>
      </c>
      <c r="F249" s="28">
        <f t="shared" si="139"/>
        <v>17889.166892491088</v>
      </c>
      <c r="G249" s="29"/>
      <c r="H249" s="26">
        <f t="shared" ref="H249:I249" si="140">H243+H246+H240</f>
        <v>78517.102612357092</v>
      </c>
      <c r="I249" s="28">
        <f t="shared" si="140"/>
        <v>17889.166892491088</v>
      </c>
      <c r="J249" s="29"/>
      <c r="K249" s="26">
        <f t="shared" ref="K249:L249" si="141">K243+K246+K240</f>
        <v>103646.92</v>
      </c>
      <c r="L249" s="28">
        <f t="shared" si="141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42">P243+P246+P240</f>
        <v>101988.53</v>
      </c>
      <c r="Q249" s="28">
        <f t="shared" si="142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50"/>
      <c r="AK249" s="239"/>
      <c r="AL249" s="239"/>
      <c r="AM249" s="239"/>
      <c r="AN249" s="250"/>
      <c r="AO249" s="250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  <c r="BC249" s="532"/>
    </row>
    <row r="250" spans="1:55" ht="23.25" customHeight="1" thickBot="1">
      <c r="A250" s="600" t="str">
        <f t="shared" si="138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50"/>
      <c r="AK250" s="239"/>
      <c r="AL250" s="239"/>
      <c r="AM250" s="239"/>
      <c r="AN250" s="250"/>
      <c r="AO250" s="250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  <c r="BC250" s="532"/>
    </row>
    <row r="251" spans="1:55" ht="15.75" customHeight="1" thickTop="1">
      <c r="A251" s="600" t="str">
        <f t="shared" si="138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50"/>
      <c r="AK251" s="239"/>
      <c r="AL251" s="239"/>
      <c r="AM251" s="239"/>
      <c r="AN251" s="250"/>
      <c r="AO251" s="250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  <c r="BC251" s="532"/>
    </row>
    <row r="252" spans="1:55" ht="15.75" customHeight="1">
      <c r="A252" s="600" t="str">
        <f t="shared" si="138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50"/>
      <c r="AK252" s="239"/>
      <c r="AL252" s="239"/>
      <c r="AM252" s="239"/>
      <c r="AN252" s="250"/>
      <c r="AO252" s="250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  <c r="BC252" s="532"/>
    </row>
    <row r="253" spans="1:55" ht="15.75" customHeight="1">
      <c r="A253" s="600" t="str">
        <f t="shared" si="138"/>
        <v>CarrosserieSalaires cadres</v>
      </c>
      <c r="B253" s="24" t="s">
        <v>171</v>
      </c>
      <c r="C253" s="297" t="s">
        <v>112</v>
      </c>
      <c r="D253" s="250"/>
      <c r="E253" s="250"/>
      <c r="F253" s="248">
        <f>+INDEX('Budget original'!$A$2:$AO$496,MATCH($A253,'Budget original'!$A$2:$A$496,0),MATCH(F$2,'Budget original'!$A$2:$AO$2,0))</f>
        <v>283.27471264367819</v>
      </c>
      <c r="G253" s="244"/>
      <c r="H253" s="250"/>
      <c r="I253" s="248">
        <f>+INDEX('Budget révisé'!$A$2:$AO$496,MATCH($A253,'Budget révisé'!$A$2:$A$496,0),MATCH(I$2,'Budget révisé'!$A$2:$AO$2,0))</f>
        <v>283.27471264367819</v>
      </c>
      <c r="J253" s="244"/>
      <c r="K253" s="250"/>
      <c r="L253" s="298">
        <f>SUMIFS(BV_Data_An_Cour!$O:$O,BV_Data_An_Cour!$U:$U,$B253,BV_Data_An_Cour!$V:$V,$C253,BV_Data_An_Cour!$W:$W,$L$2)</f>
        <v>809.12</v>
      </c>
      <c r="M253" s="244"/>
      <c r="N253" s="249">
        <f t="shared" ref="N253:N283" si="143">L253-I253</f>
        <v>525.84528735632182</v>
      </c>
      <c r="O253" s="244"/>
      <c r="P253" s="250"/>
      <c r="Q253" s="298">
        <f>SUMIFS(BV_Data_An_Prec!$O:$O,BV_Data_An_Prec!$U:$U,$B253,BV_Data_An_Prec!$V:$V,$C253,BV_Data_An_Prec!$W:$W,$L$2)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50"/>
      <c r="AK253" s="239"/>
      <c r="AL253" s="239"/>
      <c r="AM253" s="239"/>
      <c r="AN253" s="250"/>
      <c r="AO253" s="250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  <c r="BC253" s="532"/>
    </row>
    <row r="254" spans="1:55" ht="15.75" customHeight="1">
      <c r="A254" s="600" t="str">
        <f t="shared" si="138"/>
        <v>CarrosserieSalaires commis</v>
      </c>
      <c r="B254" s="24" t="s">
        <v>171</v>
      </c>
      <c r="C254" s="299" t="s">
        <v>113</v>
      </c>
      <c r="D254" s="279"/>
      <c r="E254" s="250"/>
      <c r="F254" s="261">
        <f>+INDEX('Budget original'!$A$2:$AO$496,MATCH($A254,'Budget original'!$A$2:$A$496,0),MATCH(F$2,'Budget original'!$A$2:$AO$2,0))</f>
        <v>531.86002864367822</v>
      </c>
      <c r="G254" s="300"/>
      <c r="H254" s="250"/>
      <c r="I254" s="261">
        <f>+INDEX('Budget révisé'!$A$2:$AO$496,MATCH($A254,'Budget révisé'!$A$2:$A$496,0),MATCH(I$2,'Budget révisé'!$A$2:$AO$2,0))</f>
        <v>531.86002864367822</v>
      </c>
      <c r="J254" s="244"/>
      <c r="K254" s="250"/>
      <c r="L254" s="298">
        <f>SUMIFS(BV_Data_An_Cour!$O:$O,BV_Data_An_Cour!$U:$U,$B254,BV_Data_An_Cour!$V:$V,$C254,BV_Data_An_Cour!$W:$W,$L$2)</f>
        <v>1179.27</v>
      </c>
      <c r="M254" s="244"/>
      <c r="N254" s="249">
        <f t="shared" si="143"/>
        <v>647.40997135632176</v>
      </c>
      <c r="O254" s="244"/>
      <c r="P254" s="250"/>
      <c r="Q254" s="298">
        <f>SUMIFS(BV_Data_An_Prec!$O:$O,BV_Data_An_Prec!$U:$U,$B254,BV_Data_An_Prec!$V:$V,$C254,BV_Data_An_Prec!$W:$W,$L$2)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50"/>
      <c r="AK254" s="239"/>
      <c r="AL254" s="239"/>
      <c r="AM254" s="239"/>
      <c r="AN254" s="250"/>
      <c r="AO254" s="250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  <c r="BC254" s="532"/>
    </row>
    <row r="255" spans="1:55" ht="15.75" customHeight="1">
      <c r="A255" s="600" t="str">
        <f t="shared" si="138"/>
        <v>CarrosserieSalaires autres</v>
      </c>
      <c r="B255" s="24" t="s">
        <v>171</v>
      </c>
      <c r="C255" s="297" t="s">
        <v>114</v>
      </c>
      <c r="D255" s="302"/>
      <c r="E255" s="303"/>
      <c r="F255" s="248">
        <f>+INDEX('Budget original'!$A$2:$AO$496,MATCH($A255,'Budget original'!$A$2:$A$496,0),MATCH(F$2,'Budget original'!$A$2:$AO$2,0))</f>
        <v>3297.5117336643675</v>
      </c>
      <c r="G255" s="304"/>
      <c r="H255" s="303"/>
      <c r="I255" s="248">
        <f>+INDEX('Budget révisé'!$A$2:$AO$496,MATCH($A255,'Budget révisé'!$A$2:$A$496,0),MATCH(I$2,'Budget révisé'!$A$2:$AO$2,0))</f>
        <v>3297.5117336643675</v>
      </c>
      <c r="J255" s="305"/>
      <c r="K255" s="303"/>
      <c r="L255" s="262">
        <f>SUMIFS(BV_Data_An_Cour!$O:$O,BV_Data_An_Cour!$U:$U,$B255,BV_Data_An_Cour!$V:$V,$C255,BV_Data_An_Cour!$W:$W,$L$2)</f>
        <v>3336.87</v>
      </c>
      <c r="M255" s="305"/>
      <c r="N255" s="306">
        <f t="shared" si="143"/>
        <v>39.358266335632379</v>
      </c>
      <c r="O255" s="305"/>
      <c r="P255" s="303"/>
      <c r="Q255" s="262">
        <f>SUMIFS(BV_Data_An_Prec!$O:$O,BV_Data_An_Prec!$U:$U,$B255,BV_Data_An_Prec!$V:$V,$C255,BV_Data_An_Prec!$W:$W,$L$2)</f>
        <v>3344.8</v>
      </c>
      <c r="R255" s="305"/>
      <c r="S255" s="307">
        <f t="shared" ref="S255:S264" si="144">L255-Q255</f>
        <v>-7.930000000000291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50"/>
      <c r="AK255" s="239"/>
      <c r="AL255" s="239"/>
      <c r="AM255" s="239"/>
      <c r="AN255" s="250"/>
      <c r="AO255" s="250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  <c r="BC255" s="532"/>
    </row>
    <row r="256" spans="1:55" ht="15.75" customHeight="1">
      <c r="A256" s="600" t="str">
        <f t="shared" si="138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+INDEX('Budget original'!$A$2:$AO$496,MATCH($A256,'Budget original'!$A$2:$A$496,0),MATCH(F$2,'Budget original'!$A$2:$AO$2,0))</f>
        <v>3462.0771724137931</v>
      </c>
      <c r="G256" s="300"/>
      <c r="H256" s="250"/>
      <c r="I256" s="248">
        <f>+INDEX('Budget révisé'!$A$2:$AO$496,MATCH($A256,'Budget révisé'!$A$2:$A$496,0),MATCH(I$2,'Budget révisé'!$A$2:$AO$2,0))</f>
        <v>3462.0771724137931</v>
      </c>
      <c r="J256" s="244"/>
      <c r="K256" s="250"/>
      <c r="L256" s="298">
        <f>SUMIFS(BV_Data_An_Cour!$O:$O,BV_Data_An_Cour!$U:$U,$B256,BV_Data_An_Cour!$V:$V,$C256,BV_Data_An_Cour!$W:$W,$L$2)</f>
        <v>3432.72</v>
      </c>
      <c r="M256" s="244"/>
      <c r="N256" s="249">
        <f t="shared" si="143"/>
        <v>-29.357172413793251</v>
      </c>
      <c r="O256" s="244"/>
      <c r="P256" s="250"/>
      <c r="Q256" s="298">
        <f>SUMIFS(BV_Data_An_Prec!$O:$O,BV_Data_An_Prec!$U:$U,$B256,BV_Data_An_Prec!$V:$V,$C256,BV_Data_An_Prec!$W:$W,$L$2)</f>
        <v>3065.11</v>
      </c>
      <c r="R256" s="244"/>
      <c r="S256" s="301">
        <f t="shared" si="144"/>
        <v>367.60999999999967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50"/>
      <c r="AK256" s="239"/>
      <c r="AL256" s="239"/>
      <c r="AM256" s="239"/>
      <c r="AN256" s="250"/>
      <c r="AO256" s="250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  <c r="BC256" s="532"/>
    </row>
    <row r="257" spans="1:55" ht="15.75" customHeight="1">
      <c r="A257" s="600" t="str">
        <f t="shared" si="138"/>
        <v>Carrosserie[...]</v>
      </c>
      <c r="B257" s="24" t="s">
        <v>171</v>
      </c>
      <c r="C257" s="308" t="s">
        <v>42</v>
      </c>
      <c r="D257" s="279"/>
      <c r="E257" s="250"/>
      <c r="F257" s="248">
        <f>+INDEX('Budget original'!$A$2:$AO$496,MATCH($A257,'Budget original'!$A$2:$A$496,0),MATCH(F$2,'Budget original'!$A$2:$AO$2,0))</f>
        <v>0</v>
      </c>
      <c r="G257" s="300"/>
      <c r="H257" s="250"/>
      <c r="I257" s="248">
        <f>+INDEX('Budget révisé'!$A$2:$AO$496,MATCH($A257,'Budget révisé'!$A$2:$A$496,0),MATCH(I$2,'Budget révisé'!$A$2:$AO$2,0))</f>
        <v>0</v>
      </c>
      <c r="J257" s="244"/>
      <c r="K257" s="250"/>
      <c r="L257" s="298">
        <f>SUMIFS(BV_Data_An_Cour!$O:$O,BV_Data_An_Cour!$U:$U,$B257,BV_Data_An_Cour!$V:$V,$C257,BV_Data_An_Cour!$W:$W,$L$2)</f>
        <v>0</v>
      </c>
      <c r="M257" s="244"/>
      <c r="N257" s="249">
        <f t="shared" si="143"/>
        <v>0</v>
      </c>
      <c r="O257" s="244"/>
      <c r="P257" s="250"/>
      <c r="Q257" s="298">
        <f>SUMIFS(BV_Data_An_Prec!$O:$O,BV_Data_An_Prec!$U:$U,$B257,BV_Data_An_Prec!$V:$V,$C257,BV_Data_An_Prec!$W:$W,$L$2)</f>
        <v>0</v>
      </c>
      <c r="R257" s="244"/>
      <c r="S257" s="301">
        <f t="shared" si="144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50"/>
      <c r="AK257" s="239"/>
      <c r="AL257" s="239"/>
      <c r="AM257" s="239"/>
      <c r="AN257" s="250"/>
      <c r="AO257" s="250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  <c r="BC257" s="532"/>
    </row>
    <row r="258" spans="1:55" ht="15.75" customHeight="1">
      <c r="A258" s="600" t="str">
        <f t="shared" si="138"/>
        <v>Carrosserie[...]</v>
      </c>
      <c r="B258" s="24" t="s">
        <v>171</v>
      </c>
      <c r="C258" s="308" t="s">
        <v>42</v>
      </c>
      <c r="D258" s="279"/>
      <c r="E258" s="250"/>
      <c r="F258" s="248">
        <f>+INDEX('Budget original'!$A$2:$AO$496,MATCH($A258,'Budget original'!$A$2:$A$496,0),MATCH(F$2,'Budget original'!$A$2:$AO$2,0))</f>
        <v>0</v>
      </c>
      <c r="G258" s="300"/>
      <c r="H258" s="250"/>
      <c r="I258" s="248">
        <f>+INDEX('Budget révisé'!$A$2:$AO$496,MATCH($A258,'Budget révisé'!$A$2:$A$496,0),MATCH(I$2,'Budget révisé'!$A$2:$AO$2,0))</f>
        <v>0</v>
      </c>
      <c r="J258" s="244"/>
      <c r="K258" s="250"/>
      <c r="L258" s="298">
        <f>SUMIFS(BV_Data_An_Cour!$O:$O,BV_Data_An_Cour!$U:$U,$B258,BV_Data_An_Cour!$V:$V,$C258,BV_Data_An_Cour!$W:$W,$L$2)</f>
        <v>0</v>
      </c>
      <c r="M258" s="244"/>
      <c r="N258" s="249">
        <f t="shared" si="143"/>
        <v>0</v>
      </c>
      <c r="O258" s="244"/>
      <c r="P258" s="250"/>
      <c r="Q258" s="298">
        <f>SUMIFS(BV_Data_An_Prec!$O:$O,BV_Data_An_Prec!$U:$U,$B258,BV_Data_An_Prec!$V:$V,$C258,BV_Data_An_Prec!$W:$W,$L$2)</f>
        <v>0</v>
      </c>
      <c r="R258" s="244"/>
      <c r="S258" s="301">
        <f t="shared" si="144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50"/>
      <c r="AK258" s="239"/>
      <c r="AL258" s="239"/>
      <c r="AM258" s="239"/>
      <c r="AN258" s="250"/>
      <c r="AO258" s="250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  <c r="BC258" s="532"/>
    </row>
    <row r="259" spans="1:55" ht="15.75" customHeight="1">
      <c r="A259" s="600" t="str">
        <f t="shared" si="138"/>
        <v>Carrosserie[...]</v>
      </c>
      <c r="B259" s="24" t="s">
        <v>171</v>
      </c>
      <c r="C259" s="308" t="s">
        <v>42</v>
      </c>
      <c r="D259" s="279"/>
      <c r="E259" s="250"/>
      <c r="F259" s="248">
        <f>+INDEX('Budget original'!$A$2:$AO$496,MATCH($A259,'Budget original'!$A$2:$A$496,0),MATCH(F$2,'Budget original'!$A$2:$AO$2,0))</f>
        <v>0</v>
      </c>
      <c r="G259" s="300"/>
      <c r="H259" s="250"/>
      <c r="I259" s="248">
        <f>+INDEX('Budget révisé'!$A$2:$AO$496,MATCH($A259,'Budget révisé'!$A$2:$A$496,0),MATCH(I$2,'Budget révisé'!$A$2:$AO$2,0))</f>
        <v>0</v>
      </c>
      <c r="J259" s="244"/>
      <c r="K259" s="250"/>
      <c r="L259" s="298">
        <f>SUMIFS(BV_Data_An_Cour!$O:$O,BV_Data_An_Cour!$U:$U,$B259,BV_Data_An_Cour!$V:$V,$C259,BV_Data_An_Cour!$W:$W,$L$2)</f>
        <v>0</v>
      </c>
      <c r="M259" s="244"/>
      <c r="N259" s="249">
        <f t="shared" si="143"/>
        <v>0</v>
      </c>
      <c r="O259" s="244"/>
      <c r="P259" s="250"/>
      <c r="Q259" s="298">
        <f>SUMIFS(BV_Data_An_Prec!$O:$O,BV_Data_An_Prec!$U:$U,$B259,BV_Data_An_Prec!$V:$V,$C259,BV_Data_An_Prec!$W:$W,$L$2)</f>
        <v>0</v>
      </c>
      <c r="R259" s="244"/>
      <c r="S259" s="301">
        <f t="shared" si="144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  <c r="BC259" s="532"/>
    </row>
    <row r="260" spans="1:55" ht="15.75" customHeight="1">
      <c r="A260" s="600" t="str">
        <f t="shared" si="138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+INDEX('Budget original'!$A$2:$AO$496,MATCH($A260,'Budget original'!$A$2:$A$496,0),MATCH(F$2,'Budget original'!$A$2:$AO$2,0))</f>
        <v>908.96683768386197</v>
      </c>
      <c r="G260" s="300"/>
      <c r="H260" s="250"/>
      <c r="I260" s="261">
        <f>+INDEX('Budget révisé'!$A$2:$AO$496,MATCH($A260,'Budget révisé'!$A$2:$A$496,0),MATCH(I$2,'Budget révisé'!$A$2:$AO$2,0))</f>
        <v>908.96683768386197</v>
      </c>
      <c r="J260" s="244"/>
      <c r="K260" s="250"/>
      <c r="L260" s="298">
        <f>SUMIFS(BV_Data_An_Cour!$O:$O,BV_Data_An_Cour!$U:$U,$B260,BV_Data_An_Cour!$V:$V,$C260,BV_Data_An_Cour!$W:$W,$L$2)</f>
        <v>661.7</v>
      </c>
      <c r="M260" s="244"/>
      <c r="N260" s="249">
        <f t="shared" si="143"/>
        <v>-247.26683768386192</v>
      </c>
      <c r="O260" s="244"/>
      <c r="P260" s="250"/>
      <c r="Q260" s="298">
        <f>SUMIFS(BV_Data_An_Prec!$O:$O,BV_Data_An_Prec!$U:$U,$B260,BV_Data_An_Prec!$V:$V,$C260,BV_Data_An_Prec!$W:$W,$L$2)</f>
        <v>1241.49</v>
      </c>
      <c r="R260" s="244"/>
      <c r="S260" s="301">
        <f t="shared" si="144"/>
        <v>-579.79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239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  <c r="BC260" s="532"/>
    </row>
    <row r="261" spans="1:55" ht="15.75" customHeight="1">
      <c r="A261" s="600" t="str">
        <f t="shared" si="138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+INDEX('Budget original'!$A$2:$AO$496,MATCH($A261,'Budget original'!$A$2:$A$496,0),MATCH(F$2,'Budget original'!$A$2:$AO$2,0))</f>
        <v>908.96683768386197</v>
      </c>
      <c r="G261" s="304"/>
      <c r="H261" s="303"/>
      <c r="I261" s="248">
        <f>+INDEX('Budget révisé'!$A$2:$AO$496,MATCH($A261,'Budget révisé'!$A$2:$A$496,0),MATCH(I$2,'Budget révisé'!$A$2:$AO$2,0))</f>
        <v>908.96683768386197</v>
      </c>
      <c r="J261" s="305"/>
      <c r="K261" s="303"/>
      <c r="L261" s="262">
        <f>SUMIFS(BV_Data_An_Cour!$O:$O,BV_Data_An_Cour!$U:$U,$B261,BV_Data_An_Cour!$V:$V,$C261,BV_Data_An_Cour!$W:$W,$L$2)</f>
        <v>1461.24</v>
      </c>
      <c r="M261" s="305"/>
      <c r="N261" s="306">
        <f t="shared" si="143"/>
        <v>552.27316231613804</v>
      </c>
      <c r="O261" s="305"/>
      <c r="P261" s="303"/>
      <c r="Q261" s="262">
        <f>SUMIFS(BV_Data_An_Prec!$O:$O,BV_Data_An_Prec!$U:$U,$B261,BV_Data_An_Prec!$V:$V,$C261,BV_Data_An_Prec!$W:$W,$L$2)</f>
        <v>1233.98</v>
      </c>
      <c r="R261" s="305"/>
      <c r="S261" s="307">
        <f t="shared" si="144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239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  <c r="BC261" s="532"/>
    </row>
    <row r="262" spans="1:55" ht="15.75" customHeight="1">
      <c r="A262" s="600" t="str">
        <f t="shared" si="138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+INDEX('Budget original'!$A$2:$AO$496,MATCH($A262,'Budget original'!$A$2:$A$496,0),MATCH(F$2,'Budget original'!$A$2:$AO$2,0))</f>
        <v>651.42623367343435</v>
      </c>
      <c r="G262" s="300"/>
      <c r="H262" s="250"/>
      <c r="I262" s="248">
        <f>+INDEX('Budget révisé'!$A$2:$AO$496,MATCH($A262,'Budget révisé'!$A$2:$A$496,0),MATCH(I$2,'Budget révisé'!$A$2:$AO$2,0))</f>
        <v>651.42623367343435</v>
      </c>
      <c r="J262" s="244"/>
      <c r="K262" s="250"/>
      <c r="L262" s="298">
        <f>SUMIFS(BV_Data_An_Cour!$O:$O,BV_Data_An_Cour!$U:$U,$B262,BV_Data_An_Cour!$V:$V,$C262,BV_Data_An_Cour!$W:$W,$L$2)</f>
        <v>1281</v>
      </c>
      <c r="M262" s="244"/>
      <c r="N262" s="249">
        <f t="shared" si="143"/>
        <v>629.57376632656565</v>
      </c>
      <c r="O262" s="244"/>
      <c r="P262" s="250"/>
      <c r="Q262" s="298">
        <f>SUMIFS(BV_Data_An_Prec!$O:$O,BV_Data_An_Prec!$U:$U,$B262,BV_Data_An_Prec!$V:$V,$C262,BV_Data_An_Prec!$W:$W,$L$2)</f>
        <v>532.33000000000004</v>
      </c>
      <c r="R262" s="244"/>
      <c r="S262" s="301">
        <f t="shared" si="144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50"/>
      <c r="AK262" s="239"/>
      <c r="AL262" s="239"/>
      <c r="AM262" s="239"/>
      <c r="AN262" s="250"/>
      <c r="AO262" s="250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  <c r="BC262" s="532"/>
    </row>
    <row r="263" spans="1:55" ht="15.75" customHeight="1">
      <c r="A263" s="600" t="str">
        <f t="shared" si="138"/>
        <v>CarrosserieCsst</v>
      </c>
      <c r="B263" s="24" t="s">
        <v>171</v>
      </c>
      <c r="C263" s="297" t="s">
        <v>119</v>
      </c>
      <c r="D263" s="279"/>
      <c r="E263" s="250"/>
      <c r="F263" s="248">
        <f>+INDEX('Budget original'!$A$2:$AO$496,MATCH($A263,'Budget original'!$A$2:$A$496,0),MATCH(F$2,'Budget original'!$A$2:$AO$2,0))</f>
        <v>151.49447294731033</v>
      </c>
      <c r="G263" s="300"/>
      <c r="H263" s="250"/>
      <c r="I263" s="248">
        <f>+INDEX('Budget révisé'!$A$2:$AO$496,MATCH($A263,'Budget révisé'!$A$2:$A$496,0),MATCH(I$2,'Budget révisé'!$A$2:$AO$2,0))</f>
        <v>151.49447294731033</v>
      </c>
      <c r="J263" s="244"/>
      <c r="K263" s="250"/>
      <c r="L263" s="298">
        <f>SUMIFS(BV_Data_An_Cour!$O:$O,BV_Data_An_Cour!$U:$U,$B263,BV_Data_An_Cour!$V:$V,$C263,BV_Data_An_Cour!$W:$W,$L$2)</f>
        <v>0</v>
      </c>
      <c r="M263" s="244"/>
      <c r="N263" s="249">
        <f t="shared" si="143"/>
        <v>-151.49447294731033</v>
      </c>
      <c r="O263" s="244"/>
      <c r="P263" s="250"/>
      <c r="Q263" s="298">
        <f>SUMIFS(BV_Data_An_Prec!$O:$O,BV_Data_An_Prec!$U:$U,$B263,BV_Data_An_Prec!$V:$V,$C263,BV_Data_An_Prec!$W:$W,$L$2)</f>
        <v>327.96</v>
      </c>
      <c r="R263" s="244"/>
      <c r="S263" s="301">
        <f t="shared" si="144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50"/>
      <c r="AK263" s="239"/>
      <c r="AL263" s="239"/>
      <c r="AM263" s="239"/>
      <c r="AN263" s="250"/>
      <c r="AO263" s="250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  <c r="BC263" s="532"/>
    </row>
    <row r="264" spans="1:55" ht="15.75" customHeight="1">
      <c r="A264" s="600" t="str">
        <f t="shared" si="138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SUMIFS(BV_Data_An_Cour!$O:$O,BV_Data_An_Cour!$U:$U,$B264,BV_Data_An_Cour!$V:$V,$C264,BV_Data_An_Cour!$W:$W,$L$2)</f>
        <v>0</v>
      </c>
      <c r="M264" s="312"/>
      <c r="N264" s="313">
        <f t="shared" si="143"/>
        <v>0</v>
      </c>
      <c r="O264" s="312"/>
      <c r="P264" s="310"/>
      <c r="Q264" s="298">
        <f>SUMIFS(BV_Data_An_Prec!$O:$O,BV_Data_An_Prec!$U:$U,$B264,BV_Data_An_Prec!$V:$V,$C264,BV_Data_An_Prec!$W:$W,$L$2)</f>
        <v>0</v>
      </c>
      <c r="R264" s="312"/>
      <c r="S264" s="314">
        <f t="shared" si="144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50"/>
      <c r="AK264" s="239"/>
      <c r="AL264" s="239"/>
      <c r="AM264" s="239"/>
      <c r="AN264" s="250"/>
      <c r="AO264" s="250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  <c r="BC264" s="532"/>
    </row>
    <row r="265" spans="1:55" ht="15.75" customHeight="1">
      <c r="A265" s="600" t="str">
        <f t="shared" si="138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12161.92</v>
      </c>
      <c r="M265" s="43"/>
      <c r="N265" s="46">
        <f t="shared" si="143"/>
        <v>1966.3419706460154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ref="S265:S283" si="145">L265-Q265</f>
        <v>695.67000000000189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50"/>
      <c r="AK265" s="239"/>
      <c r="AL265" s="239"/>
      <c r="AM265" s="239"/>
      <c r="AN265" s="250"/>
      <c r="AO265" s="250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  <c r="BC265" s="532"/>
    </row>
    <row r="266" spans="1:55" ht="15.75" customHeight="1">
      <c r="A266" s="600" t="str">
        <f t="shared" si="138"/>
        <v>CarrosseriePublicité 2</v>
      </c>
      <c r="B266" s="24" t="s">
        <v>171</v>
      </c>
      <c r="C266" s="317" t="s">
        <v>121</v>
      </c>
      <c r="D266" s="318"/>
      <c r="E266" s="195"/>
      <c r="F266" s="196">
        <f>+INDEX('Budget original'!$A$2:$AO$496,MATCH($A266,'Budget original'!$A$2:$A$496,0),MATCH(F$2,'Budget original'!$A$2:$AO$2,0))</f>
        <v>0</v>
      </c>
      <c r="G266" s="319"/>
      <c r="H266" s="195"/>
      <c r="I266" s="196">
        <f>+INDEX('Budget révisé'!$A$2:$AO$496,MATCH($A266,'Budget révisé'!$A$2:$A$496,0),MATCH(I$2,'Budget révisé'!$A$2:$AO$2,0))</f>
        <v>0</v>
      </c>
      <c r="J266" s="320"/>
      <c r="K266" s="195"/>
      <c r="L266" s="298">
        <f>SUMIFS(BV_Data_An_Cour!$O:$O,BV_Data_An_Cour!$U:$U,$B266,BV_Data_An_Cour!$V:$V,$C266,BV_Data_An_Cour!$W:$W,$L$2)</f>
        <v>100.08</v>
      </c>
      <c r="M266" s="320"/>
      <c r="N266" s="321">
        <f t="shared" si="143"/>
        <v>100.08</v>
      </c>
      <c r="O266" s="320"/>
      <c r="P266" s="195"/>
      <c r="Q266" s="298">
        <f>SUMIFS(BV_Data_An_Prec!$O:$O,BV_Data_An_Prec!$U:$U,$B266,BV_Data_An_Prec!$V:$V,$C266,BV_Data_An_Prec!$W:$W,$L$2)</f>
        <v>0</v>
      </c>
      <c r="R266" s="320"/>
      <c r="S266" s="216">
        <f t="shared" si="145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50"/>
      <c r="AK266" s="239"/>
      <c r="AL266" s="239"/>
      <c r="AM266" s="239"/>
      <c r="AN266" s="250"/>
      <c r="AO266" s="250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  <c r="BC266" s="532"/>
    </row>
    <row r="267" spans="1:55" ht="15.75" customHeight="1">
      <c r="A267" s="600" t="str">
        <f t="shared" si="138"/>
        <v>CarrosserieService gratuit 2</v>
      </c>
      <c r="B267" s="24" t="s">
        <v>171</v>
      </c>
      <c r="C267" s="322" t="s">
        <v>122</v>
      </c>
      <c r="D267" s="318"/>
      <c r="E267" s="195"/>
      <c r="F267" s="196">
        <f>+INDEX('Budget original'!$A$2:$AO$496,MATCH($A267,'Budget original'!$A$2:$A$496,0),MATCH(F$2,'Budget original'!$A$2:$AO$2,0))</f>
        <v>998.72169351846264</v>
      </c>
      <c r="G267" s="319"/>
      <c r="H267" s="195"/>
      <c r="I267" s="196">
        <f>+INDEX('Budget révisé'!$A$2:$AO$496,MATCH($A267,'Budget révisé'!$A$2:$A$496,0),MATCH(I$2,'Budget révisé'!$A$2:$AO$2,0))</f>
        <v>998.72169351846264</v>
      </c>
      <c r="J267" s="320"/>
      <c r="K267" s="195"/>
      <c r="L267" s="197">
        <f>SUMIFS(BV_Data_An_Cour!$O:$O,BV_Data_An_Cour!$U:$U,$B267,BV_Data_An_Cour!$V:$V,$C267,BV_Data_An_Cour!$W:$W,$L$2)</f>
        <v>12.15</v>
      </c>
      <c r="M267" s="320"/>
      <c r="N267" s="321">
        <f t="shared" si="143"/>
        <v>-986.57169351846267</v>
      </c>
      <c r="O267" s="320"/>
      <c r="P267" s="195"/>
      <c r="Q267" s="197">
        <f>SUMIFS(BV_Data_An_Prec!$O:$O,BV_Data_An_Prec!$U:$U,$B267,BV_Data_An_Prec!$V:$V,$C267,BV_Data_An_Prec!$W:$W,$L$2)</f>
        <v>30</v>
      </c>
      <c r="R267" s="320"/>
      <c r="S267" s="216">
        <f t="shared" si="145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50"/>
      <c r="AK267" s="239"/>
      <c r="AL267" s="239"/>
      <c r="AM267" s="239"/>
      <c r="AN267" s="250"/>
      <c r="AO267" s="250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  <c r="BC267" s="532"/>
    </row>
    <row r="268" spans="1:55" ht="15.75" customHeight="1">
      <c r="A268" s="600" t="str">
        <f t="shared" si="138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+INDEX('Budget original'!$A$2:$AO$496,MATCH($A268,'Budget original'!$A$2:$A$496,0),MATCH(F$2,'Budget original'!$A$2:$AO$2,0))</f>
        <v>298.94</v>
      </c>
      <c r="G268" s="326"/>
      <c r="H268" s="325"/>
      <c r="I268" s="194">
        <f>+INDEX('Budget révisé'!$A$2:$AO$496,MATCH($A268,'Budget révisé'!$A$2:$A$496,0),MATCH(I$2,'Budget révisé'!$A$2:$AO$2,0))</f>
        <v>298.94</v>
      </c>
      <c r="J268" s="327"/>
      <c r="K268" s="325"/>
      <c r="L268" s="197">
        <f>SUMIFS(BV_Data_An_Cour!$O:$O,BV_Data_An_Cour!$U:$U,$B268,BV_Data_An_Cour!$V:$V,$C268,BV_Data_An_Cour!$W:$W,$L$2)</f>
        <v>824.3</v>
      </c>
      <c r="M268" s="327"/>
      <c r="N268" s="328">
        <f t="shared" si="143"/>
        <v>525.3599999999999</v>
      </c>
      <c r="O268" s="327"/>
      <c r="P268" s="325"/>
      <c r="Q268" s="197">
        <f>SUMIFS(BV_Data_An_Prec!$O:$O,BV_Data_An_Prec!$U:$U,$B268,BV_Data_An_Prec!$V:$V,$C268,BV_Data_An_Prec!$W:$W,$L$2)</f>
        <v>2149.3200000000002</v>
      </c>
      <c r="R268" s="327"/>
      <c r="S268" s="219">
        <f t="shared" si="145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50"/>
      <c r="AK268" s="239"/>
      <c r="AL268" s="239"/>
      <c r="AM268" s="239"/>
      <c r="AN268" s="250"/>
      <c r="AO268" s="250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  <c r="BC268" s="532"/>
    </row>
    <row r="269" spans="1:55" ht="15.75" customHeight="1">
      <c r="A269" s="600" t="str">
        <f t="shared" si="138"/>
        <v>CarrosserieInformatique</v>
      </c>
      <c r="B269" s="24" t="s">
        <v>171</v>
      </c>
      <c r="C269" s="322" t="s">
        <v>124</v>
      </c>
      <c r="D269" s="318"/>
      <c r="E269" s="195"/>
      <c r="F269" s="196">
        <f>+INDEX('Budget original'!$A$2:$AO$496,MATCH($A269,'Budget original'!$A$2:$A$496,0),MATCH(F$2,'Budget original'!$A$2:$AO$2,0))</f>
        <v>1436.6179333333334</v>
      </c>
      <c r="G269" s="319"/>
      <c r="H269" s="195"/>
      <c r="I269" s="196">
        <f>+INDEX('Budget révisé'!$A$2:$AO$496,MATCH($A269,'Budget révisé'!$A$2:$A$496,0),MATCH(I$2,'Budget révisé'!$A$2:$AO$2,0))</f>
        <v>1436.6179333333334</v>
      </c>
      <c r="J269" s="320"/>
      <c r="K269" s="195"/>
      <c r="L269" s="198">
        <f>SUMIFS(BV_Data_An_Cour!$O:$O,BV_Data_An_Cour!$U:$U,$B269,BV_Data_An_Cour!$V:$V,$C269,BV_Data_An_Cour!$W:$W,$L$2)</f>
        <v>1378.59</v>
      </c>
      <c r="M269" s="320"/>
      <c r="N269" s="321">
        <f t="shared" si="143"/>
        <v>-58.027933333333522</v>
      </c>
      <c r="O269" s="320"/>
      <c r="P269" s="195"/>
      <c r="Q269" s="198">
        <f>SUMIFS(BV_Data_An_Prec!$O:$O,BV_Data_An_Prec!$U:$U,$B269,BV_Data_An_Prec!$V:$V,$C269,BV_Data_An_Prec!$W:$W,$L$2)</f>
        <v>1362.14</v>
      </c>
      <c r="R269" s="320"/>
      <c r="S269" s="216">
        <f t="shared" si="145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50"/>
      <c r="AK269" s="239"/>
      <c r="AL269" s="239"/>
      <c r="AM269" s="239"/>
      <c r="AN269" s="250"/>
      <c r="AO269" s="250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  <c r="BC269" s="532"/>
    </row>
    <row r="270" spans="1:55" ht="15.75" customHeight="1">
      <c r="A270" s="600" t="str">
        <f t="shared" si="138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+INDEX('Budget original'!$A$2:$AO$496,MATCH($A270,'Budget original'!$A$2:$A$496,0),MATCH(F$2,'Budget original'!$A$2:$AO$2,0))</f>
        <v>349.23367500000001</v>
      </c>
      <c r="G270" s="319"/>
      <c r="H270" s="195"/>
      <c r="I270" s="196">
        <f>+INDEX('Budget révisé'!$A$2:$AO$496,MATCH($A270,'Budget révisé'!$A$2:$A$496,0),MATCH(I$2,'Budget révisé'!$A$2:$AO$2,0))</f>
        <v>349.23367500000001</v>
      </c>
      <c r="J270" s="320"/>
      <c r="K270" s="195"/>
      <c r="L270" s="197">
        <f>SUMIFS(BV_Data_An_Cour!$O:$O,BV_Data_An_Cour!$U:$U,$B270,BV_Data_An_Cour!$V:$V,$C270,BV_Data_An_Cour!$W:$W,$L$2)</f>
        <v>13.57</v>
      </c>
      <c r="M270" s="320"/>
      <c r="N270" s="321">
        <f t="shared" si="143"/>
        <v>-335.66367500000001</v>
      </c>
      <c r="O270" s="320"/>
      <c r="P270" s="195"/>
      <c r="Q270" s="197">
        <f>SUMIFS(BV_Data_An_Prec!$O:$O,BV_Data_An_Prec!$U:$U,$B270,BV_Data_An_Prec!$V:$V,$C270,BV_Data_An_Prec!$W:$W,$L$2)</f>
        <v>425.39</v>
      </c>
      <c r="R270" s="320"/>
      <c r="S270" s="216">
        <f t="shared" si="145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50"/>
      <c r="AK270" s="239"/>
      <c r="AL270" s="239"/>
      <c r="AM270" s="239"/>
      <c r="AN270" s="250"/>
      <c r="AO270" s="250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  <c r="BC270" s="532"/>
    </row>
    <row r="271" spans="1:55" ht="15.75" customHeight="1">
      <c r="A271" s="600" t="str">
        <f t="shared" si="138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+INDEX('Budget original'!$A$2:$AO$496,MATCH($A271,'Budget original'!$A$2:$A$496,0),MATCH(F$2,'Budget original'!$A$2:$AO$2,0))</f>
        <v>1024.7769583333334</v>
      </c>
      <c r="G271" s="326"/>
      <c r="H271" s="325"/>
      <c r="I271" s="194">
        <f>+INDEX('Budget révisé'!$A$2:$AO$496,MATCH($A271,'Budget révisé'!$A$2:$A$496,0),MATCH(I$2,'Budget révisé'!$A$2:$AO$2,0))</f>
        <v>1024.7769583333334</v>
      </c>
      <c r="J271" s="327"/>
      <c r="K271" s="325"/>
      <c r="L271" s="197">
        <f>SUMIFS(BV_Data_An_Cour!$O:$O,BV_Data_An_Cour!$U:$U,$B271,BV_Data_An_Cour!$V:$V,$C271,BV_Data_An_Cour!$W:$W,$L$2)</f>
        <v>282.91000000000003</v>
      </c>
      <c r="M271" s="327"/>
      <c r="N271" s="328">
        <f t="shared" si="143"/>
        <v>-741.86695833333329</v>
      </c>
      <c r="O271" s="327"/>
      <c r="P271" s="325"/>
      <c r="Q271" s="197">
        <f>SUMIFS(BV_Data_An_Prec!$O:$O,BV_Data_An_Prec!$U:$U,$B271,BV_Data_An_Prec!$V:$V,$C271,BV_Data_An_Prec!$W:$W,$L$2)</f>
        <v>988.34</v>
      </c>
      <c r="R271" s="327"/>
      <c r="S271" s="219">
        <f t="shared" si="145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50"/>
      <c r="AK271" s="239"/>
      <c r="AL271" s="239"/>
      <c r="AM271" s="239"/>
      <c r="AN271" s="250"/>
      <c r="AO271" s="250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  <c r="BC271" s="532"/>
    </row>
    <row r="272" spans="1:55" s="600" customFormat="1" ht="15.75" customHeight="1">
      <c r="A272" s="600" t="str">
        <f t="shared" ref="A272" si="146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SUMIFS(BV_Data_An_Cour!$O:$O,BV_Data_An_Cour!$U:$U,$B272,BV_Data_An_Cour!$V:$V,$C272,BV_Data_An_Cour!$W:$W,$L$2)</f>
        <v>0</v>
      </c>
      <c r="M272" s="320"/>
      <c r="N272" s="321">
        <f t="shared" ref="N272" si="147">L272-I272</f>
        <v>0</v>
      </c>
      <c r="O272" s="320"/>
      <c r="P272" s="195"/>
      <c r="Q272" s="197">
        <f>SUMIFS(BV_Data_An_Prec!$O:$O,BV_Data_An_Prec!$U:$U,$B272,BV_Data_An_Prec!$V:$V,$C272,BV_Data_An_Prec!$W:$W,$L$2)</f>
        <v>0</v>
      </c>
      <c r="R272" s="320"/>
      <c r="S272" s="216">
        <f t="shared" ref="S272" si="148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  <c r="BC272" s="532"/>
    </row>
    <row r="273" spans="1:55" ht="15.75" customHeight="1">
      <c r="A273" s="600" t="str">
        <f t="shared" si="138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+INDEX('Budget original'!$A$2:$AO$496,MATCH($A273,'Budget original'!$A$2:$A$496,0),MATCH(F$2,'Budget original'!$A$2:$AO$2,0))</f>
        <v>0</v>
      </c>
      <c r="G273" s="319"/>
      <c r="H273" s="195"/>
      <c r="I273" s="196">
        <f>+INDEX('Budget révisé'!$A$2:$AO$496,MATCH($A273,'Budget révisé'!$A$2:$A$496,0),MATCH(I$2,'Budget révisé'!$A$2:$AO$2,0))</f>
        <v>0</v>
      </c>
      <c r="J273" s="320"/>
      <c r="K273" s="195"/>
      <c r="L273" s="298">
        <f>SUMIFS(BV_Data_An_Cour!$O:$O,BV_Data_An_Cour!$U:$U,$B273,BV_Data_An_Cour!$V:$V,$C273,BV_Data_An_Cour!$W:$W,$L$2)</f>
        <v>0</v>
      </c>
      <c r="M273" s="320"/>
      <c r="N273" s="321">
        <f t="shared" si="143"/>
        <v>0</v>
      </c>
      <c r="O273" s="320"/>
      <c r="P273" s="195"/>
      <c r="Q273" s="197">
        <f>SUMIFS(BV_Data_An_Prec!$O:$O,BV_Data_An_Prec!$U:$U,$B273,BV_Data_An_Prec!$V:$V,$C273,BV_Data_An_Prec!$W:$W,$L$2)</f>
        <v>0</v>
      </c>
      <c r="R273" s="320"/>
      <c r="S273" s="216">
        <f t="shared" si="145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50"/>
      <c r="AK273" s="239"/>
      <c r="AL273" s="239"/>
      <c r="AM273" s="239"/>
      <c r="AN273" s="250"/>
      <c r="AO273" s="250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  <c r="BC273" s="532"/>
    </row>
    <row r="274" spans="1:55" ht="15.75" customHeight="1">
      <c r="A274" s="600" t="str">
        <f t="shared" si="138"/>
        <v>CarrosserieUniformes</v>
      </c>
      <c r="B274" s="24" t="s">
        <v>171</v>
      </c>
      <c r="C274" s="322" t="s">
        <v>128</v>
      </c>
      <c r="D274" s="318"/>
      <c r="E274" s="195"/>
      <c r="F274" s="196">
        <f>+INDEX('Budget original'!$A$2:$AO$496,MATCH($A274,'Budget original'!$A$2:$A$496,0),MATCH(F$2,'Budget original'!$A$2:$AO$2,0))</f>
        <v>0</v>
      </c>
      <c r="G274" s="319"/>
      <c r="H274" s="195"/>
      <c r="I274" s="196">
        <f>+INDEX('Budget révisé'!$A$2:$AO$496,MATCH($A274,'Budget révisé'!$A$2:$A$496,0),MATCH(I$2,'Budget révisé'!$A$2:$AO$2,0))</f>
        <v>0</v>
      </c>
      <c r="J274" s="320"/>
      <c r="K274" s="195"/>
      <c r="L274" s="298">
        <f>SUMIFS(BV_Data_An_Cour!$O:$O,BV_Data_An_Cour!$U:$U,$B274,BV_Data_An_Cour!$V:$V,$C274,BV_Data_An_Cour!$W:$W,$L$2)</f>
        <v>0</v>
      </c>
      <c r="M274" s="320"/>
      <c r="N274" s="321">
        <f t="shared" si="143"/>
        <v>0</v>
      </c>
      <c r="O274" s="320"/>
      <c r="P274" s="195"/>
      <c r="Q274" s="197">
        <f>SUMIFS(BV_Data_An_Prec!$O:$O,BV_Data_An_Prec!$U:$U,$B274,BV_Data_An_Prec!$V:$V,$C274,BV_Data_An_Prec!$W:$W,$L$2)</f>
        <v>0</v>
      </c>
      <c r="R274" s="320"/>
      <c r="S274" s="216">
        <f t="shared" si="145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50"/>
      <c r="AK274" s="239"/>
      <c r="AL274" s="239"/>
      <c r="AM274" s="239"/>
      <c r="AN274" s="250"/>
      <c r="AO274" s="250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  <c r="BC274" s="532"/>
    </row>
    <row r="275" spans="1:55" ht="15.75" customHeight="1">
      <c r="A275" s="600" t="str">
        <f t="shared" si="138"/>
        <v>CarrosseriePapeterie</v>
      </c>
      <c r="B275" s="24" t="s">
        <v>171</v>
      </c>
      <c r="C275" s="322" t="s">
        <v>129</v>
      </c>
      <c r="D275" s="318"/>
      <c r="E275" s="195"/>
      <c r="F275" s="196">
        <f>+INDEX('Budget original'!$A$2:$AO$496,MATCH($A275,'Budget original'!$A$2:$A$496,0),MATCH(F$2,'Budget original'!$A$2:$AO$2,0))</f>
        <v>152.60000000000002</v>
      </c>
      <c r="G275" s="319"/>
      <c r="H275" s="195"/>
      <c r="I275" s="196">
        <f>+INDEX('Budget révisé'!$A$2:$AO$496,MATCH($A275,'Budget révisé'!$A$2:$A$496,0),MATCH(I$2,'Budget révisé'!$A$2:$AO$2,0))</f>
        <v>152.60000000000002</v>
      </c>
      <c r="J275" s="320"/>
      <c r="K275" s="195"/>
      <c r="L275" s="1090">
        <f>SUMIFS(BV_Data_An_Cour!$O:$O,BV_Data_An_Cour!$U:$U,$B275,BV_Data_An_Cour!$V:$V,$C275,BV_Data_An_Cour!$W:$W,$L$2)</f>
        <v>54.45</v>
      </c>
      <c r="M275" s="320"/>
      <c r="N275" s="321">
        <f t="shared" si="143"/>
        <v>-98.15000000000002</v>
      </c>
      <c r="O275" s="320"/>
      <c r="P275" s="195"/>
      <c r="Q275" s="572">
        <f>SUMIFS(BV_Data_An_Prec!$O:$O,BV_Data_An_Prec!$U:$U,$B275,BV_Data_An_Prec!$V:$V,$C275,BV_Data_An_Prec!$W:$W,$L$2)</f>
        <v>129.5</v>
      </c>
      <c r="R275" s="320"/>
      <c r="S275" s="216">
        <f t="shared" si="145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239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  <c r="BC275" s="532"/>
    </row>
    <row r="276" spans="1:55" ht="15.75" customHeight="1">
      <c r="A276" s="600" t="str">
        <f t="shared" si="138"/>
        <v>CarrosserieTéléphone</v>
      </c>
      <c r="B276" s="24" t="s">
        <v>171</v>
      </c>
      <c r="C276" s="322" t="s">
        <v>130</v>
      </c>
      <c r="D276" s="318"/>
      <c r="E276" s="195"/>
      <c r="F276" s="196">
        <f>+INDEX('Budget original'!$A$2:$AO$496,MATCH($A276,'Budget original'!$A$2:$A$496,0),MATCH(F$2,'Budget original'!$A$2:$AO$2,0))</f>
        <v>177.637</v>
      </c>
      <c r="G276" s="319"/>
      <c r="H276" s="195"/>
      <c r="I276" s="196">
        <f>+INDEX('Budget révisé'!$A$2:$AO$496,MATCH($A276,'Budget révisé'!$A$2:$A$496,0),MATCH(I$2,'Budget révisé'!$A$2:$AO$2,0))</f>
        <v>177.637</v>
      </c>
      <c r="J276" s="320"/>
      <c r="K276" s="195"/>
      <c r="L276" s="298">
        <f>SUMIFS(BV_Data_An_Cour!$O:$O,BV_Data_An_Cour!$U:$U,$B276,BV_Data_An_Cour!$V:$V,$C276,BV_Data_An_Cour!$W:$W,$L$2)</f>
        <v>122.38</v>
      </c>
      <c r="M276" s="320"/>
      <c r="N276" s="321">
        <f t="shared" si="143"/>
        <v>-55.257000000000005</v>
      </c>
      <c r="O276" s="320"/>
      <c r="P276" s="195"/>
      <c r="Q276" s="197">
        <f>SUMIFS(BV_Data_An_Prec!$O:$O,BV_Data_An_Prec!$U:$U,$B276,BV_Data_An_Prec!$V:$V,$C276,BV_Data_An_Prec!$W:$W,$L$2)</f>
        <v>83.33</v>
      </c>
      <c r="R276" s="320"/>
      <c r="S276" s="216">
        <f t="shared" si="145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239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  <c r="BC276" s="532"/>
    </row>
    <row r="277" spans="1:55" ht="15.75" customHeight="1">
      <c r="A277" s="600" t="str">
        <f t="shared" si="138"/>
        <v>CarrosserieFrais postaux</v>
      </c>
      <c r="B277" s="24" t="s">
        <v>171</v>
      </c>
      <c r="C277" s="322" t="s">
        <v>131</v>
      </c>
      <c r="D277" s="318"/>
      <c r="E277" s="195"/>
      <c r="F277" s="196">
        <f>+INDEX('Budget original'!$A$2:$AO$496,MATCH($A277,'Budget original'!$A$2:$A$496,0),MATCH(F$2,'Budget original'!$A$2:$AO$2,0))</f>
        <v>60.550000000000004</v>
      </c>
      <c r="G277" s="319"/>
      <c r="H277" s="195"/>
      <c r="I277" s="196">
        <f>+INDEX('Budget révisé'!$A$2:$AO$496,MATCH($A277,'Budget révisé'!$A$2:$A$496,0),MATCH(I$2,'Budget révisé'!$A$2:$AO$2,0))</f>
        <v>60.550000000000004</v>
      </c>
      <c r="J277" s="320"/>
      <c r="K277" s="195"/>
      <c r="L277" s="298">
        <f>SUMIFS(BV_Data_An_Cour!$O:$O,BV_Data_An_Cour!$U:$U,$B277,BV_Data_An_Cour!$V:$V,$C277,BV_Data_An_Cour!$W:$W,$L$2)</f>
        <v>14.28</v>
      </c>
      <c r="M277" s="320"/>
      <c r="N277" s="321">
        <f t="shared" si="143"/>
        <v>-46.27</v>
      </c>
      <c r="O277" s="320"/>
      <c r="P277" s="195"/>
      <c r="Q277" s="197">
        <f>SUMIFS(BV_Data_An_Prec!$O:$O,BV_Data_An_Prec!$U:$U,$B277,BV_Data_An_Prec!$V:$V,$C277,BV_Data_An_Prec!$W:$W,$L$2)</f>
        <v>45.95</v>
      </c>
      <c r="R277" s="320"/>
      <c r="S277" s="216">
        <f t="shared" si="145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239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  <c r="BC277" s="532"/>
    </row>
    <row r="278" spans="1:55" ht="15.75" customHeight="1">
      <c r="A278" s="600" t="str">
        <f t="shared" si="138"/>
        <v>CarrosserieDivers</v>
      </c>
      <c r="B278" s="24" t="s">
        <v>171</v>
      </c>
      <c r="C278" s="322" t="s">
        <v>132</v>
      </c>
      <c r="D278" s="318"/>
      <c r="E278" s="195"/>
      <c r="F278" s="196">
        <f>+INDEX('Budget original'!$A$2:$AO$496,MATCH($A278,'Budget original'!$A$2:$A$496,0),MATCH(F$2,'Budget original'!$A$2:$AO$2,0))</f>
        <v>251.37000000000003</v>
      </c>
      <c r="G278" s="319"/>
      <c r="H278" s="195"/>
      <c r="I278" s="196">
        <f>+INDEX('Budget révisé'!$A$2:$AO$496,MATCH($A278,'Budget révisé'!$A$2:$A$496,0),MATCH(I$2,'Budget révisé'!$A$2:$AO$2,0))</f>
        <v>251.37000000000003</v>
      </c>
      <c r="J278" s="320"/>
      <c r="K278" s="195"/>
      <c r="L278" s="298">
        <f>SUMIFS(BV_Data_An_Cour!$O:$O,BV_Data_An_Cour!$U:$U,$B278,BV_Data_An_Cour!$V:$V,$C278,BV_Data_An_Cour!$W:$W,$L$2)</f>
        <v>55.19</v>
      </c>
      <c r="M278" s="320"/>
      <c r="N278" s="321">
        <f t="shared" si="143"/>
        <v>-196.18000000000004</v>
      </c>
      <c r="O278" s="320"/>
      <c r="P278" s="195"/>
      <c r="Q278" s="197">
        <f>SUMIFS(BV_Data_An_Prec!$O:$O,BV_Data_An_Prec!$U:$U,$B278,BV_Data_An_Prec!$V:$V,$C278,BV_Data_An_Prec!$W:$W,$L$2)</f>
        <v>373.03</v>
      </c>
      <c r="R278" s="320"/>
      <c r="S278" s="216">
        <f t="shared" si="145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239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  <c r="BC278" s="532"/>
    </row>
    <row r="279" spans="1:55" ht="15.75" customHeight="1">
      <c r="A279" s="600" t="str">
        <f t="shared" si="138"/>
        <v>CarrosserieFormation</v>
      </c>
      <c r="B279" s="24" t="s">
        <v>171</v>
      </c>
      <c r="C279" s="322" t="s">
        <v>133</v>
      </c>
      <c r="D279" s="318"/>
      <c r="E279" s="195"/>
      <c r="F279" s="196">
        <f>+INDEX('Budget original'!$A$2:$AO$496,MATCH($A279,'Budget original'!$A$2:$A$496,0),MATCH(F$2,'Budget original'!$A$2:$AO$2,0))</f>
        <v>41.200833333333343</v>
      </c>
      <c r="G279" s="319"/>
      <c r="H279" s="195"/>
      <c r="I279" s="196">
        <f>+INDEX('Budget révisé'!$A$2:$AO$496,MATCH($A279,'Budget révisé'!$A$2:$A$496,0),MATCH(I$2,'Budget révisé'!$A$2:$AO$2,0))</f>
        <v>41.200833333333343</v>
      </c>
      <c r="J279" s="320"/>
      <c r="K279" s="195"/>
      <c r="L279" s="298">
        <f>SUMIFS(BV_Data_An_Cour!$O:$O,BV_Data_An_Cour!$U:$U,$B279,BV_Data_An_Cour!$V:$V,$C279,BV_Data_An_Cour!$W:$W,$L$2)</f>
        <v>6.2</v>
      </c>
      <c r="M279" s="320"/>
      <c r="N279" s="321">
        <f t="shared" si="143"/>
        <v>-35.00083333333334</v>
      </c>
      <c r="O279" s="320"/>
      <c r="P279" s="195"/>
      <c r="Q279" s="197">
        <f>SUMIFS(BV_Data_An_Prec!$O:$O,BV_Data_An_Prec!$U:$U,$B279,BV_Data_An_Prec!$V:$V,$C279,BV_Data_An_Prec!$W:$W,$L$2)</f>
        <v>35</v>
      </c>
      <c r="R279" s="320"/>
      <c r="S279" s="216">
        <f t="shared" si="145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239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  <c r="BC279" s="532"/>
    </row>
    <row r="280" spans="1:55" ht="15.75" customHeight="1">
      <c r="A280" s="600" t="str">
        <f t="shared" si="138"/>
        <v>CarrosserieFrais bancaires</v>
      </c>
      <c r="B280" s="24" t="s">
        <v>171</v>
      </c>
      <c r="C280" s="322" t="s">
        <v>134</v>
      </c>
      <c r="D280" s="318"/>
      <c r="E280" s="195"/>
      <c r="F280" s="248">
        <f>+INDEX('Budget original'!$A$2:$AO$496,MATCH($A280,'Budget original'!$A$2:$A$496,0),MATCH(F$2,'Budget original'!$A$2:$AO$2,0))</f>
        <v>456.67865093790959</v>
      </c>
      <c r="G280" s="319"/>
      <c r="H280" s="195"/>
      <c r="I280" s="196">
        <f>+INDEX('Budget révisé'!$A$2:$AO$496,MATCH($A280,'Budget révisé'!$A$2:$A$496,0),MATCH(I$2,'Budget révisé'!$A$2:$AO$2,0))</f>
        <v>456.67865093790959</v>
      </c>
      <c r="J280" s="320"/>
      <c r="K280" s="195"/>
      <c r="L280" s="298">
        <f>AG447*W6</f>
        <v>107.03050000000002</v>
      </c>
      <c r="M280" s="320"/>
      <c r="N280" s="321">
        <f t="shared" si="143"/>
        <v>-349.64815093790958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45"/>
        <v>107.03050000000002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239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  <c r="BC280" s="532"/>
    </row>
    <row r="281" spans="1:55" ht="15.75" customHeight="1">
      <c r="A281" s="600" t="str">
        <f t="shared" si="138"/>
        <v>Carrosserie[...]</v>
      </c>
      <c r="B281" s="24" t="s">
        <v>171</v>
      </c>
      <c r="C281" s="322" t="s">
        <v>42</v>
      </c>
      <c r="D281" s="318"/>
      <c r="E281" s="195"/>
      <c r="F281" s="196">
        <f>+INDEX('Budget original'!$A$2:$AO$496,MATCH($A281,'Budget original'!$A$2:$A$496,0),MATCH(F$2,'Budget original'!$A$2:$AO$2,0))</f>
        <v>0</v>
      </c>
      <c r="G281" s="319"/>
      <c r="H281" s="195"/>
      <c r="I281" s="196">
        <f>+INDEX('Budget révisé'!$A$2:$AO$496,MATCH($A281,'Budget révisé'!$A$2:$A$496,0),MATCH(I$2,'Budget révisé'!$A$2:$AO$2,0))</f>
        <v>0</v>
      </c>
      <c r="J281" s="320"/>
      <c r="K281" s="195"/>
      <c r="L281" s="197">
        <f>SUMIFS(BV_Data_An_Cour!$O:$O,BV_Data_An_Cour!$U:$U,$B281,BV_Data_An_Cour!$V:$V,$C281,BV_Data_An_Cour!$W:$W,$L$2)</f>
        <v>0</v>
      </c>
      <c r="M281" s="320"/>
      <c r="N281" s="321">
        <f t="shared" si="143"/>
        <v>0</v>
      </c>
      <c r="O281" s="320"/>
      <c r="P281" s="195"/>
      <c r="Q281" s="197">
        <f>SUMIFS(BV_Data_An_Prec!$O:$O,BV_Data_An_Prec!$U:$U,$B281,BV_Data_An_Prec!$V:$V,$C281,BV_Data_An_Prec!$W:$W,$L$2)</f>
        <v>0</v>
      </c>
      <c r="R281" s="320"/>
      <c r="S281" s="216">
        <f t="shared" si="145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239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  <c r="BC281" s="532"/>
    </row>
    <row r="282" spans="1:55" s="600" customFormat="1" ht="15.75" customHeight="1">
      <c r="A282" s="600" t="str">
        <f t="shared" ref="A282" si="149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+INDEX('Budget original'!$A$2:$AO$496,MATCH($A282,'Budget original'!$A$2:$A$496,0),MATCH(F$2,'Budget original'!$A$2:$AO$2,0))</f>
        <v>0</v>
      </c>
      <c r="G282" s="319"/>
      <c r="H282" s="195"/>
      <c r="I282" s="196">
        <f>+INDEX('Budget révisé'!$A$2:$AO$496,MATCH($A282,'Budget révisé'!$A$2:$A$496,0),MATCH(I$2,'Budget révisé'!$A$2:$AO$2,0))</f>
        <v>0</v>
      </c>
      <c r="J282" s="320"/>
      <c r="K282" s="195"/>
      <c r="L282" s="197">
        <f>SUMIFS(BV_Data_An_Cour!$O:$O,BV_Data_An_Cour!$U:$U,$B282,BV_Data_An_Cour!$V:$V,$C282,BV_Data_An_Cour!$W:$W,$L$2)</f>
        <v>0</v>
      </c>
      <c r="M282" s="320"/>
      <c r="N282" s="321">
        <f t="shared" ref="N282" si="150">L282-I282</f>
        <v>0</v>
      </c>
      <c r="O282" s="320"/>
      <c r="P282" s="195"/>
      <c r="Q282" s="197">
        <f>SUMIFS(BV_Data_An_Prec!$O:$O,BV_Data_An_Prec!$U:$U,$B282,BV_Data_An_Prec!$V:$V,$C282,BV_Data_An_Prec!$W:$W,$L$2)</f>
        <v>0</v>
      </c>
      <c r="R282" s="320"/>
      <c r="S282" s="216">
        <f t="shared" ref="S282" si="151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239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  <c r="BC282" s="532"/>
    </row>
    <row r="283" spans="1:55" ht="15.75" customHeight="1">
      <c r="A283" s="600" t="str">
        <f t="shared" si="138"/>
        <v>Carrosserie[...]</v>
      </c>
      <c r="B283" s="24" t="s">
        <v>171</v>
      </c>
      <c r="C283" s="322" t="s">
        <v>42</v>
      </c>
      <c r="D283" s="318"/>
      <c r="E283" s="195"/>
      <c r="F283" s="196">
        <f>+INDEX('Budget original'!$A$2:$AO$496,MATCH($A283,'Budget original'!$A$2:$A$496,0),MATCH(F$2,'Budget original'!$A$2:$AO$2,0))</f>
        <v>0</v>
      </c>
      <c r="G283" s="319"/>
      <c r="H283" s="195"/>
      <c r="I283" s="196">
        <f>+INDEX('Budget révisé'!$A$2:$AO$496,MATCH($A283,'Budget révisé'!$A$2:$A$496,0),MATCH(I$2,'Budget révisé'!$A$2:$AO$2,0))</f>
        <v>0</v>
      </c>
      <c r="J283" s="320"/>
      <c r="K283" s="195"/>
      <c r="L283" s="197">
        <f>SUMIFS(BV_Data_An_Cour!$O:$O,BV_Data_An_Cour!$U:$U,$B283,BV_Data_An_Cour!$V:$V,$C283,BV_Data_An_Cour!$W:$W,$L$2)</f>
        <v>0</v>
      </c>
      <c r="M283" s="320"/>
      <c r="N283" s="321">
        <f t="shared" si="143"/>
        <v>0</v>
      </c>
      <c r="O283" s="320"/>
      <c r="P283" s="195"/>
      <c r="Q283" s="197">
        <f>SUMIFS(BV_Data_An_Prec!$O:$O,BV_Data_An_Prec!$U:$U,$B283,BV_Data_An_Prec!$V:$V,$C283,BV_Data_An_Prec!$W:$W,$L$2)</f>
        <v>0</v>
      </c>
      <c r="R283" s="320"/>
      <c r="S283" s="216">
        <f t="shared" si="145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239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  <c r="BC283" s="532"/>
    </row>
    <row r="284" spans="1:55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2971.1304999999998</v>
      </c>
      <c r="M284" s="44"/>
      <c r="N284" s="41">
        <f>+SUM(N266:N283)</f>
        <v>-2277.1962444563724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ref="S284" si="152">L284-Q284</f>
        <v>-2650.8694999999993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239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  <c r="BC284" s="532"/>
    </row>
    <row r="285" spans="1:55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  <c r="BC285" s="532"/>
    </row>
    <row r="286" spans="1:55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15133.050499999999</v>
      </c>
      <c r="M286" s="44"/>
      <c r="N286" s="46">
        <f t="shared" ref="N286:N288" si="153">L286-I286</f>
        <v>-310.85427381035879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-1955.199499999997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239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  <c r="BC286" s="532"/>
    </row>
    <row r="287" spans="1:55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53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239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  <c r="BC287" s="532"/>
    </row>
    <row r="288" spans="1:55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4275.889500000003</v>
      </c>
      <c r="M288" s="362"/>
      <c r="N288" s="360">
        <f t="shared" si="153"/>
        <v>1830.6273813192729</v>
      </c>
      <c r="O288" s="362"/>
      <c r="P288" s="363"/>
      <c r="Q288" s="360">
        <f>Q249-Q286</f>
        <v>7767.43</v>
      </c>
      <c r="R288" s="362"/>
      <c r="S288" s="364">
        <f>L288-Q288</f>
        <v>-3491.5404999999973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239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  <c r="BC288" s="532"/>
    </row>
    <row r="289" spans="1:55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239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  <c r="BC289" s="532"/>
    </row>
    <row r="290" spans="1:55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239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  <c r="BC290" s="532"/>
    </row>
    <row r="291" spans="1:55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  <c r="BC291" s="532"/>
    </row>
    <row r="292" spans="1:55" ht="15.75" customHeight="1" thickTop="1">
      <c r="B292" s="24"/>
      <c r="C292" s="280"/>
      <c r="D292" s="1105" t="s">
        <v>77</v>
      </c>
      <c r="E292" s="1106"/>
      <c r="F292" s="1107"/>
      <c r="G292" s="1108" t="s">
        <v>145</v>
      </c>
      <c r="H292" s="1106"/>
      <c r="I292" s="1107"/>
      <c r="J292" s="1108" t="s">
        <v>79</v>
      </c>
      <c r="K292" s="1106"/>
      <c r="L292" s="1107"/>
      <c r="M292" s="1108" t="s">
        <v>80</v>
      </c>
      <c r="N292" s="1107"/>
      <c r="O292" s="1105" t="s">
        <v>81</v>
      </c>
      <c r="P292" s="1106"/>
      <c r="Q292" s="1107"/>
      <c r="R292" s="1108" t="s">
        <v>82</v>
      </c>
      <c r="S292" s="1109"/>
      <c r="T292" s="239"/>
      <c r="U292" s="239"/>
      <c r="V292" s="239"/>
      <c r="W292" s="239"/>
      <c r="X292" s="239"/>
      <c r="Y292" s="239"/>
      <c r="Z292" s="239"/>
      <c r="AA292" s="239"/>
      <c r="AB292" s="832"/>
      <c r="AC292" s="832" t="s">
        <v>2902</v>
      </c>
      <c r="AD292" s="832"/>
      <c r="AE292" s="832"/>
      <c r="AF292" s="832"/>
      <c r="AG292" s="832"/>
      <c r="AH292" s="239"/>
      <c r="AI292" s="239"/>
      <c r="AJ292" s="239"/>
      <c r="AK292" s="239"/>
      <c r="AL292" s="239"/>
      <c r="AM292" s="239"/>
      <c r="AN292" s="239"/>
      <c r="AO292" s="239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  <c r="BC292" s="532"/>
    </row>
    <row r="293" spans="1:55" ht="15.75" customHeight="1">
      <c r="A293" s="600" t="str">
        <f t="shared" ref="A293:A342" si="154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832"/>
      <c r="AC293" s="1115">
        <v>2021</v>
      </c>
      <c r="AD293" s="1115" t="s">
        <v>6</v>
      </c>
      <c r="AE293" s="832">
        <v>2019</v>
      </c>
      <c r="AF293" s="832"/>
      <c r="AG293" s="832" t="s">
        <v>2903</v>
      </c>
      <c r="AH293" s="239"/>
      <c r="AI293" s="239"/>
      <c r="AJ293" s="239"/>
      <c r="AK293" s="239"/>
      <c r="AL293" s="239"/>
      <c r="AM293" s="239"/>
      <c r="AN293" s="239"/>
      <c r="AO293" s="239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  <c r="BC293" s="532"/>
    </row>
    <row r="294" spans="1:55" ht="15.75" customHeight="1">
      <c r="A294" s="600" t="str">
        <f t="shared" si="154"/>
        <v>PiècesPièces Ro Clients</v>
      </c>
      <c r="B294" s="24" t="s">
        <v>175</v>
      </c>
      <c r="C294" s="281" t="s">
        <v>177</v>
      </c>
      <c r="D294" s="214">
        <f>+INDEX('Budget original'!$A$2:$AO$496,MATCH($A294,'Budget original'!$A$2:$A$496,0),MATCH(D$2,'Budget original'!$A$2:$AO$2,0))</f>
        <v>56558.019542723647</v>
      </c>
      <c r="E294" s="227">
        <f>IF(D294=0,0,F294/D294)</f>
        <v>0.35812717564768926</v>
      </c>
      <c r="F294" s="216">
        <f>+INDEX('Budget original'!$A$2:$AO$496,MATCH($A294,'Budget original'!$A$2:$A$496,0),MATCH(F$2,'Budget original'!$A$2:$AO$2,0))</f>
        <v>20254.963799062432</v>
      </c>
      <c r="G294" s="214">
        <f>+INDEX('Budget révisé'!$A$2:$AO$496,MATCH($A294,'Budget révisé'!$A$2:$A$496,0),MATCH(G$2,'Budget révisé'!$A$2:$AO$2,0))</f>
        <v>56558.019542723647</v>
      </c>
      <c r="H294" s="227">
        <f>IF(G294=0,0,I294/G294)</f>
        <v>0.35812717564768926</v>
      </c>
      <c r="I294" s="216">
        <f>+INDEX('Budget révisé'!$A$2:$AO$496,MATCH($A294,'Budget révisé'!$A$2:$A$496,0),MATCH(I$2,'Budget révisé'!$A$2:$AO$2,0))</f>
        <v>20254.963799062432</v>
      </c>
      <c r="J294" s="196">
        <f>-SUMIFS(BV_Data_An_Cour!$O:$O,BV_Data_An_Cour!$X:$X,"Oui",BV_Data_An_Cour!$U:$U,$B294,BV_Data_An_Cour!$V:$V,$C294)</f>
        <v>45465.17</v>
      </c>
      <c r="K294" s="227">
        <f t="shared" ref="K294:K299" si="155">IF(J294&lt;=0,0,L294/J294)</f>
        <v>0.31191085395699608</v>
      </c>
      <c r="L294" s="197">
        <f>-SUMIFS(BV_Data_An_Cour!$O:$O,BV_Data_An_Cour!$U:$U,$B294,BV_Data_An_Cour!$V:$V,$C294,BV_Data_An_Cour!$W:$W,$L$2)</f>
        <v>14181.079999999998</v>
      </c>
      <c r="M294" s="341">
        <f t="shared" ref="M294:M299" si="156">(+J294-G294)/G294</f>
        <v>-0.19613221312221099</v>
      </c>
      <c r="N294" s="321">
        <f t="shared" ref="N294:N299" si="157">L294-I294</f>
        <v>-6073.8837990624343</v>
      </c>
      <c r="O294" s="196">
        <f>-SUMIFS(BV_Data_An_Prec!$O:$O,BV_Data_An_Prec!$X:$X,"Oui",BV_Data_An_Prec!$U:$U,$B294,BV_Data_An_Prec!$V:$V,$C294)</f>
        <v>56233.57</v>
      </c>
      <c r="P294" s="227">
        <f t="shared" ref="P294:P303" si="158">IF(O294&lt;=0,0,Q294/O294)</f>
        <v>0.31991779999029041</v>
      </c>
      <c r="Q294" s="197">
        <f>-SUMIFS(BV_Data_An_Prec!$O:$O,BV_Data_An_Prec!$U:$U,$B294,BV_Data_An_Prec!$V:$V,$C294,BV_Data_An_Prec!$W:$W,$L$2)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299" si="159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832" t="s">
        <v>177</v>
      </c>
      <c r="AC294" s="1116">
        <f>J294/K171</f>
        <v>0.88542680372538063</v>
      </c>
      <c r="AD294" s="1116"/>
      <c r="AE294" s="1116" t="e">
        <f>T296/U175</f>
        <v>#DIV/0!</v>
      </c>
      <c r="AF294" s="897" t="e">
        <f>AC294-AE294</f>
        <v>#DIV/0!</v>
      </c>
      <c r="AG294" s="1117" t="e">
        <f>AF294*#REF!*#REF!</f>
        <v>#DIV/0!</v>
      </c>
      <c r="AH294" s="239"/>
      <c r="AI294" s="239"/>
      <c r="AJ294" s="239"/>
      <c r="AK294" s="239"/>
      <c r="AL294" s="239"/>
      <c r="AM294" s="239"/>
      <c r="AN294" s="239"/>
      <c r="AO294" s="239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  <c r="BC294" s="532"/>
    </row>
    <row r="295" spans="1:55" ht="15.75" customHeight="1">
      <c r="A295" s="600" t="str">
        <f t="shared" si="154"/>
        <v>PiècesPièces Ro Carrosserie</v>
      </c>
      <c r="B295" s="24" t="s">
        <v>175</v>
      </c>
      <c r="C295" s="281" t="s">
        <v>178</v>
      </c>
      <c r="D295" s="214">
        <f>+INDEX('Budget original'!$A$2:$AO$496,MATCH($A295,'Budget original'!$A$2:$A$496,0),MATCH(D$2,'Budget original'!$A$2:$AO$2,0))</f>
        <v>52423.803994647475</v>
      </c>
      <c r="E295" s="227">
        <f t="shared" ref="E295:E302" si="160">IF(D295=0,0,F295/D295)</f>
        <v>0.27367264200070923</v>
      </c>
      <c r="F295" s="216">
        <f>+INDEX('Budget original'!$A$2:$AO$496,MATCH($A295,'Budget original'!$A$2:$A$496,0),MATCH(F$2,'Budget original'!$A$2:$AO$2,0))</f>
        <v>14346.960942942509</v>
      </c>
      <c r="G295" s="214">
        <f>+INDEX('Budget révisé'!$A$2:$AO$496,MATCH($A295,'Budget révisé'!$A$2:$A$496,0),MATCH(G$2,'Budget révisé'!$A$2:$AO$2,0))</f>
        <v>52423.803994647475</v>
      </c>
      <c r="H295" s="227">
        <f t="shared" ref="H295:H302" si="161">IF(G295=0,0,I295/G295)</f>
        <v>0.27367264200070923</v>
      </c>
      <c r="I295" s="216">
        <f>+INDEX('Budget révisé'!$A$2:$AO$496,MATCH($A295,'Budget révisé'!$A$2:$A$496,0),MATCH(I$2,'Budget révisé'!$A$2:$AO$2,0))</f>
        <v>14346.960942942509</v>
      </c>
      <c r="J295" s="196">
        <f>-SUMIFS(BV_Data_An_Cour!$O:$O,BV_Data_An_Cour!$X:$X,"Oui",BV_Data_An_Cour!$U:$U,$B295,BV_Data_An_Cour!$V:$V,$C295)</f>
        <v>57925.8</v>
      </c>
      <c r="K295" s="227">
        <f t="shared" si="155"/>
        <v>0.2373664239423538</v>
      </c>
      <c r="L295" s="197">
        <f>-SUMIFS(BV_Data_An_Cour!$O:$O,BV_Data_An_Cour!$U:$U,$B295,BV_Data_An_Cour!$V:$V,$C295,BV_Data_An_Cour!$W:$W,$L$2)</f>
        <v>13749.639999999998</v>
      </c>
      <c r="M295" s="341">
        <f t="shared" si="156"/>
        <v>0.10495224661518816</v>
      </c>
      <c r="N295" s="321">
        <f t="shared" si="157"/>
        <v>-597.32094294251146</v>
      </c>
      <c r="O295" s="196">
        <f>-SUMIFS(BV_Data_An_Prec!$O:$O,BV_Data_An_Prec!$X:$X,"Oui",BV_Data_An_Prec!$U:$U,$B295,BV_Data_An_Prec!$V:$V,$C295)</f>
        <v>70579.89</v>
      </c>
      <c r="P295" s="227">
        <f t="shared" si="158"/>
        <v>0.25746639729815385</v>
      </c>
      <c r="Q295" s="197">
        <f>-SUMIFS(BV_Data_An_Prec!$O:$O,BV_Data_An_Prec!$U:$U,$B295,BV_Data_An_Prec!$V:$V,$C295,BV_Data_An_Prec!$W:$W,$L$2)</f>
        <v>18171.949999999997</v>
      </c>
      <c r="R295" s="341">
        <f t="shared" ref="R295:R302" si="162">IF(O295=0,0,(J295-O295)/O295)</f>
        <v>-0.17928747126128983</v>
      </c>
      <c r="S295" s="216">
        <f t="shared" si="159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832" t="s">
        <v>178</v>
      </c>
      <c r="AC295" s="1116">
        <f>J295/K240</f>
        <v>0.55887623095794847</v>
      </c>
      <c r="AD295" s="1116"/>
      <c r="AE295" s="1116" t="e">
        <f>T297/U243</f>
        <v>#DIV/0!</v>
      </c>
      <c r="AF295" s="897" t="e">
        <f t="shared" ref="AF295:AF297" si="163">AC295-AE295</f>
        <v>#DIV/0!</v>
      </c>
      <c r="AG295" s="832"/>
      <c r="AH295" s="239"/>
      <c r="AI295" s="239"/>
      <c r="AJ295" s="239"/>
      <c r="AK295" s="239"/>
      <c r="AL295" s="239"/>
      <c r="AM295" s="239"/>
      <c r="AN295" s="239"/>
      <c r="AO295" s="239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  <c r="BC295" s="532"/>
    </row>
    <row r="296" spans="1:55" ht="15.75" customHeight="1">
      <c r="A296" s="600" t="str">
        <f t="shared" si="154"/>
        <v>PiècesP/A Garantie</v>
      </c>
      <c r="B296" s="24" t="s">
        <v>175</v>
      </c>
      <c r="C296" s="281" t="s">
        <v>179</v>
      </c>
      <c r="D296" s="214">
        <f>+INDEX('Budget original'!$A$2:$AO$496,MATCH($A296,'Budget original'!$A$2:$A$496,0),MATCH(D$2,'Budget original'!$A$2:$AO$2,0))</f>
        <v>72277.206868378125</v>
      </c>
      <c r="E296" s="227">
        <f t="shared" si="160"/>
        <v>0.23983607715678656</v>
      </c>
      <c r="F296" s="216">
        <f>+INDEX('Budget original'!$A$2:$AO$496,MATCH($A296,'Budget original'!$A$2:$A$496,0),MATCH(F$2,'Budget original'!$A$2:$AO$2,0))</f>
        <v>17334.681763161359</v>
      </c>
      <c r="G296" s="214">
        <f>+INDEX('Budget révisé'!$A$2:$AO$496,MATCH($A296,'Budget révisé'!$A$2:$A$496,0),MATCH(G$2,'Budget révisé'!$A$2:$AO$2,0))</f>
        <v>72277.206868378125</v>
      </c>
      <c r="H296" s="227">
        <f t="shared" si="161"/>
        <v>0.23983607715678656</v>
      </c>
      <c r="I296" s="216">
        <f>+INDEX('Budget révisé'!$A$2:$AO$496,MATCH($A296,'Budget révisé'!$A$2:$A$496,0),MATCH(I$2,'Budget révisé'!$A$2:$AO$2,0))</f>
        <v>17334.681763161359</v>
      </c>
      <c r="J296" s="196">
        <f>-SUMIFS(BV_Data_An_Cour!$O:$O,BV_Data_An_Cour!$X:$X,"Oui",BV_Data_An_Cour!$U:$U,$B296,BV_Data_An_Cour!$V:$V,$C296)</f>
        <v>111661.14</v>
      </c>
      <c r="K296" s="227">
        <f t="shared" si="155"/>
        <v>0.24196116930205086</v>
      </c>
      <c r="L296" s="197">
        <f>-SUMIFS(BV_Data_An_Cour!$O:$O,BV_Data_An_Cour!$U:$U,$B296,BV_Data_An_Cour!$V:$V,$C296,BV_Data_An_Cour!$W:$W,$L$2)</f>
        <v>27017.660000000003</v>
      </c>
      <c r="M296" s="341">
        <f t="shared" si="156"/>
        <v>0.54490114986516824</v>
      </c>
      <c r="N296" s="321">
        <f t="shared" si="157"/>
        <v>9682.9782368386441</v>
      </c>
      <c r="O296" s="196">
        <f>-SUMIFS(BV_Data_An_Prec!$O:$O,BV_Data_An_Prec!$X:$X,"Oui",BV_Data_An_Prec!$U:$U,$B296,BV_Data_An_Prec!$V:$V,$C296)</f>
        <v>83371.94</v>
      </c>
      <c r="P296" s="227">
        <f t="shared" si="158"/>
        <v>0.24076757719683628</v>
      </c>
      <c r="Q296" s="197">
        <f>-SUMIFS(BV_Data_An_Prec!$O:$O,BV_Data_An_Prec!$U:$U,$B296,BV_Data_An_Prec!$V:$V,$C296,BV_Data_An_Prec!$W:$W,$L$2)</f>
        <v>20073.260000000002</v>
      </c>
      <c r="R296" s="341">
        <f t="shared" si="162"/>
        <v>0.33931320297932371</v>
      </c>
      <c r="S296" s="216">
        <f t="shared" si="159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832" t="s">
        <v>179</v>
      </c>
      <c r="AC296" s="1116">
        <f>J296/K174</f>
        <v>1.6253124029312966</v>
      </c>
      <c r="AD296" s="1116"/>
      <c r="AE296" s="1116" t="e">
        <f>T298/U178</f>
        <v>#DIV/0!</v>
      </c>
      <c r="AF296" s="897" t="e">
        <f t="shared" si="163"/>
        <v>#DIV/0!</v>
      </c>
      <c r="AG296" s="832"/>
      <c r="AH296" s="239"/>
      <c r="AI296" s="239"/>
      <c r="AJ296" s="239"/>
      <c r="AK296" s="239"/>
      <c r="AL296" s="239"/>
      <c r="AM296" s="239"/>
      <c r="AN296" s="239"/>
      <c r="AO296" s="239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  <c r="BC296" s="532"/>
    </row>
    <row r="297" spans="1:55" ht="15.75" customHeight="1">
      <c r="A297" s="600" t="str">
        <f t="shared" si="154"/>
        <v>PiècesVentes Internes</v>
      </c>
      <c r="B297" s="24" t="s">
        <v>175</v>
      </c>
      <c r="C297" s="281" t="s">
        <v>180</v>
      </c>
      <c r="D297" s="214">
        <f>+INDEX('Budget original'!$A$2:$AO$496,MATCH($A297,'Budget original'!$A$2:$A$496,0),MATCH(D$2,'Budget original'!$A$2:$AO$2,0))</f>
        <v>41032.786125816012</v>
      </c>
      <c r="E297" s="227">
        <f t="shared" si="160"/>
        <v>0.32994466198333777</v>
      </c>
      <c r="F297" s="216">
        <f>+INDEX('Budget original'!$A$2:$AO$496,MATCH($A297,'Budget original'!$A$2:$A$496,0),MATCH(F$2,'Budget original'!$A$2:$AO$2,0))</f>
        <v>13538.548748516956</v>
      </c>
      <c r="G297" s="214">
        <f>+INDEX('Budget révisé'!$A$2:$AO$496,MATCH($A297,'Budget révisé'!$A$2:$A$496,0),MATCH(G$2,'Budget révisé'!$A$2:$AO$2,0))</f>
        <v>41032.786125816012</v>
      </c>
      <c r="H297" s="227">
        <f t="shared" si="161"/>
        <v>0.32994466198333777</v>
      </c>
      <c r="I297" s="216">
        <f>+INDEX('Budget révisé'!$A$2:$AO$496,MATCH($A297,'Budget révisé'!$A$2:$A$496,0),MATCH(I$2,'Budget révisé'!$A$2:$AO$2,0))</f>
        <v>13538.548748516956</v>
      </c>
      <c r="J297" s="196">
        <f>-SUMIFS(BV_Data_An_Cour!$O:$O,BV_Data_An_Cour!$X:$X,"Oui",BV_Data_An_Cour!$U:$U,$B297,BV_Data_An_Cour!$V:$V,$C297)</f>
        <v>20282.22</v>
      </c>
      <c r="K297" s="227">
        <f t="shared" si="155"/>
        <v>0.35630616372369495</v>
      </c>
      <c r="L297" s="197">
        <f>-SUMIFS(BV_Data_An_Cour!$O:$O,BV_Data_An_Cour!$U:$U,$B297,BV_Data_An_Cour!$V:$V,$C297,BV_Data_An_Cour!$W:$W,$L$2)</f>
        <v>7226.68</v>
      </c>
      <c r="M297" s="341">
        <f t="shared" si="156"/>
        <v>-0.5057069744713405</v>
      </c>
      <c r="N297" s="321">
        <f t="shared" si="157"/>
        <v>-6311.8687485169557</v>
      </c>
      <c r="O297" s="196">
        <f>-SUMIFS(BV_Data_An_Prec!$O:$O,BV_Data_An_Prec!$X:$X,"Oui",BV_Data_An_Prec!$U:$U,$B297,BV_Data_An_Prec!$V:$V,$C297)</f>
        <v>32156.7</v>
      </c>
      <c r="P297" s="227">
        <f t="shared" si="158"/>
        <v>0.31257094167000965</v>
      </c>
      <c r="Q297" s="197">
        <f>-SUMIFS(BV_Data_An_Prec!$O:$O,BV_Data_An_Prec!$U:$U,$B297,BV_Data_An_Prec!$V:$V,$C297,BV_Data_An_Prec!$W:$W,$L$2)</f>
        <v>10051.25</v>
      </c>
      <c r="R297" s="341">
        <f t="shared" si="162"/>
        <v>-0.36926923471624884</v>
      </c>
      <c r="S297" s="216">
        <f t="shared" si="159"/>
        <v>-2824.5699999999997</v>
      </c>
      <c r="T297" s="239"/>
      <c r="U297" s="239"/>
      <c r="V297" s="239" t="s">
        <v>2901</v>
      </c>
      <c r="W297" s="239"/>
      <c r="X297" s="239"/>
      <c r="Y297" s="239"/>
      <c r="Z297" s="239"/>
      <c r="AA297" s="239"/>
      <c r="AB297" s="832" t="s">
        <v>180</v>
      </c>
      <c r="AC297" s="1116">
        <f>J297/K177</f>
        <v>0.65286466129110143</v>
      </c>
      <c r="AD297" s="1116"/>
      <c r="AE297" s="1116" t="e">
        <f>T299/U181</f>
        <v>#DIV/0!</v>
      </c>
      <c r="AF297" s="897" t="e">
        <f t="shared" si="163"/>
        <v>#DIV/0!</v>
      </c>
      <c r="AG297" s="1118" t="e">
        <f>AF297*#REF!*#REF!</f>
        <v>#DIV/0!</v>
      </c>
      <c r="AH297" s="239"/>
      <c r="AI297" s="239"/>
      <c r="AJ297" s="239"/>
      <c r="AK297" s="239"/>
      <c r="AL297" s="239"/>
      <c r="AM297" s="239"/>
      <c r="AN297" s="239"/>
      <c r="AO297" s="239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  <c r="BC297" s="532"/>
    </row>
    <row r="298" spans="1:55" ht="15.75" customHeight="1">
      <c r="A298" s="600" t="str">
        <f t="shared" si="154"/>
        <v>PiècesVentes Détails</v>
      </c>
      <c r="B298" s="24" t="s">
        <v>175</v>
      </c>
      <c r="C298" s="281" t="s">
        <v>181</v>
      </c>
      <c r="D298" s="214">
        <f>+INDEX('Budget original'!$A$2:$AO$496,MATCH($A298,'Budget original'!$A$2:$A$496,0),MATCH(D$2,'Budget original'!$A$2:$AO$2,0))</f>
        <v>11548.272056930771</v>
      </c>
      <c r="E298" s="227">
        <f t="shared" si="160"/>
        <v>0.29678579936093841</v>
      </c>
      <c r="F298" s="216">
        <f>+INDEX('Budget original'!$A$2:$AO$496,MATCH($A298,'Budget original'!$A$2:$A$496,0),MATCH(F$2,'Budget original'!$A$2:$AO$2,0))</f>
        <v>3427.3631536537873</v>
      </c>
      <c r="G298" s="214">
        <f>+INDEX('Budget révisé'!$A$2:$AO$496,MATCH($A298,'Budget révisé'!$A$2:$A$496,0),MATCH(G$2,'Budget révisé'!$A$2:$AO$2,0))</f>
        <v>11548.272056930771</v>
      </c>
      <c r="H298" s="227">
        <f t="shared" si="161"/>
        <v>0.29678579936093841</v>
      </c>
      <c r="I298" s="216">
        <f>+INDEX('Budget révisé'!$A$2:$AO$496,MATCH($A298,'Budget révisé'!$A$2:$A$496,0),MATCH(I$2,'Budget révisé'!$A$2:$AO$2,0))</f>
        <v>3427.3631536537873</v>
      </c>
      <c r="J298" s="196">
        <f>-SUMIFS(BV_Data_An_Cour!$O:$O,BV_Data_An_Cour!$X:$X,"Oui",BV_Data_An_Cour!$U:$U,$B298,BV_Data_An_Cour!$V:$V,$C298)</f>
        <v>10343.09</v>
      </c>
      <c r="K298" s="227">
        <f t="shared" si="155"/>
        <v>0.31593943396025753</v>
      </c>
      <c r="L298" s="197">
        <f>-SUMIFS(BV_Data_An_Cour!$O:$O,BV_Data_An_Cour!$U:$U,$B298,BV_Data_An_Cour!$V:$V,$C298,BV_Data_An_Cour!$W:$W,$L$2)</f>
        <v>3267.79</v>
      </c>
      <c r="M298" s="341">
        <f t="shared" si="156"/>
        <v>-0.10436037971650254</v>
      </c>
      <c r="N298" s="321">
        <f t="shared" si="157"/>
        <v>-159.57315365378736</v>
      </c>
      <c r="O298" s="196">
        <f>-SUMIFS(BV_Data_An_Prec!$O:$O,BV_Data_An_Prec!$X:$X,"Oui",BV_Data_An_Prec!$U:$U,$B298,BV_Data_An_Prec!$V:$V,$C298)</f>
        <v>9615.7000000000007</v>
      </c>
      <c r="P298" s="227">
        <f t="shared" si="158"/>
        <v>0.29582037709163139</v>
      </c>
      <c r="Q298" s="197">
        <f>-SUMIFS(BV_Data_An_Prec!$O:$O,BV_Data_An_Prec!$U:$U,$B298,BV_Data_An_Prec!$V:$V,$C298,BV_Data_An_Prec!$W:$W,$L$2)</f>
        <v>2844.5200000000004</v>
      </c>
      <c r="R298" s="341">
        <f t="shared" si="162"/>
        <v>7.5646078808615014E-2</v>
      </c>
      <c r="S298" s="216">
        <f t="shared" si="159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832" t="s">
        <v>2904</v>
      </c>
      <c r="AC298" s="832"/>
      <c r="AD298" s="832"/>
      <c r="AE298" s="832"/>
      <c r="AF298" s="832"/>
      <c r="AG298" s="832"/>
      <c r="AH298" s="239"/>
      <c r="AI298" s="239"/>
      <c r="AJ298" s="239"/>
      <c r="AK298" s="239"/>
      <c r="AL298" s="239"/>
      <c r="AM298" s="239"/>
      <c r="AN298" s="239"/>
      <c r="AO298" s="239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  <c r="BC298" s="532"/>
    </row>
    <row r="299" spans="1:55" ht="15.75" customHeight="1">
      <c r="A299" s="600" t="str">
        <f t="shared" ref="A299:A300" si="164">+B299&amp;C299</f>
        <v>PiècesVentes de Gros</v>
      </c>
      <c r="B299" s="24" t="s">
        <v>175</v>
      </c>
      <c r="C299" s="281" t="s">
        <v>182</v>
      </c>
      <c r="D299" s="214">
        <f>+INDEX('Budget original'!$A$2:$AO$496,MATCH($A299,'Budget original'!$A$2:$A$496,0),MATCH(D$2,'Budget original'!$A$2:$AO$2,0))</f>
        <v>59510.634595705029</v>
      </c>
      <c r="E299" s="227">
        <f t="shared" si="160"/>
        <v>0.19081606757663094</v>
      </c>
      <c r="F299" s="216">
        <f>+INDEX('Budget original'!$A$2:$AO$496,MATCH($A299,'Budget original'!$A$2:$A$496,0),MATCH(F$2,'Budget original'!$A$2:$AO$2,0))</f>
        <v>11355.585272542243</v>
      </c>
      <c r="G299" s="214">
        <f>+INDEX('Budget révisé'!$A$2:$AO$496,MATCH($A299,'Budget révisé'!$A$2:$A$496,0),MATCH(G$2,'Budget révisé'!$A$2:$AO$2,0))</f>
        <v>59510.634595705029</v>
      </c>
      <c r="H299" s="227">
        <f t="shared" si="161"/>
        <v>0.19081606757663094</v>
      </c>
      <c r="I299" s="216">
        <f>+INDEX('Budget révisé'!$A$2:$AO$496,MATCH($A299,'Budget révisé'!$A$2:$A$496,0),MATCH(I$2,'Budget révisé'!$A$2:$AO$2,0))</f>
        <v>11355.585272542243</v>
      </c>
      <c r="J299" s="196">
        <f>-SUMIFS(BV_Data_An_Cour!$O:$O,BV_Data_An_Cour!$X:$X,"Oui",BV_Data_An_Cour!$U:$U,$B299,BV_Data_An_Cour!$V:$V,$C299)</f>
        <v>44671.41</v>
      </c>
      <c r="K299" s="227">
        <f t="shared" si="155"/>
        <v>0.19024785651493889</v>
      </c>
      <c r="L299" s="197">
        <f>-SUMIFS(BV_Data_An_Cour!$O:$O,BV_Data_An_Cour!$U:$U,$B299,BV_Data_An_Cour!$V:$V,$C299,BV_Data_An_Cour!$W:$W,$L$2)</f>
        <v>8498.6400000000067</v>
      </c>
      <c r="M299" s="341">
        <f t="shared" si="156"/>
        <v>-0.24935416495753507</v>
      </c>
      <c r="N299" s="321">
        <f t="shared" si="157"/>
        <v>-2856.9452725422361</v>
      </c>
      <c r="O299" s="196">
        <f>-SUMIFS(BV_Data_An_Prec!$O:$O,BV_Data_An_Prec!$X:$X,"Oui",BV_Data_An_Prec!$U:$U,$B299,BV_Data_An_Prec!$V:$V,$C299)</f>
        <v>53442.19</v>
      </c>
      <c r="P299" s="227">
        <f t="shared" si="158"/>
        <v>0.19849317552293427</v>
      </c>
      <c r="Q299" s="197">
        <f>-SUMIFS(BV_Data_An_Prec!$O:$O,BV_Data_An_Prec!$U:$U,$B299,BV_Data_An_Prec!$V:$V,$C299,BV_Data_An_Prec!$W:$W,$L$2)</f>
        <v>10607.910000000003</v>
      </c>
      <c r="R299" s="341">
        <f t="shared" si="162"/>
        <v>-0.16411715163618854</v>
      </c>
      <c r="S299" s="216">
        <f t="shared" si="159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  <c r="BC299" s="532"/>
    </row>
    <row r="300" spans="1:55" s="600" customFormat="1" ht="15.75" customHeight="1">
      <c r="A300" s="600" t="str">
        <f t="shared" si="164"/>
        <v>Pièces[...]</v>
      </c>
      <c r="B300" s="24" t="s">
        <v>175</v>
      </c>
      <c r="C300" s="281" t="s">
        <v>42</v>
      </c>
      <c r="D300" s="214">
        <f>+INDEX('Budget original'!$A$2:$AO$496,MATCH($A300,'Budget original'!$A$2:$A$496,0),MATCH(D$2,'Budget original'!$A$2:$AO$2,0))</f>
        <v>0</v>
      </c>
      <c r="E300" s="227">
        <f t="shared" ref="E300" si="165">IF(D300=0,0,F300/D300)</f>
        <v>0</v>
      </c>
      <c r="F300" s="216">
        <f>+INDEX('Budget original'!$A$2:$AO$496,MATCH($A300,'Budget original'!$A$2:$A$496,0),MATCH(F$2,'Budget original'!$A$2:$AO$2,0))</f>
        <v>0</v>
      </c>
      <c r="G300" s="214">
        <f>+INDEX('Budget révisé'!$A$2:$AO$496,MATCH($A300,'Budget révisé'!$A$2:$A$496,0),MATCH(G$2,'Budget révisé'!$A$2:$AO$2,0))</f>
        <v>0</v>
      </c>
      <c r="H300" s="227">
        <f t="shared" ref="H300" si="166">IF(G300=0,0,I300/G300)</f>
        <v>0</v>
      </c>
      <c r="I300" s="216">
        <f>+INDEX('Budget révisé'!$A$2:$AO$496,MATCH($A300,'Budget révisé'!$A$2:$A$496,0),MATCH(I$2,'Budget révisé'!$A$2:$AO$2,0))</f>
        <v>0</v>
      </c>
      <c r="J300" s="196">
        <f>-SUMIFS(BV_Data_An_Cour!$O:$O,BV_Data_An_Cour!$X:$X,"Oui",BV_Data_An_Cour!$U:$U,$B300,BV_Data_An_Cour!$V:$V,$C300)</f>
        <v>0</v>
      </c>
      <c r="K300" s="227">
        <f t="shared" ref="K300" si="167">IF(J300&lt;=0,0,L300/J300)</f>
        <v>0</v>
      </c>
      <c r="L300" s="197">
        <f>-SUMIFS(BV_Data_An_Cour!$O:$O,BV_Data_An_Cour!$U:$U,$B300,BV_Data_An_Cour!$V:$V,$C300,BV_Data_An_Cour!$W:$W,$L$2)</f>
        <v>0</v>
      </c>
      <c r="M300" s="341" t="e">
        <f t="shared" ref="M300" si="168">(+J300-G300)/G300</f>
        <v>#DIV/0!</v>
      </c>
      <c r="N300" s="321">
        <f t="shared" ref="N300" si="169">L300-I300</f>
        <v>0</v>
      </c>
      <c r="O300" s="196">
        <f>-SUMIFS(BV_Data_An_Prec!$O:$O,BV_Data_An_Prec!$X:$X,"Oui",BV_Data_An_Prec!$U:$U,$B300,BV_Data_An_Prec!$V:$V,$C300)</f>
        <v>0</v>
      </c>
      <c r="P300" s="227">
        <f t="shared" ref="P300" si="170">IF(O300&lt;=0,0,Q300/O300)</f>
        <v>0</v>
      </c>
      <c r="Q300" s="197">
        <f>-SUMIFS(BV_Data_An_Prec!$O:$O,BV_Data_An_Prec!$U:$U,$B300,BV_Data_An_Prec!$V:$V,$C300,BV_Data_An_Prec!$W:$W,$L$2)</f>
        <v>0</v>
      </c>
      <c r="R300" s="341">
        <f t="shared" ref="R300" si="171">IF(O300=0,0,(J300-O300)/O300)</f>
        <v>0</v>
      </c>
      <c r="S300" s="216">
        <f t="shared" ref="S300" si="172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H300" s="239"/>
      <c r="AI300" s="239"/>
      <c r="AJ300" s="239"/>
      <c r="AK300" s="239"/>
      <c r="AL300" s="239"/>
      <c r="AM300" s="239"/>
      <c r="AN300" s="239"/>
      <c r="AO300" s="239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  <c r="BC300" s="532"/>
    </row>
    <row r="301" spans="1:55" ht="15.75" customHeight="1">
      <c r="A301" s="600" t="str">
        <f t="shared" si="154"/>
        <v>PiècesEscomptes</v>
      </c>
      <c r="B301" s="24" t="s">
        <v>175</v>
      </c>
      <c r="C301" s="281" t="s">
        <v>183</v>
      </c>
      <c r="D301" s="214">
        <f>+INDEX('Budget original'!$A$2:$AO$496,MATCH($A301,'Budget original'!$A$2:$A$496,0),MATCH(D$2,'Budget original'!$A$2:$AO$2,0))</f>
        <v>0</v>
      </c>
      <c r="E301" s="227">
        <f t="shared" si="160"/>
        <v>0</v>
      </c>
      <c r="F301" s="216">
        <f>+INDEX('Budget original'!$A$2:$AO$496,MATCH($A301,'Budget original'!$A$2:$A$496,0),MATCH(F$2,'Budget original'!$A$2:$AO$2,0))</f>
        <v>9299.8945100890614</v>
      </c>
      <c r="G301" s="214">
        <f>+INDEX('Budget révisé'!$A$2:$AO$496,MATCH($A301,'Budget révisé'!$A$2:$A$496,0),MATCH(G$2,'Budget révisé'!$A$2:$AO$2,0))</f>
        <v>0</v>
      </c>
      <c r="H301" s="227">
        <f t="shared" si="161"/>
        <v>0</v>
      </c>
      <c r="I301" s="216">
        <f>+INDEX('Budget révisé'!$A$2:$AO$496,MATCH($A301,'Budget révisé'!$A$2:$A$496,0),MATCH(I$2,'Budget révisé'!$A$2:$AO$2,0))</f>
        <v>9299.8945100890614</v>
      </c>
      <c r="J301" s="196">
        <f>-SUMIFS(BV_Data_An_Cour!$O:$O,BV_Data_An_Cour!$X:$X,"Oui",BV_Data_An_Cour!$U:$U,$B301,BV_Data_An_Cour!$V:$V,$C301)</f>
        <v>0</v>
      </c>
      <c r="K301" s="227">
        <f t="shared" ref="K301:K303" si="173">IF(J301&lt;=0,0,L301/J301)</f>
        <v>0</v>
      </c>
      <c r="L301" s="1095">
        <f>-SUMIFS(BV_Data_An_Cour!$O:$O,BV_Data_An_Cour!$U:$U,$B301,BV_Data_An_Cour!$V:$V,$C301,BV_Data_An_Cour!$W:$W,$L$2)</f>
        <v>3100.73</v>
      </c>
      <c r="M301" s="341"/>
      <c r="N301" s="321">
        <f t="shared" ref="N301:N303" si="174">L301-I301</f>
        <v>-6199.1645100890619</v>
      </c>
      <c r="O301" s="196">
        <f>-SUMIFS(BV_Data_An_Prec!$O:$O,BV_Data_An_Prec!$X:$X,"Oui",BV_Data_An_Prec!$U:$U,$B301,BV_Data_An_Prec!$V:$V,$C301)</f>
        <v>0</v>
      </c>
      <c r="P301" s="227">
        <f t="shared" si="158"/>
        <v>0</v>
      </c>
      <c r="Q301" s="197">
        <f>-SUMIFS(BV_Data_An_Prec!$O:$O,BV_Data_An_Prec!$U:$U,$B301,BV_Data_An_Prec!$V:$V,$C301,BV_Data_An_Prec!$W:$W,$L$2)</f>
        <v>5765.22</v>
      </c>
      <c r="R301" s="341">
        <f t="shared" si="162"/>
        <v>0</v>
      </c>
      <c r="S301" s="216">
        <f t="shared" ref="S301:S303" si="175">L301-Q301</f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H301" s="239"/>
      <c r="AI301" s="239"/>
      <c r="AJ301" s="239"/>
      <c r="AK301" s="239"/>
      <c r="AL301" s="239"/>
      <c r="AM301" s="239"/>
      <c r="AN301" s="239"/>
      <c r="AO301" s="239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  <c r="BC301" s="532"/>
    </row>
    <row r="302" spans="1:55" ht="15.75" customHeight="1">
      <c r="A302" s="600" t="str">
        <f t="shared" si="154"/>
        <v>PiècesRectif. Inventaire</v>
      </c>
      <c r="B302" s="24" t="s">
        <v>175</v>
      </c>
      <c r="C302" s="343" t="s">
        <v>184</v>
      </c>
      <c r="D302" s="214">
        <f>+INDEX('Budget original'!$A$2:$AO$496,MATCH($A302,'Budget original'!$A$2:$A$496,0),MATCH(D$2,'Budget original'!$A$2:$AO$2,0))</f>
        <v>0</v>
      </c>
      <c r="E302" s="227">
        <f t="shared" si="160"/>
        <v>0</v>
      </c>
      <c r="F302" s="216">
        <f>+INDEX('Budget original'!$A$2:$AO$496,MATCH($A302,'Budget original'!$A$2:$A$496,0),MATCH(F$2,'Budget original'!$A$2:$AO$2,0))</f>
        <v>100</v>
      </c>
      <c r="G302" s="214">
        <f>+INDEX('Budget révisé'!$A$2:$AO$496,MATCH($A302,'Budget révisé'!$A$2:$A$496,0),MATCH(G$2,'Budget révisé'!$A$2:$AO$2,0))</f>
        <v>0</v>
      </c>
      <c r="H302" s="227">
        <f t="shared" si="161"/>
        <v>0</v>
      </c>
      <c r="I302" s="216">
        <f>+INDEX('Budget révisé'!$A$2:$AO$496,MATCH($A302,'Budget révisé'!$A$2:$A$496,0),MATCH(I$2,'Budget révisé'!$A$2:$AO$2,0))</f>
        <v>100</v>
      </c>
      <c r="J302" s="196">
        <f>-SUMIFS(BV_Data_An_Cour!$O:$O,BV_Data_An_Cour!$X:$X,"Oui",BV_Data_An_Cour!$U:$U,$B302,BV_Data_An_Cour!$V:$V,$C302)</f>
        <v>0</v>
      </c>
      <c r="K302" s="227">
        <f t="shared" si="173"/>
        <v>0</v>
      </c>
      <c r="L302" s="197">
        <f>-SUMIFS(BV_Data_An_Cour!$O:$O,BV_Data_An_Cour!$U:$U,$B302,BV_Data_An_Cour!$V:$V,$C302,BV_Data_An_Cour!$W:$W,$L$2)</f>
        <v>0</v>
      </c>
      <c r="M302" s="341"/>
      <c r="N302" s="321">
        <f t="shared" si="174"/>
        <v>-100</v>
      </c>
      <c r="O302" s="196">
        <f>-SUMIFS(BV_Data_An_Prec!$O:$O,BV_Data_An_Prec!$X:$X,"Oui",BV_Data_An_Prec!$U:$U,$B302,BV_Data_An_Prec!$V:$V,$C302)</f>
        <v>0</v>
      </c>
      <c r="P302" s="227">
        <f t="shared" si="158"/>
        <v>0</v>
      </c>
      <c r="Q302" s="197">
        <f>-SUMIFS(BV_Data_An_Prec!$O:$O,BV_Data_An_Prec!$U:$U,$B302,BV_Data_An_Prec!$V:$V,$C302,BV_Data_An_Prec!$W:$W,$L$2)</f>
        <v>0</v>
      </c>
      <c r="R302" s="341">
        <f t="shared" si="162"/>
        <v>0</v>
      </c>
      <c r="S302" s="216">
        <f t="shared" si="175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  <c r="BC302" s="532"/>
    </row>
    <row r="303" spans="1:55" ht="15.75" customHeight="1">
      <c r="A303" s="600" t="str">
        <f t="shared" si="154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73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74"/>
        <v>-12615.778189968347</v>
      </c>
      <c r="O303" s="215">
        <f>SUM(O294:O302)</f>
        <v>305399.99</v>
      </c>
      <c r="P303" s="345">
        <f t="shared" si="158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75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  <c r="BC303" s="532"/>
    </row>
    <row r="304" spans="1:55" ht="15.75" customHeight="1">
      <c r="A304" s="600" t="str">
        <f t="shared" si="154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239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  <c r="BC304" s="532"/>
    </row>
    <row r="305" spans="1:55" ht="15.75" customHeight="1">
      <c r="A305" s="600" t="str">
        <f t="shared" si="154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239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  <c r="BC305" s="532"/>
    </row>
    <row r="306" spans="1:55" ht="15.75" customHeight="1">
      <c r="A306" s="600" t="str">
        <f t="shared" si="154"/>
        <v>PiècesVentes Pneus</v>
      </c>
      <c r="B306" s="24" t="s">
        <v>175</v>
      </c>
      <c r="C306" s="281" t="s">
        <v>186</v>
      </c>
      <c r="D306" s="214">
        <f>+INDEX('Budget original'!$A$2:$AO$496,MATCH($A306,'Budget original'!$A$2:$A$496,0),MATCH(D$2,'Budget original'!$A$2:$AO$2,0))</f>
        <v>44733.070931018294</v>
      </c>
      <c r="E306" s="227">
        <f t="shared" ref="E306:E307" si="176">IF(D306=0,0,F306/D306)</f>
        <v>0.19499999999999998</v>
      </c>
      <c r="F306" s="218">
        <f>+INDEX('Budget original'!$A$2:$AO$496,MATCH($A306,'Budget original'!$A$2:$A$496,0),MATCH(F$2,'Budget original'!$A$2:$AO$2,0))</f>
        <v>8722.9488315485669</v>
      </c>
      <c r="G306" s="214">
        <f>+INDEX('Budget révisé'!$A$2:$AO$496,MATCH($A306,'Budget révisé'!$A$2:$A$496,0),MATCH(G$2,'Budget révisé'!$A$2:$AO$2,0))</f>
        <v>44733.070931018294</v>
      </c>
      <c r="H306" s="227">
        <f t="shared" ref="H306:H307" si="177">IF(G306=0,0,I306/G306)</f>
        <v>0.19499999999999998</v>
      </c>
      <c r="I306" s="218">
        <f>+INDEX('Budget révisé'!$A$2:$AO$496,MATCH($A306,'Budget révisé'!$A$2:$A$496,0),MATCH(I$2,'Budget révisé'!$A$2:$AO$2,0))</f>
        <v>8722.9488315485669</v>
      </c>
      <c r="J306" s="196">
        <f>-SUMIFS(BV_Data_An_Cour!$O:$O,BV_Data_An_Cour!$X:$X,"Oui",BV_Data_An_Cour!$U:$U,$B306,BV_Data_An_Cour!$V:$V,$C306)</f>
        <v>14638.67</v>
      </c>
      <c r="K306" s="227">
        <f t="shared" ref="K306:K308" si="178">IF(J306&lt;=0,0,L306/J306)</f>
        <v>0.18497308840215676</v>
      </c>
      <c r="L306" s="197">
        <f>-SUMIFS(BV_Data_An_Cour!$O:$O,BV_Data_An_Cour!$U:$U,$B306,BV_Data_An_Cour!$V:$V,$C306,BV_Data_An_Cour!$W:$W,$L$2)</f>
        <v>2707.76</v>
      </c>
      <c r="M306" s="341">
        <f t="shared" ref="M306:M308" si="179">(+J306-G306)/G306</f>
        <v>-0.6727550848772732</v>
      </c>
      <c r="N306" s="321">
        <f t="shared" ref="N306:N308" si="180">L306-I306</f>
        <v>-6015.1888315485667</v>
      </c>
      <c r="O306" s="196">
        <f>-SUMIFS(BV_Data_An_Prec!$O:$O,BV_Data_An_Prec!$X:$X,"Oui",BV_Data_An_Prec!$U:$U,$B306,BV_Data_An_Prec!$V:$V,$C306)</f>
        <v>44967.79</v>
      </c>
      <c r="P306" s="227">
        <f t="shared" ref="P306:P308" si="181">IF(O306&lt;=0,0,Q306/O306)</f>
        <v>0.19901845298601517</v>
      </c>
      <c r="Q306" s="197">
        <f>-SUMIFS(BV_Data_An_Prec!$O:$O,BV_Data_An_Prec!$U:$U,$B306,BV_Data_An_Prec!$V:$V,$C306,BV_Data_An_Prec!$W:$W,$L$2)</f>
        <v>8949.4200000000037</v>
      </c>
      <c r="R306" s="341">
        <f t="shared" ref="R306:R307" si="182">IF(O306=0,0,(J306-O306)/O306)</f>
        <v>-0.6744632102222502</v>
      </c>
      <c r="S306" s="216">
        <f t="shared" ref="S306:S308" si="183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239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  <c r="BC306" s="532"/>
    </row>
    <row r="307" spans="1:55" ht="15.75" customHeight="1">
      <c r="A307" s="600" t="str">
        <f t="shared" si="154"/>
        <v>PiècesHuiles et Graisse</v>
      </c>
      <c r="B307" s="24" t="s">
        <v>175</v>
      </c>
      <c r="C307" s="343" t="s">
        <v>187</v>
      </c>
      <c r="D307" s="214">
        <f>+INDEX('Budget original'!$A$2:$AO$496,MATCH($A307,'Budget original'!$A$2:$A$496,0),MATCH(D$2,'Budget original'!$A$2:$AO$2,0))</f>
        <v>13115.788065400957</v>
      </c>
      <c r="E307" s="227">
        <f t="shared" si="176"/>
        <v>0.30006987567403659</v>
      </c>
      <c r="F307" s="219">
        <f>+INDEX('Budget original'!$A$2:$AO$496,MATCH($A307,'Budget original'!$A$2:$A$496,0),MATCH(F$2,'Budget original'!$A$2:$AO$2,0))</f>
        <v>3935.6528941518782</v>
      </c>
      <c r="G307" s="214">
        <f>+INDEX('Budget révisé'!$A$2:$AO$496,MATCH($A307,'Budget révisé'!$A$2:$A$496,0),MATCH(G$2,'Budget révisé'!$A$2:$AO$2,0))</f>
        <v>13115.788065400957</v>
      </c>
      <c r="H307" s="227">
        <f t="shared" si="177"/>
        <v>0.30006987567403659</v>
      </c>
      <c r="I307" s="219">
        <f>+INDEX('Budget révisé'!$A$2:$AO$496,MATCH($A307,'Budget révisé'!$A$2:$A$496,0),MATCH(I$2,'Budget révisé'!$A$2:$AO$2,0))</f>
        <v>3935.6528941518782</v>
      </c>
      <c r="J307" s="196">
        <f>-SUMIFS(BV_Data_An_Cour!$O:$O,BV_Data_An_Cour!$X:$X,"Oui",BV_Data_An_Cour!$U:$U,$B307,BV_Data_An_Cour!$V:$V,$C307)</f>
        <v>11296.55</v>
      </c>
      <c r="K307" s="227">
        <f t="shared" si="178"/>
        <v>0.28911835914504863</v>
      </c>
      <c r="L307" s="197">
        <f>-SUMIFS(BV_Data_An_Cour!$O:$O,BV_Data_An_Cour!$U:$U,$B307,BV_Data_An_Cour!$V:$V,$C307,BV_Data_An_Cour!$W:$W,$L$2)</f>
        <v>3266.0399999999991</v>
      </c>
      <c r="M307" s="341">
        <f t="shared" si="179"/>
        <v>-0.13870596691021955</v>
      </c>
      <c r="N307" s="321">
        <f t="shared" si="180"/>
        <v>-669.61289415187912</v>
      </c>
      <c r="O307" s="196">
        <f>-SUMIFS(BV_Data_An_Prec!$O:$O,BV_Data_An_Prec!$X:$X,"Oui",BV_Data_An_Prec!$U:$U,$B307,BV_Data_An_Prec!$V:$V,$C307)</f>
        <v>12499.4</v>
      </c>
      <c r="P307" s="227">
        <f t="shared" si="181"/>
        <v>0.27894218922508274</v>
      </c>
      <c r="Q307" s="197">
        <f>-SUMIFS(BV_Data_An_Prec!$O:$O,BV_Data_An_Prec!$U:$U,$B307,BV_Data_An_Prec!$V:$V,$C307,BV_Data_An_Prec!$W:$W,$L$2)</f>
        <v>3486.6099999999988</v>
      </c>
      <c r="R307" s="341">
        <f t="shared" si="182"/>
        <v>-9.6232619165719985E-2</v>
      </c>
      <c r="S307" s="216">
        <f t="shared" si="183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239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  <c r="BC307" s="532"/>
    </row>
    <row r="308" spans="1:55" ht="15.75" customHeight="1">
      <c r="A308" s="600" t="str">
        <f t="shared" si="154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84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85">I303+I306+I307</f>
        <v>102316.59991566879</v>
      </c>
      <c r="J308" s="348">
        <f t="shared" ref="J308" si="186">J303+J306+J307</f>
        <v>316284.04999999993</v>
      </c>
      <c r="K308" s="345">
        <f t="shared" si="178"/>
        <v>0.26247298907421984</v>
      </c>
      <c r="L308" s="346">
        <f>L303+L306+L307</f>
        <v>83016.01999999999</v>
      </c>
      <c r="M308" s="347">
        <f t="shared" si="179"/>
        <v>-9.9417920613195557E-2</v>
      </c>
      <c r="N308" s="346">
        <f t="shared" si="180"/>
        <v>-19300.579915668801</v>
      </c>
      <c r="O308" s="348">
        <f t="shared" ref="O308" si="187">O303+O306+O307</f>
        <v>362867.18</v>
      </c>
      <c r="P308" s="345">
        <f t="shared" si="181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83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239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  <c r="BC308" s="532"/>
    </row>
    <row r="309" spans="1:55" ht="15.75" customHeight="1">
      <c r="A309" s="600" t="str">
        <f t="shared" si="154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239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  <c r="BC309" s="532"/>
    </row>
    <row r="310" spans="1:55" ht="15.75" customHeight="1">
      <c r="A310" s="600" t="str">
        <f t="shared" si="154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239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  <c r="BC310" s="532"/>
    </row>
    <row r="311" spans="1:55" ht="15.75" customHeight="1">
      <c r="A311" s="600" t="str">
        <f t="shared" si="154"/>
        <v>PiècesAutostock</v>
      </c>
      <c r="B311" s="24" t="s">
        <v>175</v>
      </c>
      <c r="C311" s="343" t="s">
        <v>189</v>
      </c>
      <c r="D311" s="207">
        <f>+INDEX('Budget original'!$A$2:$AO$496,MATCH($A311,'Budget original'!$A$2:$A$496,0),MATCH(D$2,'Budget original'!$A$2:$AO$2,0))</f>
        <v>0</v>
      </c>
      <c r="E311" s="212">
        <f t="shared" ref="E311" si="188">IF(D311=0,0,F311/D311)</f>
        <v>0</v>
      </c>
      <c r="F311" s="213">
        <f>+INDEX('Budget original'!$A$2:$AO$496,MATCH($A311,'Budget original'!$A$2:$A$496,0),MATCH(F$2,'Budget original'!$A$2:$AO$2,0))</f>
        <v>0</v>
      </c>
      <c r="G311" s="228">
        <f>+INDEX('Budget révisé'!$A$2:$AO$496,MATCH($A311,'Budget révisé'!$A$2:$A$496,0),MATCH(G$2,'Budget révisé'!$A$2:$AO$2,0))</f>
        <v>0</v>
      </c>
      <c r="H311" s="212">
        <f t="shared" ref="H311" si="189">IF(G311=0,0,I311/G311)</f>
        <v>0</v>
      </c>
      <c r="I311" s="213">
        <f>+INDEX('Budget révisé'!$A$2:$AO$496,MATCH($A311,'Budget révisé'!$A$2:$A$496,0),MATCH(I$2,'Budget révisé'!$A$2:$AO$2,0))</f>
        <v>0</v>
      </c>
      <c r="J311" s="200">
        <f>-SUMIFS(BV_Data_An_Cour!$O:$O,BV_Data_An_Cour!$X:$X,"Oui",BV_Data_An_Cour!$U:$U,$B311,BV_Data_An_Cour!$V:$V,$C311)</f>
        <v>0</v>
      </c>
      <c r="K311" s="355">
        <f>IF(J311&lt;=0,0,L311/J311)</f>
        <v>0</v>
      </c>
      <c r="L311" s="194">
        <f>-SUMIFS(BV_Data_An_Cour!$O:$O,BV_Data_An_Cour!$U:$U,$B311,BV_Data_An_Cour!$V:$V,$C311,BV_Data_An_Cour!$W:$W,$L$2)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-SUMIFS(BV_Data_An_Prec!$O:$O,BV_Data_An_Prec!$X:$X,"Oui",BV_Data_An_Prec!$U:$U,$B311,BV_Data_An_Prec!$V:$V,$C311)</f>
        <v>0</v>
      </c>
      <c r="P311" s="355">
        <f>IF(O311&lt;=0,0,Q311/O311)</f>
        <v>0</v>
      </c>
      <c r="Q311" s="194">
        <f>-SUMIFS(BV_Data_An_Prec!$O:$O,BV_Data_An_Prec!$U:$U,$B311,BV_Data_An_Prec!$V:$V,$C311,BV_Data_An_Prec!$W:$W,$L$2)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239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  <c r="BC311" s="532"/>
    </row>
    <row r="312" spans="1:55" ht="15.75" customHeight="1" thickBot="1">
      <c r="A312" s="600" t="str">
        <f t="shared" si="154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239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  <c r="BC312" s="532"/>
    </row>
    <row r="313" spans="1:55" ht="15.75" customHeight="1" thickTop="1">
      <c r="A313" s="600" t="str">
        <f t="shared" si="154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90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91">I308+I311</f>
        <v>102316.59991566879</v>
      </c>
      <c r="J313" s="29">
        <f t="shared" ref="J313" si="192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93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239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  <c r="BC313" s="532"/>
    </row>
    <row r="314" spans="1:55" ht="15.75" customHeight="1" thickBot="1">
      <c r="A314" s="600" t="str">
        <f t="shared" si="154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239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  <c r="BC314" s="532"/>
    </row>
    <row r="315" spans="1:55" ht="15.75" customHeight="1" thickTop="1">
      <c r="A315" s="600" t="str">
        <f t="shared" si="154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239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  <c r="BC315" s="532"/>
    </row>
    <row r="316" spans="1:55" ht="15.75" customHeight="1">
      <c r="A316" s="600" t="str">
        <f t="shared" si="154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239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  <c r="BC316" s="532"/>
    </row>
    <row r="317" spans="1:55" ht="15.75" customHeight="1">
      <c r="A317" s="600" t="str">
        <f t="shared" si="154"/>
        <v>PiècesSalaires cadres</v>
      </c>
      <c r="B317" s="24" t="s">
        <v>175</v>
      </c>
      <c r="C317" s="297" t="s">
        <v>112</v>
      </c>
      <c r="D317" s="250"/>
      <c r="E317" s="250"/>
      <c r="F317" s="248">
        <f>+INDEX('Budget original'!$A$2:$AO$496,MATCH($A317,'Budget original'!$A$2:$A$496,0),MATCH(F$2,'Budget original'!$A$2:$AO$2,0))</f>
        <v>8924.8553069292284</v>
      </c>
      <c r="G317" s="244"/>
      <c r="H317" s="250"/>
      <c r="I317" s="248">
        <f>+INDEX('Budget révisé'!$A$2:$AO$496,MATCH($A317,'Budget révisé'!$A$2:$A$496,0),MATCH(I$2,'Budget révisé'!$A$2:$AO$2,0))</f>
        <v>8924.8553069292284</v>
      </c>
      <c r="J317" s="244"/>
      <c r="K317" s="250"/>
      <c r="L317" s="298">
        <f>SUMIFS(BV_Data_An_Cour!$O:$O,BV_Data_An_Cour!$U:$U,$B317,BV_Data_An_Cour!$V:$V,$C317,BV_Data_An_Cour!$W:$W,$L$2)</f>
        <v>3692.69</v>
      </c>
      <c r="M317" s="244"/>
      <c r="N317" s="249">
        <f t="shared" ref="N317:N328" si="194">L317-I317</f>
        <v>-5232.1653069292279</v>
      </c>
      <c r="O317" s="244"/>
      <c r="P317" s="250"/>
      <c r="Q317" s="298">
        <f>SUMIFS(BV_Data_An_Prec!$O:$O,BV_Data_An_Prec!$U:$U,$B317,BV_Data_An_Prec!$V:$V,$C317,BV_Data_An_Prec!$W:$W,$L$2)</f>
        <v>11779.79</v>
      </c>
      <c r="R317" s="244"/>
      <c r="S317" s="529">
        <f>L317-Q317</f>
        <v>-8087.1</v>
      </c>
      <c r="T317" s="239"/>
      <c r="U317" s="239"/>
      <c r="V317" s="239" t="s">
        <v>2890</v>
      </c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239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  <c r="BC317" s="532"/>
    </row>
    <row r="318" spans="1:55" ht="15.75" customHeight="1">
      <c r="A318" s="600" t="str">
        <f t="shared" si="154"/>
        <v>PiècesSalaires commis</v>
      </c>
      <c r="B318" s="24" t="s">
        <v>175</v>
      </c>
      <c r="C318" s="299" t="s">
        <v>113</v>
      </c>
      <c r="D318" s="279"/>
      <c r="E318" s="250"/>
      <c r="F318" s="261">
        <f>+INDEX('Budget original'!$A$2:$AO$496,MATCH($A318,'Budget original'!$A$2:$A$496,0),MATCH(F$2,'Budget original'!$A$2:$AO$2,0))</f>
        <v>4254.8802291494258</v>
      </c>
      <c r="G318" s="300"/>
      <c r="H318" s="250"/>
      <c r="I318" s="261">
        <f>+INDEX('Budget révisé'!$A$2:$AO$496,MATCH($A318,'Budget révisé'!$A$2:$A$496,0),MATCH(I$2,'Budget révisé'!$A$2:$AO$2,0))</f>
        <v>4254.8802291494258</v>
      </c>
      <c r="J318" s="244"/>
      <c r="K318" s="250"/>
      <c r="L318" s="298">
        <f>SUMIFS(BV_Data_An_Cour!$O:$O,BV_Data_An_Cour!$U:$U,$B318,BV_Data_An_Cour!$V:$V,$C318,BV_Data_An_Cour!$W:$W,$L$2)</f>
        <v>4211.63</v>
      </c>
      <c r="M318" s="244"/>
      <c r="N318" s="249">
        <f t="shared" si="194"/>
        <v>-43.25022914942565</v>
      </c>
      <c r="O318" s="244"/>
      <c r="P318" s="250"/>
      <c r="Q318" s="298">
        <f>SUMIFS(BV_Data_An_Prec!$O:$O,BV_Data_An_Prec!$U:$U,$B318,BV_Data_An_Prec!$V:$V,$C318,BV_Data_An_Prec!$W:$W,$L$2)</f>
        <v>4025.74</v>
      </c>
      <c r="R318" s="244"/>
      <c r="S318" s="301">
        <f t="shared" ref="S318:S342" si="195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  <c r="BC318" s="532"/>
    </row>
    <row r="319" spans="1:55" ht="15.75" customHeight="1">
      <c r="A319" s="600" t="str">
        <f t="shared" si="154"/>
        <v>PiècesSalaires autres</v>
      </c>
      <c r="B319" s="24" t="s">
        <v>175</v>
      </c>
      <c r="C319" s="297" t="s">
        <v>114</v>
      </c>
      <c r="D319" s="302"/>
      <c r="E319" s="303"/>
      <c r="F319" s="248">
        <f>+INDEX('Budget original'!$A$2:$AO$496,MATCH($A319,'Budget original'!$A$2:$A$496,0),MATCH(F$2,'Budget original'!$A$2:$AO$2,0))</f>
        <v>15813.640893866666</v>
      </c>
      <c r="G319" s="304"/>
      <c r="H319" s="303"/>
      <c r="I319" s="248">
        <f>+INDEX('Budget révisé'!$A$2:$AO$496,MATCH($A319,'Budget révisé'!$A$2:$A$496,0),MATCH(I$2,'Budget révisé'!$A$2:$AO$2,0))</f>
        <v>15813.640893866666</v>
      </c>
      <c r="J319" s="305"/>
      <c r="K319" s="303"/>
      <c r="L319" s="262">
        <f>SUMIFS(BV_Data_An_Cour!$O:$O,BV_Data_An_Cour!$U:$U,$B319,BV_Data_An_Cour!$V:$V,$C319,BV_Data_An_Cour!$W:$W,$L$2)</f>
        <v>23019.06</v>
      </c>
      <c r="M319" s="305"/>
      <c r="N319" s="306">
        <f t="shared" si="194"/>
        <v>7205.4191061333349</v>
      </c>
      <c r="O319" s="305"/>
      <c r="P319" s="303"/>
      <c r="Q319" s="262">
        <f>SUMIFS(BV_Data_An_Prec!$O:$O,BV_Data_An_Prec!$U:$U,$B319,BV_Data_An_Prec!$V:$V,$C319,BV_Data_An_Prec!$W:$W,$L$2)</f>
        <v>14802.97</v>
      </c>
      <c r="R319" s="305"/>
      <c r="S319" s="307">
        <f t="shared" si="195"/>
        <v>8216.090000000002</v>
      </c>
      <c r="T319" s="239"/>
      <c r="U319" s="1086"/>
      <c r="V319" s="1086" t="s">
        <v>2891</v>
      </c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239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  <c r="BC319" s="532"/>
    </row>
    <row r="320" spans="1:55" ht="15.75" customHeight="1">
      <c r="A320" s="600" t="str">
        <f t="shared" si="154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+INDEX('Budget original'!$A$2:$AO$496,MATCH($A320,'Budget original'!$A$2:$A$496,0),MATCH(F$2,'Budget original'!$A$2:$AO$2,0))</f>
        <v>0</v>
      </c>
      <c r="G320" s="300"/>
      <c r="H320" s="250"/>
      <c r="I320" s="248">
        <f>+INDEX('Budget révisé'!$A$2:$AO$496,MATCH($A320,'Budget révisé'!$A$2:$A$496,0),MATCH(I$2,'Budget révisé'!$A$2:$AO$2,0))</f>
        <v>0</v>
      </c>
      <c r="J320" s="244"/>
      <c r="K320" s="250"/>
      <c r="L320" s="298">
        <f>SUMIFS(BV_Data_An_Cour!$O:$O,BV_Data_An_Cour!$U:$U,$B320,BV_Data_An_Cour!$V:$V,$C320,BV_Data_An_Cour!$W:$W,$L$2)</f>
        <v>0</v>
      </c>
      <c r="M320" s="244"/>
      <c r="N320" s="249">
        <f t="shared" si="194"/>
        <v>0</v>
      </c>
      <c r="O320" s="244"/>
      <c r="P320" s="250"/>
      <c r="Q320" s="298">
        <f>SUMIFS(BV_Data_An_Prec!$O:$O,BV_Data_An_Prec!$U:$U,$B320,BV_Data_An_Prec!$V:$V,$C320,BV_Data_An_Prec!$W:$W,$L$2)</f>
        <v>0</v>
      </c>
      <c r="R320" s="244"/>
      <c r="S320" s="301">
        <f t="shared" si="195"/>
        <v>0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239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  <c r="BC320" s="532"/>
    </row>
    <row r="321" spans="1:55" s="600" customFormat="1" ht="15.75" customHeight="1">
      <c r="A321" s="600" t="str">
        <f t="shared" ref="A321:A323" si="196">+B321&amp;C321</f>
        <v>Pièces[...]</v>
      </c>
      <c r="B321" s="24" t="s">
        <v>175</v>
      </c>
      <c r="C321" s="669" t="s">
        <v>42</v>
      </c>
      <c r="D321" s="279"/>
      <c r="E321" s="250"/>
      <c r="F321" s="248">
        <f>+INDEX('Budget original'!$A$2:$AO$496,MATCH($A321,'Budget original'!$A$2:$A$496,0),MATCH(F$2,'Budget original'!$A$2:$AO$2,0))</f>
        <v>0</v>
      </c>
      <c r="G321" s="300"/>
      <c r="H321" s="250"/>
      <c r="I321" s="248">
        <f>+INDEX('Budget révisé'!$A$2:$AO$496,MATCH($A321,'Budget révisé'!$A$2:$A$496,0),MATCH(I$2,'Budget révisé'!$A$2:$AO$2,0))</f>
        <v>0</v>
      </c>
      <c r="J321" s="244"/>
      <c r="K321" s="250"/>
      <c r="L321" s="298">
        <f>SUMIFS(BV_Data_An_Cour!$O:$O,BV_Data_An_Cour!$U:$U,$B321,BV_Data_An_Cour!$V:$V,$C321,BV_Data_An_Cour!$W:$W,$L$2)</f>
        <v>0</v>
      </c>
      <c r="M321" s="244"/>
      <c r="N321" s="249">
        <f t="shared" ref="N321:N323" si="197">L321-I321</f>
        <v>0</v>
      </c>
      <c r="O321" s="244"/>
      <c r="P321" s="250"/>
      <c r="Q321" s="298">
        <f>SUMIFS(BV_Data_An_Prec!$O:$O,BV_Data_An_Prec!$U:$U,$B321,BV_Data_An_Prec!$V:$V,$C321,BV_Data_An_Prec!$W:$W,$L$2)</f>
        <v>0</v>
      </c>
      <c r="R321" s="244"/>
      <c r="S321" s="301">
        <f t="shared" ref="S321:S323" si="198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239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  <c r="BC321" s="532"/>
    </row>
    <row r="322" spans="1:55" s="600" customFormat="1" ht="15.75" customHeight="1">
      <c r="A322" s="600" t="str">
        <f t="shared" si="196"/>
        <v>Pièces[...]</v>
      </c>
      <c r="B322" s="24" t="s">
        <v>175</v>
      </c>
      <c r="C322" s="669" t="s">
        <v>42</v>
      </c>
      <c r="D322" s="279"/>
      <c r="E322" s="250"/>
      <c r="F322" s="248">
        <f>+INDEX('Budget original'!$A$2:$AO$496,MATCH($A322,'Budget original'!$A$2:$A$496,0),MATCH(F$2,'Budget original'!$A$2:$AO$2,0))</f>
        <v>0</v>
      </c>
      <c r="G322" s="300"/>
      <c r="H322" s="250"/>
      <c r="I322" s="248">
        <f>+INDEX('Budget révisé'!$A$2:$AO$496,MATCH($A322,'Budget révisé'!$A$2:$A$496,0),MATCH(I$2,'Budget révisé'!$A$2:$AO$2,0))</f>
        <v>0</v>
      </c>
      <c r="J322" s="244"/>
      <c r="K322" s="250"/>
      <c r="L322" s="298">
        <f>SUMIFS(BV_Data_An_Cour!$O:$O,BV_Data_An_Cour!$U:$U,$B322,BV_Data_An_Cour!$V:$V,$C322,BV_Data_An_Cour!$W:$W,$L$2)</f>
        <v>0</v>
      </c>
      <c r="M322" s="244"/>
      <c r="N322" s="249">
        <f t="shared" si="197"/>
        <v>0</v>
      </c>
      <c r="O322" s="244"/>
      <c r="P322" s="250"/>
      <c r="Q322" s="298">
        <f>SUMIFS(BV_Data_An_Prec!$O:$O,BV_Data_An_Prec!$U:$U,$B322,BV_Data_An_Prec!$V:$V,$C322,BV_Data_An_Prec!$W:$W,$L$2)</f>
        <v>0</v>
      </c>
      <c r="R322" s="244"/>
      <c r="S322" s="301">
        <f t="shared" si="198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239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  <c r="BC322" s="532"/>
    </row>
    <row r="323" spans="1:55" s="600" customFormat="1" ht="15.75" customHeight="1">
      <c r="A323" s="600" t="str">
        <f t="shared" si="196"/>
        <v>Pièces[...]</v>
      </c>
      <c r="B323" s="24" t="s">
        <v>175</v>
      </c>
      <c r="C323" s="669" t="s">
        <v>42</v>
      </c>
      <c r="D323" s="279"/>
      <c r="E323" s="250"/>
      <c r="F323" s="248">
        <f>+INDEX('Budget original'!$A$2:$AO$496,MATCH($A323,'Budget original'!$A$2:$A$496,0),MATCH(F$2,'Budget original'!$A$2:$AO$2,0))</f>
        <v>0</v>
      </c>
      <c r="G323" s="300"/>
      <c r="H323" s="250"/>
      <c r="I323" s="248">
        <f>+INDEX('Budget révisé'!$A$2:$AO$496,MATCH($A323,'Budget révisé'!$A$2:$A$496,0),MATCH(I$2,'Budget révisé'!$A$2:$AO$2,0))</f>
        <v>0</v>
      </c>
      <c r="J323" s="244"/>
      <c r="K323" s="250"/>
      <c r="L323" s="298">
        <f>SUMIFS(BV_Data_An_Cour!$O:$O,BV_Data_An_Cour!$U:$U,$B323,BV_Data_An_Cour!$V:$V,$C323,BV_Data_An_Cour!$W:$W,$L$2)</f>
        <v>0</v>
      </c>
      <c r="M323" s="244"/>
      <c r="N323" s="249">
        <f t="shared" si="197"/>
        <v>0</v>
      </c>
      <c r="O323" s="244"/>
      <c r="P323" s="250"/>
      <c r="Q323" s="298">
        <f>SUMIFS(BV_Data_An_Prec!$O:$O,BV_Data_An_Prec!$U:$U,$B323,BV_Data_An_Prec!$V:$V,$C323,BV_Data_An_Prec!$W:$W,$L$2)</f>
        <v>0</v>
      </c>
      <c r="R323" s="244"/>
      <c r="S323" s="301">
        <f t="shared" si="198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239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  <c r="BC323" s="532"/>
    </row>
    <row r="324" spans="1:55" ht="15.75" customHeight="1">
      <c r="A324" s="600" t="str">
        <f t="shared" si="154"/>
        <v>PiècesSalaires en absences</v>
      </c>
      <c r="B324" s="24" t="s">
        <v>175</v>
      </c>
      <c r="C324" s="299" t="s">
        <v>116</v>
      </c>
      <c r="D324" s="279"/>
      <c r="E324" s="250"/>
      <c r="F324" s="261">
        <f>+INDEX('Budget original'!$A$2:$AO$496,MATCH($A324,'Budget original'!$A$2:$A$496,0),MATCH(F$2,'Budget original'!$A$2:$AO$2,0))</f>
        <v>3479.2051715934381</v>
      </c>
      <c r="G324" s="300"/>
      <c r="H324" s="250"/>
      <c r="I324" s="261">
        <f>+INDEX('Budget révisé'!$A$2:$AO$496,MATCH($A324,'Budget révisé'!$A$2:$A$496,0),MATCH(I$2,'Budget révisé'!$A$2:$AO$2,0))</f>
        <v>3479.2051715934381</v>
      </c>
      <c r="J324" s="244"/>
      <c r="K324" s="250"/>
      <c r="L324" s="298">
        <f>SUMIFS(BV_Data_An_Cour!$O:$O,BV_Data_An_Cour!$U:$U,$B324,BV_Data_An_Cour!$V:$V,$C324,BV_Data_An_Cour!$W:$W,$L$2)</f>
        <v>2490.75</v>
      </c>
      <c r="M324" s="244"/>
      <c r="N324" s="249">
        <f t="shared" si="194"/>
        <v>-988.45517159343808</v>
      </c>
      <c r="O324" s="244"/>
      <c r="P324" s="250"/>
      <c r="Q324" s="298">
        <f>SUMIFS(BV_Data_An_Prec!$O:$O,BV_Data_An_Prec!$U:$U,$B324,BV_Data_An_Prec!$V:$V,$C324,BV_Data_An_Prec!$W:$W,$L$2)</f>
        <v>4749.75</v>
      </c>
      <c r="R324" s="244"/>
      <c r="S324" s="301">
        <f t="shared" si="195"/>
        <v>-2259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239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  <c r="BC324" s="532"/>
    </row>
    <row r="325" spans="1:55" ht="15.75" customHeight="1">
      <c r="A325" s="600" t="str">
        <f t="shared" si="154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+INDEX('Budget original'!$A$2:$AO$496,MATCH($A325,'Budget original'!$A$2:$A$496,0),MATCH(F$2,'Budget original'!$A$2:$AO$2,0))</f>
        <v>3479.2051715934381</v>
      </c>
      <c r="G325" s="304"/>
      <c r="H325" s="303"/>
      <c r="I325" s="248">
        <f>+INDEX('Budget révisé'!$A$2:$AO$496,MATCH($A325,'Budget révisé'!$A$2:$A$496,0),MATCH(I$2,'Budget révisé'!$A$2:$AO$2,0))</f>
        <v>3479.2051715934381</v>
      </c>
      <c r="J325" s="305"/>
      <c r="K325" s="303"/>
      <c r="L325" s="262">
        <f>SUMIFS(BV_Data_An_Cour!$O:$O,BV_Data_An_Cour!$U:$U,$B325,BV_Data_An_Cour!$V:$V,$C325,BV_Data_An_Cour!$W:$W,$L$2)</f>
        <v>36.33</v>
      </c>
      <c r="M325" s="305"/>
      <c r="N325" s="306">
        <f t="shared" si="194"/>
        <v>-3442.8751715934382</v>
      </c>
      <c r="O325" s="305"/>
      <c r="P325" s="303"/>
      <c r="Q325" s="262">
        <f>SUMIFS(BV_Data_An_Prec!$O:$O,BV_Data_An_Prec!$U:$U,$B325,BV_Data_An_Prec!$V:$V,$C325,BV_Data_An_Prec!$W:$W,$L$2)</f>
        <v>0</v>
      </c>
      <c r="R325" s="305"/>
      <c r="S325" s="307">
        <f t="shared" si="195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239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  <c r="BC325" s="532"/>
    </row>
    <row r="326" spans="1:55" ht="15.75" customHeight="1">
      <c r="A326" s="600" t="str">
        <f t="shared" si="154"/>
        <v>PiècesBénéfices marginaux</v>
      </c>
      <c r="B326" s="24" t="s">
        <v>175</v>
      </c>
      <c r="C326" s="297" t="s">
        <v>118</v>
      </c>
      <c r="D326" s="279"/>
      <c r="E326" s="250"/>
      <c r="F326" s="248">
        <f>+INDEX('Budget original'!$A$2:$AO$496,MATCH($A326,'Budget original'!$A$2:$A$496,0),MATCH(F$2,'Budget original'!$A$2:$AO$2,0))</f>
        <v>2493.4303729752969</v>
      </c>
      <c r="G326" s="300"/>
      <c r="H326" s="250"/>
      <c r="I326" s="248">
        <f>+INDEX('Budget révisé'!$A$2:$AO$496,MATCH($A326,'Budget révisé'!$A$2:$A$496,0),MATCH(I$2,'Budget révisé'!$A$2:$AO$2,0))</f>
        <v>2493.4303729752969</v>
      </c>
      <c r="J326" s="244"/>
      <c r="K326" s="250"/>
      <c r="L326" s="298">
        <f>SUMIFS(BV_Data_An_Cour!$O:$O,BV_Data_An_Cour!$U:$U,$B326,BV_Data_An_Cour!$V:$V,$C326,BV_Data_An_Cour!$W:$W,$L$2)</f>
        <v>4575.01</v>
      </c>
      <c r="M326" s="244"/>
      <c r="N326" s="249">
        <f t="shared" si="194"/>
        <v>2081.5796270247033</v>
      </c>
      <c r="O326" s="244"/>
      <c r="P326" s="250"/>
      <c r="Q326" s="298">
        <f>SUMIFS(BV_Data_An_Prec!$O:$O,BV_Data_An_Prec!$U:$U,$B326,BV_Data_An_Prec!$V:$V,$C326,BV_Data_An_Prec!$W:$W,$L$2)</f>
        <v>4200.24</v>
      </c>
      <c r="R326" s="244"/>
      <c r="S326" s="301">
        <f t="shared" si="195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239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  <c r="BC326" s="532"/>
    </row>
    <row r="327" spans="1:55" ht="15.75" customHeight="1">
      <c r="A327" s="600" t="str">
        <f t="shared" si="154"/>
        <v>PiècesCsst</v>
      </c>
      <c r="B327" s="24" t="s">
        <v>175</v>
      </c>
      <c r="C327" s="297" t="s">
        <v>119</v>
      </c>
      <c r="D327" s="279"/>
      <c r="E327" s="250"/>
      <c r="F327" s="248">
        <f>+INDEX('Budget original'!$A$2:$AO$496,MATCH($A327,'Budget original'!$A$2:$A$496,0),MATCH(F$2,'Budget original'!$A$2:$AO$2,0))</f>
        <v>579.86752859890635</v>
      </c>
      <c r="G327" s="300"/>
      <c r="H327" s="250"/>
      <c r="I327" s="248">
        <f>+INDEX('Budget révisé'!$A$2:$AO$496,MATCH($A327,'Budget révisé'!$A$2:$A$496,0),MATCH(I$2,'Budget révisé'!$A$2:$AO$2,0))</f>
        <v>579.86752859890635</v>
      </c>
      <c r="J327" s="244"/>
      <c r="K327" s="250"/>
      <c r="L327" s="298">
        <f>SUMIFS(BV_Data_An_Cour!$O:$O,BV_Data_An_Cour!$U:$U,$B327,BV_Data_An_Cour!$V:$V,$C327,BV_Data_An_Cour!$W:$W,$L$2)</f>
        <v>5020.3100000000004</v>
      </c>
      <c r="M327" s="244"/>
      <c r="N327" s="249">
        <f t="shared" si="194"/>
        <v>4440.4424714010938</v>
      </c>
      <c r="O327" s="244"/>
      <c r="P327" s="250"/>
      <c r="Q327" s="298">
        <f>SUMIFS(BV_Data_An_Prec!$O:$O,BV_Data_An_Prec!$U:$U,$B327,BV_Data_An_Prec!$V:$V,$C327,BV_Data_An_Prec!$W:$W,$L$2)</f>
        <v>3740.63</v>
      </c>
      <c r="R327" s="244"/>
      <c r="S327" s="301">
        <f t="shared" si="195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239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  <c r="BC327" s="532"/>
    </row>
    <row r="328" spans="1:55" ht="15.75" customHeight="1">
      <c r="A328" s="600" t="str">
        <f t="shared" si="154"/>
        <v>Pièces[...]</v>
      </c>
      <c r="B328" s="24" t="s">
        <v>175</v>
      </c>
      <c r="C328" s="308" t="s">
        <v>42</v>
      </c>
      <c r="D328" s="309"/>
      <c r="E328" s="310"/>
      <c r="F328" s="248">
        <f>+INDEX('Budget original'!$A$2:$AO$496,MATCH($A328,'Budget original'!$A$2:$A$496,0),MATCH(F$2,'Budget original'!$A$2:$AO$2,0))</f>
        <v>0</v>
      </c>
      <c r="G328" s="311"/>
      <c r="H328" s="310"/>
      <c r="I328" s="248">
        <f>+INDEX('Budget révisé'!$A$2:$AO$496,MATCH($A328,'Budget révisé'!$A$2:$A$496,0),MATCH(I$2,'Budget révisé'!$A$2:$AO$2,0))</f>
        <v>0</v>
      </c>
      <c r="J328" s="312"/>
      <c r="K328" s="310"/>
      <c r="L328" s="298">
        <f>SUMIFS(BV_Data_An_Cour!$O:$O,BV_Data_An_Cour!$U:$U,$B328,BV_Data_An_Cour!$V:$V,$C328,BV_Data_An_Cour!$W:$W,$L$2)</f>
        <v>0</v>
      </c>
      <c r="M328" s="312"/>
      <c r="N328" s="313">
        <f t="shared" si="194"/>
        <v>0</v>
      </c>
      <c r="O328" s="312"/>
      <c r="P328" s="310"/>
      <c r="Q328" s="298">
        <f>SUMIFS(BV_Data_An_Prec!$O:$O,BV_Data_An_Prec!$U:$U,$B328,BV_Data_An_Prec!$V:$V,$C328,BV_Data_An_Prec!$W:$W,$L$2)</f>
        <v>0</v>
      </c>
      <c r="R328" s="312"/>
      <c r="S328" s="314">
        <f t="shared" si="195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239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  <c r="BC328" s="532"/>
    </row>
    <row r="329" spans="1:55" ht="15.75" customHeight="1">
      <c r="A329" s="600" t="str">
        <f t="shared" si="154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0.51852377408601391</v>
      </c>
      <c r="L329" s="41">
        <f>+SUM(L317:L328)</f>
        <v>43045.780000000006</v>
      </c>
      <c r="M329" s="43"/>
      <c r="N329" s="46">
        <f t="shared" ref="N329:N342" si="199">L329-I329</f>
        <v>4020.6953252936073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95"/>
        <v>-253.33999999998923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239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  <c r="BC329" s="532"/>
    </row>
    <row r="330" spans="1:55" ht="15.75" customHeight="1">
      <c r="A330" s="600" t="str">
        <f t="shared" si="154"/>
        <v>PiècesPublicité 2</v>
      </c>
      <c r="B330" s="24" t="s">
        <v>175</v>
      </c>
      <c r="C330" s="570" t="s">
        <v>121</v>
      </c>
      <c r="D330" s="318"/>
      <c r="E330" s="195"/>
      <c r="F330" s="196">
        <f>+INDEX('Budget original'!$A$2:$AO$496,MATCH($A330,'Budget original'!$A$2:$A$496,0),MATCH(F$2,'Budget original'!$A$2:$AO$2,0))</f>
        <v>3808.6416666666664</v>
      </c>
      <c r="G330" s="319"/>
      <c r="H330" s="195"/>
      <c r="I330" s="196">
        <f>+INDEX('Budget révisé'!$A$2:$AO$496,MATCH($A330,'Budget révisé'!$A$2:$A$496,0),MATCH(I$2,'Budget révisé'!$A$2:$AO$2,0))</f>
        <v>3808.6416666666664</v>
      </c>
      <c r="J330" s="320"/>
      <c r="K330" s="195"/>
      <c r="L330" s="298">
        <f>SUMIFS(BV_Data_An_Cour!$O:$O,BV_Data_An_Cour!$U:$U,$B330,BV_Data_An_Cour!$V:$V,$C330,BV_Data_An_Cour!$W:$W,$L$2)</f>
        <v>5397.13</v>
      </c>
      <c r="M330" s="320"/>
      <c r="N330" s="321">
        <f t="shared" si="199"/>
        <v>1588.4883333333337</v>
      </c>
      <c r="O330" s="320"/>
      <c r="P330" s="195"/>
      <c r="Q330" s="298">
        <f>SUMIFS(BV_Data_An_Prec!$O:$O,BV_Data_An_Prec!$U:$U,$B330,BV_Data_An_Prec!$V:$V,$C330,BV_Data_An_Prec!$W:$W,$L$2)</f>
        <v>6086.65</v>
      </c>
      <c r="R330" s="320"/>
      <c r="S330" s="216">
        <f t="shared" si="195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239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  <c r="BC330" s="532"/>
    </row>
    <row r="331" spans="1:55" ht="15.75" customHeight="1">
      <c r="A331" s="600" t="str">
        <f t="shared" si="154"/>
        <v>PiècesService gratuit 2</v>
      </c>
      <c r="B331" s="24" t="s">
        <v>175</v>
      </c>
      <c r="C331" s="322" t="s">
        <v>122</v>
      </c>
      <c r="D331" s="318"/>
      <c r="E331" s="195"/>
      <c r="F331" s="196">
        <f>+INDEX('Budget original'!$A$2:$AO$496,MATCH($A331,'Budget original'!$A$2:$A$496,0),MATCH(F$2,'Budget original'!$A$2:$AO$2,0))</f>
        <v>1652.6753978584377</v>
      </c>
      <c r="G331" s="319"/>
      <c r="H331" s="195"/>
      <c r="I331" s="196">
        <f>+INDEX('Budget révisé'!$A$2:$AO$496,MATCH($A331,'Budget révisé'!$A$2:$A$496,0),MATCH(I$2,'Budget révisé'!$A$2:$AO$2,0))</f>
        <v>1652.6753978584377</v>
      </c>
      <c r="J331" s="320"/>
      <c r="K331" s="195"/>
      <c r="L331" s="197">
        <f>SUMIFS(BV_Data_An_Cour!$O:$O,BV_Data_An_Cour!$U:$U,$B331,BV_Data_An_Cour!$V:$V,$C331,BV_Data_An_Cour!$W:$W,$L$2)</f>
        <v>145.72999999999999</v>
      </c>
      <c r="M331" s="320"/>
      <c r="N331" s="321">
        <f t="shared" si="199"/>
        <v>-1506.9453978584377</v>
      </c>
      <c r="O331" s="320"/>
      <c r="P331" s="195"/>
      <c r="Q331" s="197">
        <f>SUMIFS(BV_Data_An_Prec!$O:$O,BV_Data_An_Prec!$U:$U,$B331,BV_Data_An_Prec!$V:$V,$C331,BV_Data_An_Prec!$W:$W,$L$2)</f>
        <v>0</v>
      </c>
      <c r="R331" s="320"/>
      <c r="S331" s="216">
        <f t="shared" si="195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239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  <c r="BC331" s="532"/>
    </row>
    <row r="332" spans="1:55" ht="15.75" customHeight="1">
      <c r="A332" s="600" t="str">
        <f t="shared" si="154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+INDEX('Budget original'!$A$2:$AO$496,MATCH($A332,'Budget original'!$A$2:$A$496,0),MATCH(F$2,'Budget original'!$A$2:$AO$2,0))</f>
        <v>285.5</v>
      </c>
      <c r="G332" s="326"/>
      <c r="H332" s="325"/>
      <c r="I332" s="194">
        <f>+INDEX('Budget révisé'!$A$2:$AO$496,MATCH($A332,'Budget révisé'!$A$2:$A$496,0),MATCH(I$2,'Budget révisé'!$A$2:$AO$2,0))</f>
        <v>285.5</v>
      </c>
      <c r="J332" s="327"/>
      <c r="K332" s="325"/>
      <c r="L332" s="197">
        <f>SUMIFS(BV_Data_An_Cour!$O:$O,BV_Data_An_Cour!$U:$U,$B332,BV_Data_An_Cour!$V:$V,$C332,BV_Data_An_Cour!$W:$W,$L$2)</f>
        <v>290.89</v>
      </c>
      <c r="M332" s="327"/>
      <c r="N332" s="328">
        <f t="shared" si="199"/>
        <v>5.3899999999999864</v>
      </c>
      <c r="O332" s="327"/>
      <c r="P332" s="325"/>
      <c r="Q332" s="197">
        <f>SUMIFS(BV_Data_An_Prec!$O:$O,BV_Data_An_Prec!$U:$U,$B332,BV_Data_An_Prec!$V:$V,$C332,BV_Data_An_Prec!$W:$W,$L$2)</f>
        <v>1234.4100000000001</v>
      </c>
      <c r="R332" s="327"/>
      <c r="S332" s="219">
        <f t="shared" si="195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239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  <c r="BC332" s="532"/>
    </row>
    <row r="333" spans="1:55" ht="15.75" customHeight="1">
      <c r="A333" s="600" t="str">
        <f t="shared" si="154"/>
        <v>PiècesInformatique</v>
      </c>
      <c r="B333" s="24" t="s">
        <v>175</v>
      </c>
      <c r="C333" s="322" t="s">
        <v>124</v>
      </c>
      <c r="D333" s="318"/>
      <c r="E333" s="195"/>
      <c r="F333" s="196">
        <f>+INDEX('Budget original'!$A$2:$AO$496,MATCH($A333,'Budget original'!$A$2:$A$496,0),MATCH(F$2,'Budget original'!$A$2:$AO$2,0))</f>
        <v>4280.7783333333336</v>
      </c>
      <c r="G333" s="319"/>
      <c r="H333" s="195"/>
      <c r="I333" s="196">
        <f>+INDEX('Budget révisé'!$A$2:$AO$496,MATCH($A333,'Budget révisé'!$A$2:$A$496,0),MATCH(I$2,'Budget révisé'!$A$2:$AO$2,0))</f>
        <v>4280.7783333333336</v>
      </c>
      <c r="J333" s="320"/>
      <c r="K333" s="195"/>
      <c r="L333" s="198">
        <f>SUMIFS(BV_Data_An_Cour!$O:$O,BV_Data_An_Cour!$U:$U,$B333,BV_Data_An_Cour!$V:$V,$C333,BV_Data_An_Cour!$W:$W,$L$2)</f>
        <v>3781.12</v>
      </c>
      <c r="M333" s="320"/>
      <c r="N333" s="321">
        <f t="shared" si="199"/>
        <v>-499.65833333333376</v>
      </c>
      <c r="O333" s="320"/>
      <c r="P333" s="195"/>
      <c r="Q333" s="198">
        <f>SUMIFS(BV_Data_An_Prec!$O:$O,BV_Data_An_Prec!$U:$U,$B333,BV_Data_An_Prec!$V:$V,$C333,BV_Data_An_Prec!$W:$W,$L$2)</f>
        <v>3520.33</v>
      </c>
      <c r="R333" s="320"/>
      <c r="S333" s="216">
        <f t="shared" si="195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239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  <c r="BC333" s="532"/>
    </row>
    <row r="334" spans="1:55" ht="15.75" customHeight="1">
      <c r="A334" s="600" t="str">
        <f t="shared" si="154"/>
        <v>PiècesFrais de déplacement</v>
      </c>
      <c r="B334" s="24" t="s">
        <v>175</v>
      </c>
      <c r="C334" s="322" t="s">
        <v>125</v>
      </c>
      <c r="D334" s="318"/>
      <c r="E334" s="195"/>
      <c r="F334" s="196">
        <f>+INDEX('Budget original'!$A$2:$AO$496,MATCH($A334,'Budget original'!$A$2:$A$496,0),MATCH(F$2,'Budget original'!$A$2:$AO$2,0))</f>
        <v>1247.2631249999999</v>
      </c>
      <c r="G334" s="319"/>
      <c r="H334" s="195"/>
      <c r="I334" s="196">
        <f>+INDEX('Budget révisé'!$A$2:$AO$496,MATCH($A334,'Budget révisé'!$A$2:$A$496,0),MATCH(I$2,'Budget révisé'!$A$2:$AO$2,0))</f>
        <v>1247.2631249999999</v>
      </c>
      <c r="J334" s="320"/>
      <c r="K334" s="195"/>
      <c r="L334" s="197">
        <f>SUMIFS(BV_Data_An_Cour!$O:$O,BV_Data_An_Cour!$U:$U,$B334,BV_Data_An_Cour!$V:$V,$C334,BV_Data_An_Cour!$W:$W,$L$2)</f>
        <v>48.43</v>
      </c>
      <c r="M334" s="320"/>
      <c r="N334" s="321">
        <f t="shared" si="199"/>
        <v>-1198.8331249999999</v>
      </c>
      <c r="O334" s="320"/>
      <c r="P334" s="195"/>
      <c r="Q334" s="197">
        <f>SUMIFS(BV_Data_An_Prec!$O:$O,BV_Data_An_Prec!$U:$U,$B334,BV_Data_An_Prec!$V:$V,$C334,BV_Data_An_Prec!$W:$W,$L$2)</f>
        <v>1519.25</v>
      </c>
      <c r="R334" s="320"/>
      <c r="S334" s="216">
        <f t="shared" si="195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  <c r="BC334" s="532"/>
    </row>
    <row r="335" spans="1:55" ht="15.75" customHeight="1">
      <c r="A335" s="600" t="str">
        <f t="shared" si="154"/>
        <v>PiècesServices extérieurs</v>
      </c>
      <c r="B335" s="24" t="s">
        <v>175</v>
      </c>
      <c r="C335" s="780" t="s">
        <v>126</v>
      </c>
      <c r="D335" s="324"/>
      <c r="E335" s="325"/>
      <c r="F335" s="194">
        <f>+INDEX('Budget original'!$A$2:$AO$496,MATCH($A335,'Budget original'!$A$2:$A$496,0),MATCH(F$2,'Budget original'!$A$2:$AO$2,0))</f>
        <v>7272.824908333333</v>
      </c>
      <c r="G335" s="326"/>
      <c r="H335" s="325"/>
      <c r="I335" s="194">
        <f>+INDEX('Budget révisé'!$A$2:$AO$496,MATCH($A335,'Budget révisé'!$A$2:$A$496,0),MATCH(I$2,'Budget révisé'!$A$2:$AO$2,0))</f>
        <v>7272.824908333333</v>
      </c>
      <c r="J335" s="327"/>
      <c r="K335" s="325"/>
      <c r="L335" s="422">
        <f>SUMIFS(BV_Data_An_Cour!$O:$O,BV_Data_An_Cour!$U:$U,$B335,BV_Data_An_Cour!$V:$V,$C335,BV_Data_An_Cour!$W:$W,$L$2)</f>
        <v>5169.6099999999997</v>
      </c>
      <c r="M335" s="327"/>
      <c r="N335" s="328">
        <f t="shared" si="199"/>
        <v>-2103.2149083333334</v>
      </c>
      <c r="O335" s="327"/>
      <c r="P335" s="325"/>
      <c r="Q335" s="422">
        <f>SUMIFS(BV_Data_An_Prec!$O:$O,BV_Data_An_Prec!$U:$U,$B335,BV_Data_An_Prec!$V:$V,$C335,BV_Data_An_Prec!$W:$W,$L$2)</f>
        <v>9959.93</v>
      </c>
      <c r="R335" s="327"/>
      <c r="S335" s="219">
        <f t="shared" si="195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239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  <c r="BC335" s="532"/>
    </row>
    <row r="336" spans="1:55" s="600" customFormat="1" ht="15.75" customHeight="1">
      <c r="A336" s="600" t="str">
        <f t="shared" ref="A336" si="200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SUMIFS(BV_Data_An_Cour!$O:$O,BV_Data_An_Cour!$U:$U,$B336,BV_Data_An_Cour!$V:$V,$C336,BV_Data_An_Cour!$W:$W,$L$2)</f>
        <v>0</v>
      </c>
      <c r="M336" s="320"/>
      <c r="N336" s="321">
        <f t="shared" ref="N336" si="201">L336-I336</f>
        <v>0</v>
      </c>
      <c r="O336" s="320"/>
      <c r="P336" s="195"/>
      <c r="Q336" s="197">
        <f>SUMIFS(BV_Data_An_Prec!$O:$O,BV_Data_An_Prec!$U:$U,$B336,BV_Data_An_Prec!$V:$V,$C336,BV_Data_An_Prec!$W:$W,$L$2)</f>
        <v>0</v>
      </c>
      <c r="R336" s="320"/>
      <c r="S336" s="216">
        <f t="shared" ref="S336" si="202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  <c r="BC336" s="532"/>
    </row>
    <row r="337" spans="1:55" ht="15.75" customHeight="1">
      <c r="A337" s="600" t="str">
        <f t="shared" si="154"/>
        <v>PiècesFournitures autres</v>
      </c>
      <c r="B337" s="24" t="s">
        <v>175</v>
      </c>
      <c r="C337" s="322" t="s">
        <v>127</v>
      </c>
      <c r="D337" s="318"/>
      <c r="E337" s="195"/>
      <c r="F337" s="196">
        <f>+INDEX('Budget original'!$A$2:$AO$496,MATCH($A337,'Budget original'!$A$2:$A$496,0),MATCH(F$2,'Budget original'!$A$2:$AO$2,0))</f>
        <v>126</v>
      </c>
      <c r="G337" s="319"/>
      <c r="H337" s="195"/>
      <c r="I337" s="196">
        <f>+INDEX('Budget révisé'!$A$2:$AO$496,MATCH($A337,'Budget révisé'!$A$2:$A$496,0),MATCH(I$2,'Budget révisé'!$A$2:$AO$2,0))</f>
        <v>126</v>
      </c>
      <c r="J337" s="320"/>
      <c r="K337" s="195"/>
      <c r="L337" s="197">
        <f>SUMIFS(BV_Data_An_Cour!$O:$O,BV_Data_An_Cour!$U:$U,$B337,BV_Data_An_Cour!$V:$V,$C337,BV_Data_An_Cour!$W:$W,$L$2)</f>
        <v>164.65</v>
      </c>
      <c r="M337" s="320"/>
      <c r="N337" s="321">
        <f t="shared" si="199"/>
        <v>38.650000000000006</v>
      </c>
      <c r="O337" s="320"/>
      <c r="P337" s="195"/>
      <c r="Q337" s="197">
        <f>SUMIFS(BV_Data_An_Prec!$O:$O,BV_Data_An_Prec!$U:$U,$B337,BV_Data_An_Prec!$V:$V,$C337,BV_Data_An_Prec!$W:$W,$L$2)</f>
        <v>105</v>
      </c>
      <c r="R337" s="320"/>
      <c r="S337" s="216">
        <f t="shared" si="195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239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  <c r="BC337" s="532"/>
    </row>
    <row r="338" spans="1:55" ht="15.75" customHeight="1">
      <c r="A338" s="600" t="str">
        <f t="shared" si="154"/>
        <v>PiècesUniformes</v>
      </c>
      <c r="B338" s="24" t="s">
        <v>175</v>
      </c>
      <c r="C338" s="322" t="s">
        <v>128</v>
      </c>
      <c r="D338" s="318"/>
      <c r="E338" s="195"/>
      <c r="F338" s="196">
        <f>+INDEX('Budget original'!$A$2:$AO$496,MATCH($A338,'Budget original'!$A$2:$A$496,0),MATCH(F$2,'Budget original'!$A$2:$AO$2,0))</f>
        <v>170</v>
      </c>
      <c r="G338" s="319"/>
      <c r="H338" s="195"/>
      <c r="I338" s="196">
        <f>+INDEX('Budget révisé'!$A$2:$AO$496,MATCH($A338,'Budget révisé'!$A$2:$A$496,0),MATCH(I$2,'Budget révisé'!$A$2:$AO$2,0))</f>
        <v>170</v>
      </c>
      <c r="J338" s="320"/>
      <c r="K338" s="195"/>
      <c r="L338" s="197">
        <f>SUMIFS(BV_Data_An_Cour!$O:$O,BV_Data_An_Cour!$U:$U,$B338,BV_Data_An_Cour!$V:$V,$C338,BV_Data_An_Cour!$W:$W,$L$2)</f>
        <v>0</v>
      </c>
      <c r="M338" s="320"/>
      <c r="N338" s="321">
        <f t="shared" si="199"/>
        <v>-170</v>
      </c>
      <c r="O338" s="320"/>
      <c r="P338" s="195"/>
      <c r="Q338" s="197">
        <f>SUMIFS(BV_Data_An_Prec!$O:$O,BV_Data_An_Prec!$U:$U,$B338,BV_Data_An_Prec!$V:$V,$C338,BV_Data_An_Prec!$W:$W,$L$2)</f>
        <v>170</v>
      </c>
      <c r="R338" s="320"/>
      <c r="S338" s="216">
        <f t="shared" si="195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239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  <c r="BC338" s="532"/>
    </row>
    <row r="339" spans="1:55" ht="15.75" customHeight="1">
      <c r="A339" s="600" t="str">
        <f t="shared" si="154"/>
        <v>PiècesPapeterie</v>
      </c>
      <c r="B339" s="24" t="s">
        <v>175</v>
      </c>
      <c r="C339" s="322" t="s">
        <v>129</v>
      </c>
      <c r="D339" s="318"/>
      <c r="E339" s="195"/>
      <c r="F339" s="196">
        <f>+INDEX('Budget original'!$A$2:$AO$496,MATCH($A339,'Budget original'!$A$2:$A$496,0),MATCH(F$2,'Budget original'!$A$2:$AO$2,0))</f>
        <v>545</v>
      </c>
      <c r="G339" s="319"/>
      <c r="H339" s="195"/>
      <c r="I339" s="196">
        <f>+INDEX('Budget révisé'!$A$2:$AO$496,MATCH($A339,'Budget révisé'!$A$2:$A$496,0),MATCH(I$2,'Budget révisé'!$A$2:$AO$2,0))</f>
        <v>545</v>
      </c>
      <c r="J339" s="320"/>
      <c r="K339" s="195"/>
      <c r="L339" s="572">
        <f>SUMIFS(BV_Data_An_Cour!$O:$O,BV_Data_An_Cour!$U:$U,$B339,BV_Data_An_Cour!$V:$V,$C339,BV_Data_An_Cour!$W:$W,$L$2)</f>
        <v>424.01</v>
      </c>
      <c r="M339" s="320"/>
      <c r="N339" s="321">
        <f t="shared" si="199"/>
        <v>-120.99000000000001</v>
      </c>
      <c r="O339" s="320"/>
      <c r="P339" s="195"/>
      <c r="Q339" s="572">
        <f>SUMIFS(BV_Data_An_Prec!$O:$O,BV_Data_An_Prec!$U:$U,$B339,BV_Data_An_Prec!$V:$V,$C339,BV_Data_An_Prec!$W:$W,$L$2)</f>
        <v>462.5</v>
      </c>
      <c r="R339" s="320"/>
      <c r="S339" s="216">
        <f t="shared" si="195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239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  <c r="BC339" s="532"/>
    </row>
    <row r="340" spans="1:55" ht="15.75" customHeight="1">
      <c r="A340" s="600" t="str">
        <f t="shared" si="154"/>
        <v>PiècesTéléphone</v>
      </c>
      <c r="B340" s="24" t="s">
        <v>175</v>
      </c>
      <c r="C340" s="322" t="s">
        <v>130</v>
      </c>
      <c r="D340" s="318"/>
      <c r="E340" s="195"/>
      <c r="F340" s="196">
        <f>+INDEX('Budget original'!$A$2:$AO$496,MATCH($A340,'Budget original'!$A$2:$A$496,0),MATCH(F$2,'Budget original'!$A$2:$AO$2,0))</f>
        <v>452.27499999999998</v>
      </c>
      <c r="G340" s="319"/>
      <c r="H340" s="195"/>
      <c r="I340" s="196">
        <f>+INDEX('Budget révisé'!$A$2:$AO$496,MATCH($A340,'Budget révisé'!$A$2:$A$496,0),MATCH(I$2,'Budget révisé'!$A$2:$AO$2,0))</f>
        <v>452.27499999999998</v>
      </c>
      <c r="J340" s="320"/>
      <c r="K340" s="195"/>
      <c r="L340" s="197">
        <f>SUMIFS(BV_Data_An_Cour!$O:$O,BV_Data_An_Cour!$U:$U,$B340,BV_Data_An_Cour!$V:$V,$C340,BV_Data_An_Cour!$W:$W,$L$2)</f>
        <v>256.82</v>
      </c>
      <c r="M340" s="320"/>
      <c r="N340" s="321">
        <f t="shared" si="199"/>
        <v>-195.45499999999998</v>
      </c>
      <c r="O340" s="320"/>
      <c r="P340" s="195"/>
      <c r="Q340" s="197">
        <f>SUMIFS(BV_Data_An_Prec!$O:$O,BV_Data_An_Prec!$U:$U,$B340,BV_Data_An_Prec!$V:$V,$C340,BV_Data_An_Prec!$W:$W,$L$2)</f>
        <v>297.57</v>
      </c>
      <c r="R340" s="320"/>
      <c r="S340" s="216">
        <f t="shared" si="195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  <c r="BC340" s="532"/>
    </row>
    <row r="341" spans="1:55" ht="15.75" customHeight="1">
      <c r="A341" s="600" t="str">
        <f t="shared" si="154"/>
        <v>PiècesFrais postaux</v>
      </c>
      <c r="B341" s="24" t="s">
        <v>175</v>
      </c>
      <c r="C341" s="322" t="s">
        <v>131</v>
      </c>
      <c r="D341" s="318"/>
      <c r="E341" s="195"/>
      <c r="F341" s="196">
        <f>+INDEX('Budget original'!$A$2:$AO$496,MATCH($A341,'Budget original'!$A$2:$A$496,0),MATCH(F$2,'Budget original'!$A$2:$AO$2,0))</f>
        <v>216.25</v>
      </c>
      <c r="G341" s="319"/>
      <c r="H341" s="195"/>
      <c r="I341" s="196">
        <f>+INDEX('Budget révisé'!$A$2:$AO$496,MATCH($A341,'Budget révisé'!$A$2:$A$496,0),MATCH(I$2,'Budget révisé'!$A$2:$AO$2,0))</f>
        <v>216.25</v>
      </c>
      <c r="J341" s="320"/>
      <c r="K341" s="195"/>
      <c r="L341" s="298">
        <f>SUMIFS(BV_Data_An_Cour!$O:$O,BV_Data_An_Cour!$U:$U,$B341,BV_Data_An_Cour!$V:$V,$C341,BV_Data_An_Cour!$W:$W,$L$2)</f>
        <v>15.97</v>
      </c>
      <c r="M341" s="320"/>
      <c r="N341" s="321">
        <f t="shared" si="199"/>
        <v>-200.28</v>
      </c>
      <c r="O341" s="320"/>
      <c r="P341" s="195"/>
      <c r="Q341" s="197">
        <f>SUMIFS(BV_Data_An_Prec!$O:$O,BV_Data_An_Prec!$U:$U,$B341,BV_Data_An_Prec!$V:$V,$C341,BV_Data_An_Prec!$W:$W,$L$2)</f>
        <v>170</v>
      </c>
      <c r="R341" s="320"/>
      <c r="S341" s="216">
        <f t="shared" si="195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239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  <c r="BC341" s="532"/>
    </row>
    <row r="342" spans="1:55" ht="15.75" customHeight="1">
      <c r="A342" s="600" t="str">
        <f t="shared" si="154"/>
        <v>PiècesDivers</v>
      </c>
      <c r="B342" s="24" t="s">
        <v>175</v>
      </c>
      <c r="C342" s="322" t="s">
        <v>132</v>
      </c>
      <c r="D342" s="318"/>
      <c r="E342" s="195"/>
      <c r="F342" s="196">
        <f>+INDEX('Budget original'!$A$2:$AO$496,MATCH($A342,'Budget original'!$A$2:$A$496,0),MATCH(F$2,'Budget original'!$A$2:$AO$2,0))</f>
        <v>897.75</v>
      </c>
      <c r="G342" s="319"/>
      <c r="H342" s="195"/>
      <c r="I342" s="196">
        <f>+INDEX('Budget révisé'!$A$2:$AO$496,MATCH($A342,'Budget révisé'!$A$2:$A$496,0),MATCH(I$2,'Budget révisé'!$A$2:$AO$2,0))</f>
        <v>897.75</v>
      </c>
      <c r="J342" s="320"/>
      <c r="K342" s="195"/>
      <c r="L342" s="298">
        <f>SUMIFS(BV_Data_An_Cour!$O:$O,BV_Data_An_Cour!$U:$U,$B342,BV_Data_An_Cour!$V:$V,$C342,BV_Data_An_Cour!$W:$W,$L$2)</f>
        <v>197.1</v>
      </c>
      <c r="M342" s="320"/>
      <c r="N342" s="321">
        <f t="shared" si="199"/>
        <v>-700.65</v>
      </c>
      <c r="O342" s="320"/>
      <c r="P342" s="195"/>
      <c r="Q342" s="197">
        <f>SUMIFS(BV_Data_An_Prec!$O:$O,BV_Data_An_Prec!$U:$U,$B342,BV_Data_An_Prec!$V:$V,$C342,BV_Data_An_Prec!$W:$W,$L$2)</f>
        <v>1332.25</v>
      </c>
      <c r="R342" s="320"/>
      <c r="S342" s="216">
        <f t="shared" si="195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239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  <c r="BC342" s="532"/>
    </row>
    <row r="343" spans="1:55" s="600" customFormat="1" ht="15.75" customHeight="1">
      <c r="A343" s="600" t="str">
        <f t="shared" ref="A343:A346" si="203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+INDEX('Budget original'!$A$2:$AO$496,MATCH($A343,'Budget original'!$A$2:$A$496,0),MATCH(F$2,'Budget original'!$A$2:$AO$2,0))</f>
        <v>247.14583333333334</v>
      </c>
      <c r="G343" s="319"/>
      <c r="H343" s="195"/>
      <c r="I343" s="196">
        <f>+INDEX('Budget révisé'!$A$2:$AO$496,MATCH($A343,'Budget révisé'!$A$2:$A$496,0),MATCH(I$2,'Budget révisé'!$A$2:$AO$2,0))</f>
        <v>247.14583333333334</v>
      </c>
      <c r="J343" s="320"/>
      <c r="K343" s="195"/>
      <c r="L343" s="298">
        <f>SUMIFS(BV_Data_An_Cour!$O:$O,BV_Data_An_Cour!$U:$U,$B343,BV_Data_An_Cour!$V:$V,$C343,BV_Data_An_Cour!$W:$W,$L$2)</f>
        <v>22.14</v>
      </c>
      <c r="M343" s="320"/>
      <c r="N343" s="321">
        <f t="shared" ref="N343:N347" si="204">L343-I343</f>
        <v>-225.00583333333333</v>
      </c>
      <c r="O343" s="320"/>
      <c r="P343" s="195"/>
      <c r="Q343" s="197">
        <f>SUMIFS(BV_Data_An_Prec!$O:$O,BV_Data_An_Prec!$U:$U,$B343,BV_Data_An_Prec!$V:$V,$C343,BV_Data_An_Prec!$W:$W,$L$2)</f>
        <v>325</v>
      </c>
      <c r="R343" s="320"/>
      <c r="S343" s="216">
        <f t="shared" ref="S343:S347" si="205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239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  <c r="BC343" s="532"/>
    </row>
    <row r="344" spans="1:55" s="600" customFormat="1" ht="15.75" customHeight="1">
      <c r="A344" s="600" t="str">
        <f t="shared" si="203"/>
        <v>PiècesFrais bancaires</v>
      </c>
      <c r="B344" s="24" t="s">
        <v>175</v>
      </c>
      <c r="C344" s="322" t="s">
        <v>134</v>
      </c>
      <c r="D344" s="318"/>
      <c r="E344" s="195"/>
      <c r="F344" s="196">
        <f>+INDEX('Budget original'!$A$2:$AO$496,MATCH($A344,'Budget original'!$A$2:$A$496,0),MATCH(F$2,'Budget original'!$A$2:$AO$2,0))</f>
        <v>1630.9951819211053</v>
      </c>
      <c r="G344" s="319"/>
      <c r="H344" s="195"/>
      <c r="I344" s="196">
        <f>+INDEX('Budget révisé'!$A$2:$AO$496,MATCH($A344,'Budget révisé'!$A$2:$A$496,0),MATCH(I$2,'Budget révisé'!$A$2:$AO$2,0))</f>
        <v>1630.9951819211053</v>
      </c>
      <c r="J344" s="320"/>
      <c r="K344" s="195"/>
      <c r="L344" s="1090">
        <f>AG447*W7</f>
        <v>856.24400000000014</v>
      </c>
      <c r="M344" s="320"/>
      <c r="N344" s="321">
        <f t="shared" si="204"/>
        <v>-774.75118192110517</v>
      </c>
      <c r="O344" s="320"/>
      <c r="P344" s="195"/>
      <c r="Q344" s="197">
        <f>SUMIFS(BV_Data_An_Prec!$O:$O,BV_Data_An_Prec!$U:$U,$B344,BV_Data_An_Prec!$V:$V,$C344,BV_Data_An_Prec!$W:$W,$L$2)</f>
        <v>0</v>
      </c>
      <c r="R344" s="320"/>
      <c r="S344" s="216">
        <f t="shared" si="205"/>
        <v>856.24400000000014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239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  <c r="BC344" s="532"/>
    </row>
    <row r="345" spans="1:55" s="600" customFormat="1" ht="15.75" customHeight="1">
      <c r="A345" s="600" t="str">
        <f t="shared" si="203"/>
        <v>Pièces[...]</v>
      </c>
      <c r="B345" s="24" t="s">
        <v>175</v>
      </c>
      <c r="C345" s="322" t="s">
        <v>42</v>
      </c>
      <c r="D345" s="318"/>
      <c r="E345" s="195"/>
      <c r="F345" s="196">
        <f>+INDEX('Budget original'!$A$2:$AO$496,MATCH($A345,'Budget original'!$A$2:$A$496,0),MATCH(F$2,'Budget original'!$A$2:$AO$2,0))</f>
        <v>0</v>
      </c>
      <c r="G345" s="319"/>
      <c r="H345" s="195"/>
      <c r="I345" s="196">
        <f>+INDEX('Budget révisé'!$A$2:$AO$496,MATCH($A345,'Budget révisé'!$A$2:$A$496,0),MATCH(I$2,'Budget révisé'!$A$2:$AO$2,0))</f>
        <v>0</v>
      </c>
      <c r="J345" s="320"/>
      <c r="K345" s="195"/>
      <c r="L345" s="298">
        <f>SUMIFS(BV_Data_An_Cour!$O:$O,BV_Data_An_Cour!$U:$U,$B345,BV_Data_An_Cour!$V:$V,$C345,BV_Data_An_Cour!$W:$W,$L$2)</f>
        <v>0</v>
      </c>
      <c r="M345" s="320"/>
      <c r="N345" s="321">
        <f t="shared" si="204"/>
        <v>0</v>
      </c>
      <c r="O345" s="320"/>
      <c r="P345" s="195"/>
      <c r="Q345" s="197">
        <f>SUMIFS(BV_Data_An_Prec!$O:$O,BV_Data_An_Prec!$U:$U,$B345,BV_Data_An_Prec!$V:$V,$C345,BV_Data_An_Prec!$W:$W,$L$2)</f>
        <v>0</v>
      </c>
      <c r="R345" s="320"/>
      <c r="S345" s="216">
        <f t="shared" si="205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239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  <c r="BC345" s="532"/>
    </row>
    <row r="346" spans="1:55" ht="15.75" customHeight="1">
      <c r="A346" s="600" t="str">
        <f t="shared" si="203"/>
        <v>Pièces[...]</v>
      </c>
      <c r="B346" s="24" t="s">
        <v>175</v>
      </c>
      <c r="C346" s="322" t="s">
        <v>42</v>
      </c>
      <c r="D346" s="318"/>
      <c r="E346" s="195"/>
      <c r="F346" s="196">
        <f>+INDEX('Budget original'!$A$2:$AO$496,MATCH($A346,'Budget original'!$A$2:$A$496,0),MATCH(F$2,'Budget original'!$A$2:$AO$2,0))</f>
        <v>0</v>
      </c>
      <c r="G346" s="319"/>
      <c r="H346" s="195"/>
      <c r="I346" s="196">
        <f>+INDEX('Budget révisé'!$A$2:$AO$496,MATCH($A346,'Budget révisé'!$A$2:$A$496,0),MATCH(I$2,'Budget révisé'!$A$2:$AO$2,0))</f>
        <v>0</v>
      </c>
      <c r="J346" s="320"/>
      <c r="K346" s="195"/>
      <c r="L346" s="197">
        <f>SUMIFS(BV_Data_An_Cour!$O:$O,BV_Data_An_Cour!$U:$U,$B346,BV_Data_An_Cour!$V:$V,$C346,BV_Data_An_Cour!$W:$W,$L$2)</f>
        <v>0</v>
      </c>
      <c r="M346" s="320"/>
      <c r="N346" s="321">
        <f t="shared" si="204"/>
        <v>0</v>
      </c>
      <c r="O346" s="320"/>
      <c r="P346" s="195"/>
      <c r="Q346" s="197">
        <f>SUMIFS(BV_Data_An_Prec!$O:$O,BV_Data_An_Prec!$U:$U,$B346,BV_Data_An_Prec!$V:$V,$C346,BV_Data_An_Prec!$W:$W,$L$2)</f>
        <v>0</v>
      </c>
      <c r="R346" s="320"/>
      <c r="S346" s="216">
        <f t="shared" si="205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239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  <c r="BC346" s="532"/>
    </row>
    <row r="347" spans="1:55" ht="15.75" customHeight="1">
      <c r="A347" s="600" t="str">
        <f t="shared" ref="A347" si="206">+B347&amp;C347</f>
        <v>Pièces[...]</v>
      </c>
      <c r="B347" s="24" t="s">
        <v>175</v>
      </c>
      <c r="C347" s="322" t="s">
        <v>42</v>
      </c>
      <c r="D347" s="318"/>
      <c r="E347" s="195"/>
      <c r="F347" s="196">
        <f>+INDEX('Budget original'!$A$2:$AO$496,MATCH($A347,'Budget original'!$A$2:$A$496,0),MATCH(F$2,'Budget original'!$A$2:$AO$2,0))</f>
        <v>0</v>
      </c>
      <c r="G347" s="319"/>
      <c r="H347" s="195"/>
      <c r="I347" s="196">
        <f>+INDEX('Budget révisé'!$A$2:$AO$496,MATCH($A347,'Budget révisé'!$A$2:$A$496,0),MATCH(I$2,'Budget révisé'!$A$2:$AO$2,0))</f>
        <v>0</v>
      </c>
      <c r="J347" s="320"/>
      <c r="K347" s="195"/>
      <c r="L347" s="197">
        <f>SUMIFS(BV_Data_An_Cour!$O:$O,BV_Data_An_Cour!$U:$U,$B347,BV_Data_An_Cour!$V:$V,$C347,BV_Data_An_Cour!$W:$W,$L$2)</f>
        <v>0</v>
      </c>
      <c r="M347" s="320"/>
      <c r="N347" s="321">
        <f t="shared" si="204"/>
        <v>0</v>
      </c>
      <c r="O347" s="320"/>
      <c r="P347" s="195"/>
      <c r="Q347" s="197">
        <f>SUMIFS(BV_Data_An_Prec!$O:$O,BV_Data_An_Prec!$U:$U,$B347,BV_Data_An_Prec!$V:$V,$C347,BV_Data_An_Prec!$W:$W,$L$2)</f>
        <v>0</v>
      </c>
      <c r="R347" s="320"/>
      <c r="S347" s="216">
        <f t="shared" si="205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239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  <c r="BC347" s="532"/>
    </row>
    <row r="348" spans="1:55" ht="15.75" customHeight="1">
      <c r="B348" s="2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0.20200732340577154</v>
      </c>
      <c r="L348" s="41">
        <f>+SUM(L330:L347)</f>
        <v>16769.843999999997</v>
      </c>
      <c r="M348" s="44"/>
      <c r="N348" s="41">
        <f>+SUM(N330:N347)</f>
        <v>-6063.2554464462091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-8413.0460000000003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239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  <c r="BC348" s="532"/>
    </row>
    <row r="349" spans="1:55" ht="15.75" customHeight="1">
      <c r="B349" s="2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239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  <c r="BC349" s="532"/>
    </row>
    <row r="350" spans="1:55" ht="15.75" customHeight="1">
      <c r="B350" s="2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0.72053109749178545</v>
      </c>
      <c r="L350" s="41">
        <f>L329+L348</f>
        <v>59815.624000000003</v>
      </c>
      <c r="M350" s="44"/>
      <c r="N350" s="46">
        <f t="shared" ref="N350:N352" si="207">L350-I350</f>
        <v>-2042.5601211526009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-8666.3859999999913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239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  <c r="BC350" s="532"/>
    </row>
    <row r="351" spans="1:55" ht="15.75" customHeight="1">
      <c r="B351" s="2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207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239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  <c r="BC351" s="532"/>
    </row>
    <row r="352" spans="1:55" ht="15.75" customHeight="1" thickBot="1">
      <c r="B352" s="2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23200.395999999986</v>
      </c>
      <c r="M352" s="362"/>
      <c r="N352" s="360">
        <f t="shared" si="207"/>
        <v>-17258.0197945162</v>
      </c>
      <c r="O352" s="362"/>
      <c r="P352" s="363"/>
      <c r="Q352" s="360">
        <f>Q313-Q350</f>
        <v>29458.25</v>
      </c>
      <c r="R352" s="362"/>
      <c r="S352" s="364">
        <f>L352-Q352</f>
        <v>-6257.8540000000139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239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  <c r="BC352" s="532"/>
    </row>
    <row r="353" spans="1:55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239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  <c r="BC353" s="532"/>
    </row>
    <row r="354" spans="1:55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239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  <c r="BC354" s="532"/>
    </row>
    <row r="355" spans="1:55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7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  <c r="BC355" s="532"/>
    </row>
    <row r="356" spans="1:55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7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  <c r="BC356" s="532"/>
    </row>
    <row r="357" spans="1:55" ht="15.75" customHeight="1" thickTop="1">
      <c r="B357" s="2"/>
      <c r="C357" s="280"/>
      <c r="D357" s="1105" t="s">
        <v>77</v>
      </c>
      <c r="E357" s="1106"/>
      <c r="F357" s="1107"/>
      <c r="G357" s="1108" t="s">
        <v>145</v>
      </c>
      <c r="H357" s="1106"/>
      <c r="I357" s="1107"/>
      <c r="J357" s="1108" t="s">
        <v>79</v>
      </c>
      <c r="K357" s="1106"/>
      <c r="L357" s="1107"/>
      <c r="M357" s="1108" t="s">
        <v>80</v>
      </c>
      <c r="N357" s="1107"/>
      <c r="O357" s="1105" t="s">
        <v>81</v>
      </c>
      <c r="P357" s="1106"/>
      <c r="Q357" s="1107"/>
      <c r="R357" s="1108" t="s">
        <v>82</v>
      </c>
      <c r="S357" s="1109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7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  <c r="BC357" s="532"/>
    </row>
    <row r="358" spans="1:55" ht="15.75" customHeight="1" thickBot="1">
      <c r="A358" s="600" t="str">
        <f t="shared" ref="A358:A393" si="208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7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  <c r="BC358" s="532"/>
    </row>
    <row r="359" spans="1:55" ht="15.75" customHeight="1" thickTop="1">
      <c r="A359" s="600" t="str">
        <f t="shared" si="208"/>
        <v>BoutiqueBoutique</v>
      </c>
      <c r="B359" s="24" t="s">
        <v>191</v>
      </c>
      <c r="C359" s="286" t="s">
        <v>191</v>
      </c>
      <c r="D359" s="220">
        <f>+INDEX('Budget original'!$A$2:$AO$496,MATCH($A359,'Budget original'!$A$2:$A$496,0),MATCH(D$2,'Budget original'!$A$2:$AO$2,0))</f>
        <v>0</v>
      </c>
      <c r="E359" s="221">
        <f>IFERROR(F359/D359,0)</f>
        <v>0</v>
      </c>
      <c r="F359" s="225">
        <f>+INDEX('Budget original'!$A$2:$AO$496,MATCH($A359,'Budget original'!$A$2:$A$496,0),MATCH(F$2,'Budget original'!$A$2:$AO$2,0))</f>
        <v>0</v>
      </c>
      <c r="G359" s="220">
        <f>+INDEX('Budget révisé'!$A$2:$AO$496,MATCH($A359,'Budget révisé'!$A$2:$A$496,0),MATCH(G$2,'Budget révisé'!$A$2:$AO$2,0))</f>
        <v>0</v>
      </c>
      <c r="H359" s="221">
        <f>IFERROR(I359/G359,0)</f>
        <v>0</v>
      </c>
      <c r="I359" s="220">
        <f>+INDEX('Budget révisé'!$A$2:$AO$496,MATCH($A359,'Budget révisé'!$A$2:$A$496,0),MATCH(I$2,'Budget révisé'!$A$2:$AO$2,0))</f>
        <v>0</v>
      </c>
      <c r="J359" s="238">
        <f>-SUMIFS(BV_Data_An_Cour!$O:$O,BV_Data_An_Cour!$X:$X,"Oui",BV_Data_An_Cour!$U:$U,$B359,BV_Data_An_Cour!$V:$V,$C359)</f>
        <v>0</v>
      </c>
      <c r="K359" s="71">
        <f>IF(J359&lt;=0,0,L359/J359)</f>
        <v>0</v>
      </c>
      <c r="L359" s="237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-SUMIFS(BV_Data_An_Prec!$O:$O,BV_Data_An_Prec!$X:$X,"Oui",BV_Data_An_Prec!$U:$U,$B359,BV_Data_An_Prec!$V:$V,$C359)</f>
        <v>0</v>
      </c>
      <c r="P359" s="71">
        <f>IF(O359&lt;=0,0,Q359/O359)</f>
        <v>0</v>
      </c>
      <c r="Q359" s="237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7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  <c r="BC359" s="532"/>
    </row>
    <row r="360" spans="1:55" ht="15.75" customHeight="1" thickBot="1">
      <c r="A360" s="600" t="str">
        <f t="shared" si="208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7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  <c r="BC360" s="532"/>
    </row>
    <row r="361" spans="1:55" ht="15.75" customHeight="1" thickTop="1">
      <c r="A361" s="600" t="str">
        <f t="shared" si="208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209">+F359</f>
        <v>0</v>
      </c>
      <c r="G361" s="253">
        <f>+G359</f>
        <v>0</v>
      </c>
      <c r="H361" s="254">
        <f>IF(G361&lt;=0,0,I361/G361)</f>
        <v>0</v>
      </c>
      <c r="I361" s="255">
        <f t="shared" ref="I361" si="210">+I359</f>
        <v>0</v>
      </c>
      <c r="J361" s="253">
        <f t="shared" ref="J361" si="211">+J359</f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212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7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  <c r="BC361" s="532"/>
    </row>
    <row r="362" spans="1:55" ht="15.75" customHeight="1">
      <c r="A362" s="600" t="str">
        <f t="shared" si="208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7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  <c r="BC362" s="532"/>
    </row>
    <row r="363" spans="1:55" ht="15.75" customHeight="1">
      <c r="A363" s="600" t="str">
        <f t="shared" si="208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7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  <c r="BC363" s="532"/>
    </row>
    <row r="364" spans="1:55" ht="15.75" customHeight="1">
      <c r="A364" s="600" t="str">
        <f t="shared" si="208"/>
        <v>BoutiqueSalaires cadres</v>
      </c>
      <c r="B364" s="24" t="s">
        <v>191</v>
      </c>
      <c r="C364" s="297" t="s">
        <v>112</v>
      </c>
      <c r="D364" s="250"/>
      <c r="E364" s="250"/>
      <c r="F364" s="248">
        <f>+INDEX('Budget original'!$A$2:$AO$496,MATCH($A364,'Budget original'!$A$2:$A$496,0),MATCH(F$2,'Budget original'!$A$2:$AO$2,0))</f>
        <v>0</v>
      </c>
      <c r="G364" s="244"/>
      <c r="H364" s="250"/>
      <c r="I364" s="248">
        <f>+INDEX('Budget révisé'!$A$2:$AO$496,MATCH($A364,'Budget révisé'!$A$2:$A$496,0),MATCH(I$2,'Budget révisé'!$A$2:$AO$2,0))</f>
        <v>0</v>
      </c>
      <c r="J364" s="244"/>
      <c r="K364" s="250"/>
      <c r="L364" s="298">
        <f>-SUMIFS(BV_Data_An_Cour!$O:$O,BV_Data_An_Cour!$U:$U,$B364,BV_Data_An_Cour!$V:$V,$C364,BV_Data_An_Cour!$W:$W,$L$2)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-SUMIFS(BV_Data_An_Prec!$O:$O,BV_Data_An_Prec!$U:$U,$B364,BV_Data_An_Prec!$V:$V,$C364,BV_Data_An_Prec!$W:$W,$L$2)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7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  <c r="BC364" s="532"/>
    </row>
    <row r="365" spans="1:55" ht="15.75" customHeight="1">
      <c r="A365" s="600" t="str">
        <f t="shared" si="208"/>
        <v>BoutiqueSalaires commis</v>
      </c>
      <c r="B365" s="24" t="s">
        <v>191</v>
      </c>
      <c r="C365" s="299" t="s">
        <v>113</v>
      </c>
      <c r="D365" s="279"/>
      <c r="E365" s="250"/>
      <c r="F365" s="261">
        <f>+INDEX('Budget original'!$A$2:$AO$496,MATCH($A365,'Budget original'!$A$2:$A$496,0),MATCH(F$2,'Budget original'!$A$2:$AO$2,0))</f>
        <v>0</v>
      </c>
      <c r="G365" s="300"/>
      <c r="H365" s="250"/>
      <c r="I365" s="261">
        <f>+INDEX('Budget révisé'!$A$2:$AO$496,MATCH($A365,'Budget révisé'!$A$2:$A$496,0),MATCH(I$2,'Budget révisé'!$A$2:$AO$2,0))</f>
        <v>0</v>
      </c>
      <c r="J365" s="244"/>
      <c r="K365" s="250"/>
      <c r="L365" s="261">
        <f>-SUMIFS(BV_Data_An_Cour!$O:$O,BV_Data_An_Cour!$U:$U,$B365,BV_Data_An_Cour!$V:$V,$C365,BV_Data_An_Cour!$W:$W,$L$2)</f>
        <v>0</v>
      </c>
      <c r="M365" s="244"/>
      <c r="N365" s="249">
        <f t="shared" ref="N365:N393" si="213">L365-I365</f>
        <v>0</v>
      </c>
      <c r="O365" s="244"/>
      <c r="P365" s="250"/>
      <c r="Q365" s="261">
        <f>-SUMIFS(BV_Data_An_Prec!$O:$O,BV_Data_An_Prec!$U:$U,$B365,BV_Data_An_Prec!$V:$V,$C365,BV_Data_An_Prec!$W:$W,$L$2)</f>
        <v>0</v>
      </c>
      <c r="R365" s="244"/>
      <c r="S365" s="301">
        <f t="shared" ref="S365:S393" si="214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7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  <c r="BC365" s="532"/>
    </row>
    <row r="366" spans="1:55" ht="15.75" customHeight="1">
      <c r="A366" s="600" t="str">
        <f t="shared" si="208"/>
        <v>BoutiqueSalaires autres</v>
      </c>
      <c r="B366" s="24" t="s">
        <v>191</v>
      </c>
      <c r="C366" s="297" t="s">
        <v>114</v>
      </c>
      <c r="D366" s="302"/>
      <c r="E366" s="303"/>
      <c r="F366" s="248">
        <f>+INDEX('Budget original'!$A$2:$AO$496,MATCH($A366,'Budget original'!$A$2:$A$496,0),MATCH(F$2,'Budget original'!$A$2:$AO$2,0))</f>
        <v>0</v>
      </c>
      <c r="G366" s="304"/>
      <c r="H366" s="303"/>
      <c r="I366" s="248">
        <f>+INDEX('Budget révisé'!$A$2:$AO$496,MATCH($A366,'Budget révisé'!$A$2:$A$496,0),MATCH(I$2,'Budget révisé'!$A$2:$AO$2,0))</f>
        <v>0</v>
      </c>
      <c r="J366" s="305"/>
      <c r="K366" s="303"/>
      <c r="L366" s="298">
        <f>-SUMIFS(BV_Data_An_Cour!$O:$O,BV_Data_An_Cour!$U:$U,$B366,BV_Data_An_Cour!$V:$V,$C366,BV_Data_An_Cour!$W:$W,$L$2)</f>
        <v>0</v>
      </c>
      <c r="M366" s="305"/>
      <c r="N366" s="306">
        <f t="shared" si="213"/>
        <v>0</v>
      </c>
      <c r="O366" s="305"/>
      <c r="P366" s="303"/>
      <c r="Q366" s="298">
        <f>-SUMIFS(BV_Data_An_Prec!$O:$O,BV_Data_An_Prec!$U:$U,$B366,BV_Data_An_Prec!$V:$V,$C366,BV_Data_An_Prec!$W:$W,$L$2)</f>
        <v>0</v>
      </c>
      <c r="R366" s="305"/>
      <c r="S366" s="307">
        <f t="shared" si="214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</row>
    <row r="367" spans="1:55" ht="15.75" customHeight="1">
      <c r="A367" s="600" t="str">
        <f t="shared" si="208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+INDEX('Budget original'!$A$2:$AO$496,MATCH($A367,'Budget original'!$A$2:$A$496,0),MATCH(F$2,'Budget original'!$A$2:$AO$2,0))</f>
        <v>0</v>
      </c>
      <c r="G367" s="300"/>
      <c r="H367" s="250"/>
      <c r="I367" s="248">
        <f>+INDEX('Budget révisé'!$A$2:$AO$496,MATCH($A367,'Budget révisé'!$A$2:$A$496,0),MATCH(I$2,'Budget révisé'!$A$2:$AO$2,0))</f>
        <v>0</v>
      </c>
      <c r="J367" s="244"/>
      <c r="K367" s="250"/>
      <c r="L367" s="298">
        <f>-SUMIFS(BV_Data_An_Cour!$O:$O,BV_Data_An_Cour!$U:$U,$B367,BV_Data_An_Cour!$V:$V,$C367,BV_Data_An_Cour!$W:$W,$L$2)</f>
        <v>0</v>
      </c>
      <c r="M367" s="244"/>
      <c r="N367" s="249">
        <f t="shared" si="213"/>
        <v>0</v>
      </c>
      <c r="O367" s="244"/>
      <c r="P367" s="250"/>
      <c r="Q367" s="298">
        <f>-SUMIFS(BV_Data_An_Prec!$O:$O,BV_Data_An_Prec!$U:$U,$B367,BV_Data_An_Prec!$V:$V,$C367,BV_Data_An_Prec!$W:$W,$L$2)</f>
        <v>0</v>
      </c>
      <c r="R367" s="244"/>
      <c r="S367" s="301">
        <f t="shared" si="214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</row>
    <row r="368" spans="1:55" ht="15.75" customHeight="1">
      <c r="A368" s="600" t="str">
        <f t="shared" si="208"/>
        <v>Boutique[...]</v>
      </c>
      <c r="B368" s="24" t="s">
        <v>191</v>
      </c>
      <c r="C368" s="308" t="s">
        <v>42</v>
      </c>
      <c r="D368" s="279"/>
      <c r="E368" s="250"/>
      <c r="F368" s="248">
        <f>+INDEX('Budget original'!$A$2:$AO$496,MATCH($A368,'Budget original'!$A$2:$A$496,0),MATCH(F$2,'Budget original'!$A$2:$AO$2,0))</f>
        <v>0</v>
      </c>
      <c r="G368" s="300"/>
      <c r="H368" s="250"/>
      <c r="I368" s="248">
        <f>+INDEX('Budget révisé'!$A$2:$AO$496,MATCH($A368,'Budget révisé'!$A$2:$A$496,0),MATCH(I$2,'Budget révisé'!$A$2:$AO$2,0))</f>
        <v>0</v>
      </c>
      <c r="J368" s="244"/>
      <c r="K368" s="250"/>
      <c r="L368" s="298">
        <f>-SUMIFS(BV_Data_An_Cour!$O:$O,BV_Data_An_Cour!$U:$U,$B368,BV_Data_An_Cour!$V:$V,$C368,BV_Data_An_Cour!$W:$W,$L$2)</f>
        <v>0</v>
      </c>
      <c r="M368" s="244"/>
      <c r="N368" s="249">
        <f t="shared" si="213"/>
        <v>0</v>
      </c>
      <c r="O368" s="244"/>
      <c r="P368" s="250"/>
      <c r="Q368" s="298">
        <f>-SUMIFS(BV_Data_An_Prec!$O:$O,BV_Data_An_Prec!$U:$U,$B368,BV_Data_An_Prec!$V:$V,$C368,BV_Data_An_Prec!$W:$W,$L$2)</f>
        <v>0</v>
      </c>
      <c r="R368" s="244"/>
      <c r="S368" s="301">
        <f t="shared" si="214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</row>
    <row r="369" spans="1:41" ht="15.75" customHeight="1">
      <c r="A369" s="600" t="str">
        <f t="shared" si="208"/>
        <v>Boutique[...]</v>
      </c>
      <c r="B369" s="24" t="s">
        <v>191</v>
      </c>
      <c r="C369" s="308" t="s">
        <v>42</v>
      </c>
      <c r="D369" s="279"/>
      <c r="E369" s="250"/>
      <c r="F369" s="248">
        <f>+INDEX('Budget original'!$A$2:$AO$496,MATCH($A369,'Budget original'!$A$2:$A$496,0),MATCH(F$2,'Budget original'!$A$2:$AO$2,0))</f>
        <v>0</v>
      </c>
      <c r="G369" s="300"/>
      <c r="H369" s="250"/>
      <c r="I369" s="248">
        <f>+INDEX('Budget révisé'!$A$2:$AO$496,MATCH($A369,'Budget révisé'!$A$2:$A$496,0),MATCH(I$2,'Budget révisé'!$A$2:$AO$2,0))</f>
        <v>0</v>
      </c>
      <c r="J369" s="244"/>
      <c r="K369" s="250"/>
      <c r="L369" s="298">
        <f>-SUMIFS(BV_Data_An_Cour!$O:$O,BV_Data_An_Cour!$U:$U,$B369,BV_Data_An_Cour!$V:$V,$C369,BV_Data_An_Cour!$W:$W,$L$2)</f>
        <v>0</v>
      </c>
      <c r="M369" s="244"/>
      <c r="N369" s="249">
        <f t="shared" si="213"/>
        <v>0</v>
      </c>
      <c r="O369" s="244"/>
      <c r="P369" s="250"/>
      <c r="Q369" s="298">
        <f>-SUMIFS(BV_Data_An_Prec!$O:$O,BV_Data_An_Prec!$U:$U,$B369,BV_Data_An_Prec!$V:$V,$C369,BV_Data_An_Prec!$W:$W,$L$2)</f>
        <v>0</v>
      </c>
      <c r="R369" s="244"/>
      <c r="S369" s="301">
        <f t="shared" si="214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</row>
    <row r="370" spans="1:41" ht="15.75" customHeight="1">
      <c r="A370" s="600" t="str">
        <f t="shared" si="208"/>
        <v>Boutique[...]</v>
      </c>
      <c r="B370" s="24" t="s">
        <v>191</v>
      </c>
      <c r="C370" s="308" t="s">
        <v>42</v>
      </c>
      <c r="D370" s="279"/>
      <c r="E370" s="250"/>
      <c r="F370" s="248">
        <f>+INDEX('Budget original'!$A$2:$AO$496,MATCH($A370,'Budget original'!$A$2:$A$496,0),MATCH(F$2,'Budget original'!$A$2:$AO$2,0))</f>
        <v>0</v>
      </c>
      <c r="G370" s="300"/>
      <c r="H370" s="250"/>
      <c r="I370" s="248">
        <f>+INDEX('Budget révisé'!$A$2:$AO$496,MATCH($A370,'Budget révisé'!$A$2:$A$496,0),MATCH(I$2,'Budget révisé'!$A$2:$AO$2,0))</f>
        <v>0</v>
      </c>
      <c r="J370" s="244"/>
      <c r="K370" s="250"/>
      <c r="L370" s="298">
        <f>-SUMIFS(BV_Data_An_Cour!$O:$O,BV_Data_An_Cour!$U:$U,$B370,BV_Data_An_Cour!$V:$V,$C370,BV_Data_An_Cour!$W:$W,$L$2)</f>
        <v>0</v>
      </c>
      <c r="M370" s="244"/>
      <c r="N370" s="249">
        <f t="shared" si="213"/>
        <v>0</v>
      </c>
      <c r="O370" s="244"/>
      <c r="P370" s="250"/>
      <c r="Q370" s="298">
        <f>-SUMIFS(BV_Data_An_Prec!$O:$O,BV_Data_An_Prec!$U:$U,$B370,BV_Data_An_Prec!$V:$V,$C370,BV_Data_An_Prec!$W:$W,$L$2)</f>
        <v>0</v>
      </c>
      <c r="R370" s="244"/>
      <c r="S370" s="301">
        <f t="shared" si="214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</row>
    <row r="371" spans="1:41" ht="15.75" customHeight="1">
      <c r="A371" s="600" t="str">
        <f t="shared" si="208"/>
        <v>BoutiqueSalaires en absences</v>
      </c>
      <c r="B371" s="24" t="s">
        <v>191</v>
      </c>
      <c r="C371" s="299" t="s">
        <v>116</v>
      </c>
      <c r="D371" s="279"/>
      <c r="E371" s="250"/>
      <c r="F371" s="261">
        <f>+INDEX('Budget original'!$A$2:$AO$496,MATCH($A371,'Budget original'!$A$2:$A$496,0),MATCH(F$2,'Budget original'!$A$2:$AO$2,0))</f>
        <v>0</v>
      </c>
      <c r="G371" s="300"/>
      <c r="H371" s="250"/>
      <c r="I371" s="261">
        <f>+INDEX('Budget révisé'!$A$2:$AO$496,MATCH($A371,'Budget révisé'!$A$2:$A$496,0),MATCH(I$2,'Budget révisé'!$A$2:$AO$2,0))</f>
        <v>0</v>
      </c>
      <c r="J371" s="244"/>
      <c r="K371" s="250"/>
      <c r="L371" s="261">
        <f>-SUMIFS(BV_Data_An_Cour!$O:$O,BV_Data_An_Cour!$U:$U,$B371,BV_Data_An_Cour!$V:$V,$C371,BV_Data_An_Cour!$W:$W,$L$2)</f>
        <v>0</v>
      </c>
      <c r="M371" s="244"/>
      <c r="N371" s="249">
        <f t="shared" si="213"/>
        <v>0</v>
      </c>
      <c r="O371" s="244"/>
      <c r="P371" s="250"/>
      <c r="Q371" s="261">
        <f>-SUMIFS(BV_Data_An_Prec!$O:$O,BV_Data_An_Prec!$U:$U,$B371,BV_Data_An_Prec!$V:$V,$C371,BV_Data_An_Prec!$W:$W,$L$2)</f>
        <v>0</v>
      </c>
      <c r="R371" s="244"/>
      <c r="S371" s="301">
        <f t="shared" si="214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</row>
    <row r="372" spans="1:41" ht="15.75" customHeight="1">
      <c r="A372" s="600" t="str">
        <f t="shared" si="208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+INDEX('Budget original'!$A$2:$AO$496,MATCH($A372,'Budget original'!$A$2:$A$496,0),MATCH(F$2,'Budget original'!$A$2:$AO$2,0))</f>
        <v>0</v>
      </c>
      <c r="G372" s="304"/>
      <c r="H372" s="303"/>
      <c r="I372" s="248">
        <f>+INDEX('Budget révisé'!$A$2:$AO$496,MATCH($A372,'Budget révisé'!$A$2:$A$496,0),MATCH(I$2,'Budget révisé'!$A$2:$AO$2,0))</f>
        <v>0</v>
      </c>
      <c r="J372" s="305"/>
      <c r="K372" s="303"/>
      <c r="L372" s="298">
        <f>-SUMIFS(BV_Data_An_Cour!$O:$O,BV_Data_An_Cour!$U:$U,$B372,BV_Data_An_Cour!$V:$V,$C372,BV_Data_An_Cour!$W:$W,$L$2)</f>
        <v>0</v>
      </c>
      <c r="M372" s="305"/>
      <c r="N372" s="306">
        <f t="shared" si="213"/>
        <v>0</v>
      </c>
      <c r="O372" s="305"/>
      <c r="P372" s="303"/>
      <c r="Q372" s="298">
        <f>-SUMIFS(BV_Data_An_Prec!$O:$O,BV_Data_An_Prec!$U:$U,$B372,BV_Data_An_Prec!$V:$V,$C372,BV_Data_An_Prec!$W:$W,$L$2)</f>
        <v>0</v>
      </c>
      <c r="R372" s="305"/>
      <c r="S372" s="307">
        <f t="shared" si="214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</row>
    <row r="373" spans="1:41" ht="15.75" customHeight="1">
      <c r="A373" s="600" t="str">
        <f t="shared" si="208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+INDEX('Budget original'!$A$2:$AO$496,MATCH($A373,'Budget original'!$A$2:$A$496,0),MATCH(F$2,'Budget original'!$A$2:$AO$2,0))</f>
        <v>0</v>
      </c>
      <c r="G373" s="300"/>
      <c r="H373" s="250"/>
      <c r="I373" s="248">
        <f>+INDEX('Budget révisé'!$A$2:$AO$496,MATCH($A373,'Budget révisé'!$A$2:$A$496,0),MATCH(I$2,'Budget révisé'!$A$2:$AO$2,0))</f>
        <v>0</v>
      </c>
      <c r="J373" s="244"/>
      <c r="K373" s="250"/>
      <c r="L373" s="298">
        <f>-SUMIFS(BV_Data_An_Cour!$O:$O,BV_Data_An_Cour!$U:$U,$B373,BV_Data_An_Cour!$V:$V,$C373,BV_Data_An_Cour!$W:$W,$L$2)</f>
        <v>0</v>
      </c>
      <c r="M373" s="244"/>
      <c r="N373" s="249">
        <f t="shared" si="213"/>
        <v>0</v>
      </c>
      <c r="O373" s="244"/>
      <c r="P373" s="250"/>
      <c r="Q373" s="298">
        <f>-SUMIFS(BV_Data_An_Prec!$O:$O,BV_Data_An_Prec!$U:$U,$B373,BV_Data_An_Prec!$V:$V,$C373,BV_Data_An_Prec!$W:$W,$L$2)</f>
        <v>0</v>
      </c>
      <c r="R373" s="244"/>
      <c r="S373" s="301">
        <f t="shared" si="214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</row>
    <row r="374" spans="1:41" ht="15.75" customHeight="1">
      <c r="A374" s="600" t="str">
        <f t="shared" si="208"/>
        <v>BoutiqueCsst</v>
      </c>
      <c r="B374" s="24" t="s">
        <v>191</v>
      </c>
      <c r="C374" s="297" t="s">
        <v>119</v>
      </c>
      <c r="D374" s="279"/>
      <c r="E374" s="250"/>
      <c r="F374" s="248">
        <f>+INDEX('Budget original'!$A$2:$AO$496,MATCH($A374,'Budget original'!$A$2:$A$496,0),MATCH(F$2,'Budget original'!$A$2:$AO$2,0))</f>
        <v>0</v>
      </c>
      <c r="G374" s="300"/>
      <c r="H374" s="250"/>
      <c r="I374" s="248">
        <f>+INDEX('Budget révisé'!$A$2:$AO$496,MATCH($A374,'Budget révisé'!$A$2:$A$496,0),MATCH(I$2,'Budget révisé'!$A$2:$AO$2,0))</f>
        <v>0</v>
      </c>
      <c r="J374" s="244"/>
      <c r="K374" s="250"/>
      <c r="L374" s="298">
        <f>-SUMIFS(BV_Data_An_Cour!$O:$O,BV_Data_An_Cour!$U:$U,$B374,BV_Data_An_Cour!$V:$V,$C374,BV_Data_An_Cour!$W:$W,$L$2)</f>
        <v>0</v>
      </c>
      <c r="M374" s="244"/>
      <c r="N374" s="249">
        <f t="shared" si="213"/>
        <v>0</v>
      </c>
      <c r="O374" s="244"/>
      <c r="P374" s="250"/>
      <c r="Q374" s="298">
        <f>-SUMIFS(BV_Data_An_Prec!$O:$O,BV_Data_An_Prec!$U:$U,$B374,BV_Data_An_Prec!$V:$V,$C374,BV_Data_An_Prec!$W:$W,$L$2)</f>
        <v>0</v>
      </c>
      <c r="R374" s="244"/>
      <c r="S374" s="301">
        <f t="shared" si="214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</row>
    <row r="375" spans="1:41" ht="15.75" customHeight="1">
      <c r="A375" s="600" t="str">
        <f t="shared" si="208"/>
        <v>Boutique[...]</v>
      </c>
      <c r="B375" s="24" t="s">
        <v>191</v>
      </c>
      <c r="C375" s="308" t="s">
        <v>42</v>
      </c>
      <c r="D375" s="309"/>
      <c r="E375" s="310"/>
      <c r="F375" s="248">
        <f>+INDEX('Budget original'!$A$2:$AO$496,MATCH($A375,'Budget original'!$A$2:$A$496,0),MATCH(F$2,'Budget original'!$A$2:$AO$2,0))</f>
        <v>0</v>
      </c>
      <c r="G375" s="311"/>
      <c r="H375" s="310"/>
      <c r="I375" s="248">
        <f>+INDEX('Budget révisé'!$A$2:$AO$496,MATCH($A375,'Budget révisé'!$A$2:$A$496,0),MATCH(I$2,'Budget révisé'!$A$2:$AO$2,0))</f>
        <v>0</v>
      </c>
      <c r="J375" s="312"/>
      <c r="K375" s="310"/>
      <c r="L375" s="298">
        <f>-SUMIFS(BV_Data_An_Cour!$O:$O,BV_Data_An_Cour!$U:$U,$B375,BV_Data_An_Cour!$V:$V,$C375,BV_Data_An_Cour!$W:$W,$L$2)</f>
        <v>0</v>
      </c>
      <c r="M375" s="312"/>
      <c r="N375" s="313">
        <f t="shared" si="213"/>
        <v>0</v>
      </c>
      <c r="O375" s="312"/>
      <c r="P375" s="310"/>
      <c r="Q375" s="298">
        <f>-SUMIFS(BV_Data_An_Prec!$O:$O,BV_Data_An_Prec!$U:$U,$B375,BV_Data_An_Prec!$V:$V,$C375,BV_Data_An_Prec!$W:$W,$L$2)</f>
        <v>0</v>
      </c>
      <c r="R375" s="312"/>
      <c r="S375" s="314">
        <f t="shared" si="214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</row>
    <row r="376" spans="1:41" ht="15.75" customHeight="1">
      <c r="A376" s="600" t="str">
        <f t="shared" si="208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3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214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</row>
    <row r="377" spans="1:41" ht="15.75" customHeight="1">
      <c r="A377" s="600" t="str">
        <f t="shared" si="208"/>
        <v>BoutiquePublicité 2</v>
      </c>
      <c r="B377" s="24" t="s">
        <v>191</v>
      </c>
      <c r="C377" s="317" t="s">
        <v>121</v>
      </c>
      <c r="D377" s="318"/>
      <c r="E377" s="195"/>
      <c r="F377" s="196">
        <f>+INDEX('Budget original'!$A$2:$AO$496,MATCH($A377,'Budget original'!$A$2:$A$496,0),MATCH(F$2,'Budget original'!$A$2:$AO$2,0))</f>
        <v>0</v>
      </c>
      <c r="G377" s="319"/>
      <c r="H377" s="195"/>
      <c r="I377" s="196">
        <f>+INDEX('Budget révisé'!$A$2:$AO$496,MATCH($A377,'Budget révisé'!$A$2:$A$496,0),MATCH(I$2,'Budget révisé'!$A$2:$AO$2,0))</f>
        <v>0</v>
      </c>
      <c r="J377" s="320"/>
      <c r="K377" s="195"/>
      <c r="L377" s="197">
        <f>-SUMIFS(BV_Data_An_Cour!$O:$O,BV_Data_An_Cour!$U:$U,$B377,BV_Data_An_Cour!$V:$V,$C377,BV_Data_An_Cour!$W:$W,$L$2)</f>
        <v>0</v>
      </c>
      <c r="M377" s="320"/>
      <c r="N377" s="321">
        <f t="shared" si="213"/>
        <v>0</v>
      </c>
      <c r="O377" s="320"/>
      <c r="P377" s="195"/>
      <c r="Q377" s="197">
        <f>-SUMIFS(BV_Data_An_Prec!$O:$O,BV_Data_An_Prec!$U:$U,$B377,BV_Data_An_Prec!$V:$V,$C377,BV_Data_An_Prec!$W:$W,$L$2)</f>
        <v>0</v>
      </c>
      <c r="R377" s="320"/>
      <c r="S377" s="216">
        <f t="shared" si="214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</row>
    <row r="378" spans="1:41" ht="15.75" customHeight="1">
      <c r="A378" s="600" t="str">
        <f t="shared" si="208"/>
        <v>BoutiqueService gratuit 2</v>
      </c>
      <c r="B378" s="24" t="s">
        <v>191</v>
      </c>
      <c r="C378" s="322" t="s">
        <v>122</v>
      </c>
      <c r="D378" s="318"/>
      <c r="E378" s="195"/>
      <c r="F378" s="196">
        <f>+INDEX('Budget original'!$A$2:$AO$496,MATCH($A378,'Budget original'!$A$2:$A$496,0),MATCH(F$2,'Budget original'!$A$2:$AO$2,0))</f>
        <v>0</v>
      </c>
      <c r="G378" s="319"/>
      <c r="H378" s="195"/>
      <c r="I378" s="196">
        <f>+INDEX('Budget révisé'!$A$2:$AO$496,MATCH($A378,'Budget révisé'!$A$2:$A$496,0),MATCH(I$2,'Budget révisé'!$A$2:$AO$2,0))</f>
        <v>0</v>
      </c>
      <c r="J378" s="320"/>
      <c r="K378" s="195"/>
      <c r="L378" s="197">
        <f>-SUMIFS(BV_Data_An_Cour!$O:$O,BV_Data_An_Cour!$U:$U,$B378,BV_Data_An_Cour!$V:$V,$C378,BV_Data_An_Cour!$W:$W,$L$2)</f>
        <v>0</v>
      </c>
      <c r="M378" s="320"/>
      <c r="N378" s="321">
        <f t="shared" si="213"/>
        <v>0</v>
      </c>
      <c r="O378" s="320"/>
      <c r="P378" s="195"/>
      <c r="Q378" s="197">
        <f>-SUMIFS(BV_Data_An_Prec!$O:$O,BV_Data_An_Prec!$U:$U,$B378,BV_Data_An_Prec!$V:$V,$C378,BV_Data_An_Prec!$W:$W,$L$2)</f>
        <v>0</v>
      </c>
      <c r="R378" s="320"/>
      <c r="S378" s="216">
        <f t="shared" si="214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</row>
    <row r="379" spans="1:41" ht="15.75" customHeight="1">
      <c r="A379" s="600" t="str">
        <f t="shared" si="208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+INDEX('Budget original'!$A$2:$AO$496,MATCH($A379,'Budget original'!$A$2:$A$496,0),MATCH(F$2,'Budget original'!$A$2:$AO$2,0))</f>
        <v>0</v>
      </c>
      <c r="G379" s="326"/>
      <c r="H379" s="325"/>
      <c r="I379" s="194">
        <f>+INDEX('Budget révisé'!$A$2:$AO$496,MATCH($A379,'Budget révisé'!$A$2:$A$496,0),MATCH(I$2,'Budget révisé'!$A$2:$AO$2,0))</f>
        <v>0</v>
      </c>
      <c r="J379" s="327"/>
      <c r="K379" s="325"/>
      <c r="L379" s="194">
        <f>-SUMIFS(BV_Data_An_Cour!$O:$O,BV_Data_An_Cour!$U:$U,$B379,BV_Data_An_Cour!$V:$V,$C379,BV_Data_An_Cour!$W:$W,$L$2)</f>
        <v>0</v>
      </c>
      <c r="M379" s="327"/>
      <c r="N379" s="328">
        <f t="shared" si="213"/>
        <v>0</v>
      </c>
      <c r="O379" s="327"/>
      <c r="P379" s="325"/>
      <c r="Q379" s="194">
        <f>-SUMIFS(BV_Data_An_Prec!$O:$O,BV_Data_An_Prec!$U:$U,$B379,BV_Data_An_Prec!$V:$V,$C379,BV_Data_An_Prec!$W:$W,$L$2)</f>
        <v>0</v>
      </c>
      <c r="R379" s="327"/>
      <c r="S379" s="219">
        <f t="shared" si="214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</row>
    <row r="380" spans="1:41" ht="15.75" customHeight="1">
      <c r="A380" s="600" t="str">
        <f t="shared" si="208"/>
        <v>BoutiqueInformatique</v>
      </c>
      <c r="B380" s="24" t="s">
        <v>191</v>
      </c>
      <c r="C380" s="322" t="s">
        <v>124</v>
      </c>
      <c r="D380" s="318"/>
      <c r="E380" s="195"/>
      <c r="F380" s="196">
        <f>+INDEX('Budget original'!$A$2:$AO$496,MATCH($A380,'Budget original'!$A$2:$A$496,0),MATCH(F$2,'Budget original'!$A$2:$AO$2,0))</f>
        <v>0</v>
      </c>
      <c r="G380" s="319"/>
      <c r="H380" s="195"/>
      <c r="I380" s="196">
        <f>+INDEX('Budget révisé'!$A$2:$AO$496,MATCH($A380,'Budget révisé'!$A$2:$A$496,0),MATCH(I$2,'Budget révisé'!$A$2:$AO$2,0))</f>
        <v>0</v>
      </c>
      <c r="J380" s="320"/>
      <c r="K380" s="195"/>
      <c r="L380" s="197">
        <f>-SUMIFS(BV_Data_An_Cour!$O:$O,BV_Data_An_Cour!$U:$U,$B380,BV_Data_An_Cour!$V:$V,$C380,BV_Data_An_Cour!$W:$W,$L$2)</f>
        <v>0</v>
      </c>
      <c r="M380" s="320"/>
      <c r="N380" s="321">
        <f t="shared" si="213"/>
        <v>0</v>
      </c>
      <c r="O380" s="320"/>
      <c r="P380" s="195"/>
      <c r="Q380" s="197">
        <f>-SUMIFS(BV_Data_An_Prec!$O:$O,BV_Data_An_Prec!$U:$U,$B380,BV_Data_An_Prec!$V:$V,$C380,BV_Data_An_Prec!$W:$W,$L$2)</f>
        <v>0</v>
      </c>
      <c r="R380" s="320"/>
      <c r="S380" s="216">
        <f t="shared" si="214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</row>
    <row r="381" spans="1:41" ht="15.75" customHeight="1">
      <c r="A381" s="600" t="str">
        <f t="shared" si="208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+INDEX('Budget original'!$A$2:$AO$496,MATCH($A381,'Budget original'!$A$2:$A$496,0),MATCH(F$2,'Budget original'!$A$2:$AO$2,0))</f>
        <v>0</v>
      </c>
      <c r="G381" s="319"/>
      <c r="H381" s="195"/>
      <c r="I381" s="196">
        <f>+INDEX('Budget révisé'!$A$2:$AO$496,MATCH($A381,'Budget révisé'!$A$2:$A$496,0),MATCH(I$2,'Budget révisé'!$A$2:$AO$2,0))</f>
        <v>0</v>
      </c>
      <c r="J381" s="320"/>
      <c r="K381" s="195"/>
      <c r="L381" s="197">
        <f>-SUMIFS(BV_Data_An_Cour!$O:$O,BV_Data_An_Cour!$U:$U,$B381,BV_Data_An_Cour!$V:$V,$C381,BV_Data_An_Cour!$W:$W,$L$2)</f>
        <v>0</v>
      </c>
      <c r="M381" s="320"/>
      <c r="N381" s="321">
        <f t="shared" si="213"/>
        <v>0</v>
      </c>
      <c r="O381" s="320"/>
      <c r="P381" s="195"/>
      <c r="Q381" s="197">
        <f>-SUMIFS(BV_Data_An_Prec!$O:$O,BV_Data_An_Prec!$U:$U,$B381,BV_Data_An_Prec!$V:$V,$C381,BV_Data_An_Prec!$W:$W,$L$2)</f>
        <v>0</v>
      </c>
      <c r="R381" s="320"/>
      <c r="S381" s="216">
        <f t="shared" si="214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</row>
    <row r="382" spans="1:41" ht="15.75" customHeight="1">
      <c r="A382" s="600" t="str">
        <f t="shared" si="208"/>
        <v>BoutiqueServices extérieurs</v>
      </c>
      <c r="B382" s="24" t="s">
        <v>191</v>
      </c>
      <c r="C382" s="322" t="s">
        <v>126</v>
      </c>
      <c r="D382" s="324"/>
      <c r="E382" s="325"/>
      <c r="F382" s="194">
        <f>+INDEX('Budget original'!$A$2:$AO$496,MATCH($A382,'Budget original'!$A$2:$A$496,0),MATCH(F$2,'Budget original'!$A$2:$AO$2,0))</f>
        <v>0</v>
      </c>
      <c r="G382" s="326"/>
      <c r="H382" s="325"/>
      <c r="I382" s="194">
        <f>+INDEX('Budget révisé'!$A$2:$AO$496,MATCH($A382,'Budget révisé'!$A$2:$A$496,0),MATCH(I$2,'Budget révisé'!$A$2:$AO$2,0))</f>
        <v>0</v>
      </c>
      <c r="J382" s="327"/>
      <c r="K382" s="325"/>
      <c r="L382" s="194">
        <f>-SUMIFS(BV_Data_An_Cour!$O:$O,BV_Data_An_Cour!$U:$U,$B382,BV_Data_An_Cour!$V:$V,$C382,BV_Data_An_Cour!$W:$W,$L$2)</f>
        <v>0</v>
      </c>
      <c r="M382" s="327"/>
      <c r="N382" s="328">
        <f t="shared" si="213"/>
        <v>0</v>
      </c>
      <c r="O382" s="327"/>
      <c r="P382" s="325"/>
      <c r="Q382" s="194">
        <f>-SUMIFS(BV_Data_An_Prec!$O:$O,BV_Data_An_Prec!$U:$U,$B382,BV_Data_An_Prec!$V:$V,$C382,BV_Data_An_Prec!$W:$W,$L$2)</f>
        <v>0</v>
      </c>
      <c r="R382" s="327"/>
      <c r="S382" s="219">
        <f t="shared" si="214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</row>
    <row r="383" spans="1:41" ht="20.25" customHeight="1">
      <c r="A383" s="600" t="str">
        <f t="shared" si="208"/>
        <v>BoutiqueFournitures autres</v>
      </c>
      <c r="B383" s="24" t="s">
        <v>191</v>
      </c>
      <c r="C383" s="317" t="s">
        <v>127</v>
      </c>
      <c r="D383" s="318"/>
      <c r="E383" s="195"/>
      <c r="F383" s="196">
        <f>+INDEX('Budget original'!$A$2:$AO$496,MATCH($A383,'Budget original'!$A$2:$A$496,0),MATCH(F$2,'Budget original'!$A$2:$AO$2,0))</f>
        <v>0</v>
      </c>
      <c r="G383" s="319"/>
      <c r="H383" s="195"/>
      <c r="I383" s="196">
        <f>+INDEX('Budget révisé'!$A$2:$AO$496,MATCH($A383,'Budget révisé'!$A$2:$A$496,0),MATCH(I$2,'Budget révisé'!$A$2:$AO$2,0))</f>
        <v>0</v>
      </c>
      <c r="J383" s="320"/>
      <c r="K383" s="195"/>
      <c r="L383" s="197">
        <f>-SUMIFS(BV_Data_An_Cour!$O:$O,BV_Data_An_Cour!$U:$U,$B383,BV_Data_An_Cour!$V:$V,$C383,BV_Data_An_Cour!$W:$W,$L$2)</f>
        <v>0</v>
      </c>
      <c r="M383" s="320"/>
      <c r="N383" s="321">
        <f t="shared" si="213"/>
        <v>0</v>
      </c>
      <c r="O383" s="320"/>
      <c r="P383" s="195"/>
      <c r="Q383" s="197">
        <f>-SUMIFS(BV_Data_An_Prec!$O:$O,BV_Data_An_Prec!$U:$U,$B383,BV_Data_An_Prec!$V:$V,$C383,BV_Data_An_Prec!$W:$W,$L$2)</f>
        <v>0</v>
      </c>
      <c r="R383" s="320"/>
      <c r="S383" s="216">
        <f t="shared" si="214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</row>
    <row r="384" spans="1:41" ht="20.25" customHeight="1">
      <c r="A384" s="600" t="str">
        <f t="shared" si="208"/>
        <v>BoutiqueUniformes</v>
      </c>
      <c r="B384" s="24" t="s">
        <v>191</v>
      </c>
      <c r="C384" s="322" t="s">
        <v>128</v>
      </c>
      <c r="D384" s="318"/>
      <c r="E384" s="195"/>
      <c r="F384" s="196">
        <f>+INDEX('Budget original'!$A$2:$AO$496,MATCH($A384,'Budget original'!$A$2:$A$496,0),MATCH(F$2,'Budget original'!$A$2:$AO$2,0))</f>
        <v>0</v>
      </c>
      <c r="G384" s="319"/>
      <c r="H384" s="195"/>
      <c r="I384" s="196">
        <f>+INDEX('Budget révisé'!$A$2:$AO$496,MATCH($A384,'Budget révisé'!$A$2:$A$496,0),MATCH(I$2,'Budget révisé'!$A$2:$AO$2,0))</f>
        <v>0</v>
      </c>
      <c r="J384" s="320"/>
      <c r="K384" s="195"/>
      <c r="L384" s="197">
        <f>-SUMIFS(BV_Data_An_Cour!$O:$O,BV_Data_An_Cour!$U:$U,$B384,BV_Data_An_Cour!$V:$V,$C384,BV_Data_An_Cour!$W:$W,$L$2)</f>
        <v>0</v>
      </c>
      <c r="M384" s="320"/>
      <c r="N384" s="321">
        <f t="shared" si="213"/>
        <v>0</v>
      </c>
      <c r="O384" s="320"/>
      <c r="P384" s="195"/>
      <c r="Q384" s="197">
        <f>-SUMIFS(BV_Data_An_Prec!$O:$O,BV_Data_An_Prec!$U:$U,$B384,BV_Data_An_Prec!$V:$V,$C384,BV_Data_An_Prec!$W:$W,$L$2)</f>
        <v>0</v>
      </c>
      <c r="R384" s="320"/>
      <c r="S384" s="216">
        <f t="shared" si="214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</row>
    <row r="385" spans="1:41" ht="20.25" customHeight="1">
      <c r="A385" s="600" t="str">
        <f t="shared" si="208"/>
        <v>BoutiquePapeterie</v>
      </c>
      <c r="B385" s="24" t="s">
        <v>191</v>
      </c>
      <c r="C385" s="322" t="s">
        <v>129</v>
      </c>
      <c r="D385" s="318"/>
      <c r="E385" s="195"/>
      <c r="F385" s="196">
        <f>+INDEX('Budget original'!$A$2:$AO$496,MATCH($A385,'Budget original'!$A$2:$A$496,0),MATCH(F$2,'Budget original'!$A$2:$AO$2,0))</f>
        <v>0</v>
      </c>
      <c r="G385" s="319"/>
      <c r="H385" s="195"/>
      <c r="I385" s="196">
        <f>+INDEX('Budget révisé'!$A$2:$AO$496,MATCH($A385,'Budget révisé'!$A$2:$A$496,0),MATCH(I$2,'Budget révisé'!$A$2:$AO$2,0))</f>
        <v>0</v>
      </c>
      <c r="J385" s="320"/>
      <c r="K385" s="195"/>
      <c r="L385" s="197">
        <f>-SUMIFS(BV_Data_An_Cour!$O:$O,BV_Data_An_Cour!$U:$U,$B385,BV_Data_An_Cour!$V:$V,$C385,BV_Data_An_Cour!$W:$W,$L$2)</f>
        <v>0</v>
      </c>
      <c r="M385" s="320"/>
      <c r="N385" s="321">
        <f t="shared" si="213"/>
        <v>0</v>
      </c>
      <c r="O385" s="320"/>
      <c r="P385" s="195"/>
      <c r="Q385" s="197">
        <f>-SUMIFS(BV_Data_An_Prec!$O:$O,BV_Data_An_Prec!$U:$U,$B385,BV_Data_An_Prec!$V:$V,$C385,BV_Data_An_Prec!$W:$W,$L$2)</f>
        <v>0</v>
      </c>
      <c r="R385" s="320"/>
      <c r="S385" s="216">
        <f t="shared" si="214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</row>
    <row r="386" spans="1:41" ht="20.25" customHeight="1">
      <c r="A386" s="600" t="str">
        <f t="shared" si="208"/>
        <v>BoutiqueTéléphone</v>
      </c>
      <c r="B386" s="24" t="s">
        <v>191</v>
      </c>
      <c r="C386" s="322" t="s">
        <v>130</v>
      </c>
      <c r="D386" s="318"/>
      <c r="E386" s="195"/>
      <c r="F386" s="196">
        <f>+INDEX('Budget original'!$A$2:$AO$496,MATCH($A386,'Budget original'!$A$2:$A$496,0),MATCH(F$2,'Budget original'!$A$2:$AO$2,0))</f>
        <v>0</v>
      </c>
      <c r="G386" s="319"/>
      <c r="H386" s="195"/>
      <c r="I386" s="196">
        <f>+INDEX('Budget révisé'!$A$2:$AO$496,MATCH($A386,'Budget révisé'!$A$2:$A$496,0),MATCH(I$2,'Budget révisé'!$A$2:$AO$2,0))</f>
        <v>0</v>
      </c>
      <c r="J386" s="320"/>
      <c r="K386" s="195"/>
      <c r="L386" s="197">
        <f>-SUMIFS(BV_Data_An_Cour!$O:$O,BV_Data_An_Cour!$U:$U,$B386,BV_Data_An_Cour!$V:$V,$C386,BV_Data_An_Cour!$W:$W,$L$2)</f>
        <v>0</v>
      </c>
      <c r="M386" s="320"/>
      <c r="N386" s="321">
        <f t="shared" si="213"/>
        <v>0</v>
      </c>
      <c r="O386" s="320"/>
      <c r="P386" s="195"/>
      <c r="Q386" s="197">
        <f>-SUMIFS(BV_Data_An_Prec!$O:$O,BV_Data_An_Prec!$U:$U,$B386,BV_Data_An_Prec!$V:$V,$C386,BV_Data_An_Prec!$W:$W,$L$2)</f>
        <v>0</v>
      </c>
      <c r="R386" s="320"/>
      <c r="S386" s="216">
        <f t="shared" si="214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</row>
    <row r="387" spans="1:41" ht="20.25" customHeight="1">
      <c r="A387" s="600" t="str">
        <f t="shared" si="208"/>
        <v>BoutiqueFrais postaux</v>
      </c>
      <c r="B387" s="24" t="s">
        <v>191</v>
      </c>
      <c r="C387" s="322" t="s">
        <v>131</v>
      </c>
      <c r="D387" s="318"/>
      <c r="E387" s="195"/>
      <c r="F387" s="196">
        <f>+INDEX('Budget original'!$A$2:$AO$496,MATCH($A387,'Budget original'!$A$2:$A$496,0),MATCH(F$2,'Budget original'!$A$2:$AO$2,0))</f>
        <v>0</v>
      </c>
      <c r="G387" s="319"/>
      <c r="H387" s="195"/>
      <c r="I387" s="196">
        <f>+INDEX('Budget révisé'!$A$2:$AO$496,MATCH($A387,'Budget révisé'!$A$2:$A$496,0),MATCH(I$2,'Budget révisé'!$A$2:$AO$2,0))</f>
        <v>0</v>
      </c>
      <c r="J387" s="320"/>
      <c r="K387" s="195"/>
      <c r="L387" s="197">
        <f>-SUMIFS(BV_Data_An_Cour!$O:$O,BV_Data_An_Cour!$U:$U,$B387,BV_Data_An_Cour!$V:$V,$C387,BV_Data_An_Cour!$W:$W,$L$2)</f>
        <v>0</v>
      </c>
      <c r="M387" s="320"/>
      <c r="N387" s="321">
        <f t="shared" si="213"/>
        <v>0</v>
      </c>
      <c r="O387" s="320"/>
      <c r="P387" s="195"/>
      <c r="Q387" s="197">
        <f>-SUMIFS(BV_Data_An_Prec!$O:$O,BV_Data_An_Prec!$U:$U,$B387,BV_Data_An_Prec!$V:$V,$C387,BV_Data_An_Prec!$W:$W,$L$2)</f>
        <v>0</v>
      </c>
      <c r="R387" s="320"/>
      <c r="S387" s="216">
        <f t="shared" si="214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</row>
    <row r="388" spans="1:41" ht="20.25" customHeight="1">
      <c r="A388" s="600" t="str">
        <f t="shared" si="208"/>
        <v>BoutiqueDivers</v>
      </c>
      <c r="B388" s="24" t="s">
        <v>191</v>
      </c>
      <c r="C388" s="322" t="s">
        <v>132</v>
      </c>
      <c r="D388" s="318"/>
      <c r="E388" s="195"/>
      <c r="F388" s="196">
        <f>+INDEX('Budget original'!$A$2:$AO$496,MATCH($A388,'Budget original'!$A$2:$A$496,0),MATCH(F$2,'Budget original'!$A$2:$AO$2,0))</f>
        <v>0</v>
      </c>
      <c r="G388" s="319"/>
      <c r="H388" s="195"/>
      <c r="I388" s="196">
        <f>+INDEX('Budget révisé'!$A$2:$AO$496,MATCH($A388,'Budget révisé'!$A$2:$A$496,0),MATCH(I$2,'Budget révisé'!$A$2:$AO$2,0))</f>
        <v>0</v>
      </c>
      <c r="J388" s="320"/>
      <c r="K388" s="195"/>
      <c r="L388" s="197">
        <f>-SUMIFS(BV_Data_An_Cour!$O:$O,BV_Data_An_Cour!$U:$U,$B388,BV_Data_An_Cour!$V:$V,$C388,BV_Data_An_Cour!$W:$W,$L$2)</f>
        <v>0</v>
      </c>
      <c r="M388" s="320"/>
      <c r="N388" s="321">
        <f t="shared" si="213"/>
        <v>0</v>
      </c>
      <c r="O388" s="320"/>
      <c r="P388" s="195"/>
      <c r="Q388" s="197">
        <f>-SUMIFS(BV_Data_An_Prec!$O:$O,BV_Data_An_Prec!$U:$U,$B388,BV_Data_An_Prec!$V:$V,$C388,BV_Data_An_Prec!$W:$W,$L$2)</f>
        <v>0</v>
      </c>
      <c r="R388" s="320"/>
      <c r="S388" s="216">
        <f t="shared" si="214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</row>
    <row r="389" spans="1:41" ht="20.25" customHeight="1">
      <c r="A389" s="600" t="str">
        <f t="shared" si="208"/>
        <v>BoutiqueFormation</v>
      </c>
      <c r="B389" s="24" t="s">
        <v>191</v>
      </c>
      <c r="C389" s="322" t="s">
        <v>133</v>
      </c>
      <c r="D389" s="318"/>
      <c r="E389" s="195"/>
      <c r="F389" s="196">
        <f>+INDEX('Budget original'!$A$2:$AO$496,MATCH($A389,'Budget original'!$A$2:$A$496,0),MATCH(F$2,'Budget original'!$A$2:$AO$2,0))</f>
        <v>0</v>
      </c>
      <c r="G389" s="319"/>
      <c r="H389" s="195"/>
      <c r="I389" s="196">
        <f>+INDEX('Budget révisé'!$A$2:$AO$496,MATCH($A389,'Budget révisé'!$A$2:$A$496,0),MATCH(I$2,'Budget révisé'!$A$2:$AO$2,0))</f>
        <v>0</v>
      </c>
      <c r="J389" s="320"/>
      <c r="K389" s="195"/>
      <c r="L389" s="197">
        <f>-SUMIFS(BV_Data_An_Cour!$O:$O,BV_Data_An_Cour!$U:$U,$B389,BV_Data_An_Cour!$V:$V,$C389,BV_Data_An_Cour!$W:$W,$L$2)</f>
        <v>0</v>
      </c>
      <c r="M389" s="320"/>
      <c r="N389" s="321">
        <f t="shared" si="213"/>
        <v>0</v>
      </c>
      <c r="O389" s="320"/>
      <c r="P389" s="195"/>
      <c r="Q389" s="197">
        <f>-SUMIFS(BV_Data_An_Prec!$O:$O,BV_Data_An_Prec!$U:$U,$B389,BV_Data_An_Prec!$V:$V,$C389,BV_Data_An_Prec!$W:$W,$L$2)</f>
        <v>0</v>
      </c>
      <c r="R389" s="320"/>
      <c r="S389" s="216">
        <f t="shared" si="214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</row>
    <row r="390" spans="1:41" ht="20.25" customHeight="1">
      <c r="A390" s="600" t="str">
        <f t="shared" si="208"/>
        <v>BoutiqueFrais bancaires</v>
      </c>
      <c r="B390" s="24" t="s">
        <v>191</v>
      </c>
      <c r="C390" s="322" t="s">
        <v>134</v>
      </c>
      <c r="D390" s="318"/>
      <c r="E390" s="195"/>
      <c r="F390" s="196">
        <f>+INDEX('Budget original'!$A$2:$AO$496,MATCH($A390,'Budget original'!$A$2:$A$496,0),MATCH(F$2,'Budget original'!$A$2:$AO$2,0))</f>
        <v>0</v>
      </c>
      <c r="G390" s="319"/>
      <c r="H390" s="195"/>
      <c r="I390" s="196">
        <f>+INDEX('Budget révisé'!$A$2:$AO$496,MATCH($A390,'Budget révisé'!$A$2:$A$496,0),MATCH(I$2,'Budget révisé'!$A$2:$AO$2,0))</f>
        <v>0</v>
      </c>
      <c r="J390" s="320"/>
      <c r="K390" s="195"/>
      <c r="L390" s="197">
        <f>-SUMIFS(BV_Data_An_Cour!$O:$O,BV_Data_An_Cour!$U:$U,$B390,BV_Data_An_Cour!$V:$V,$C390,BV_Data_An_Cour!$W:$W,$L$2)</f>
        <v>0</v>
      </c>
      <c r="M390" s="320"/>
      <c r="N390" s="321">
        <f t="shared" si="213"/>
        <v>0</v>
      </c>
      <c r="O390" s="320"/>
      <c r="P390" s="195"/>
      <c r="Q390" s="197">
        <f>-SUMIFS(BV_Data_An_Prec!$O:$O,BV_Data_An_Prec!$U:$U,$B390,BV_Data_An_Prec!$V:$V,$C390,BV_Data_An_Prec!$W:$W,$L$2)</f>
        <v>0</v>
      </c>
      <c r="R390" s="320"/>
      <c r="S390" s="216">
        <f t="shared" si="214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</row>
    <row r="391" spans="1:41" ht="15.75" customHeight="1">
      <c r="A391" s="600" t="str">
        <f t="shared" si="208"/>
        <v>Boutique[...]</v>
      </c>
      <c r="B391" s="24" t="s">
        <v>191</v>
      </c>
      <c r="C391" s="322" t="s">
        <v>42</v>
      </c>
      <c r="D391" s="318"/>
      <c r="E391" s="195"/>
      <c r="F391" s="196">
        <f>+INDEX('Budget original'!$A$2:$AO$496,MATCH($A391,'Budget original'!$A$2:$A$496,0),MATCH(F$2,'Budget original'!$A$2:$AO$2,0))</f>
        <v>0</v>
      </c>
      <c r="G391" s="319"/>
      <c r="H391" s="195"/>
      <c r="I391" s="196">
        <f>+INDEX('Budget révisé'!$A$2:$AO$496,MATCH($A391,'Budget révisé'!$A$2:$A$496,0),MATCH(I$2,'Budget révisé'!$A$2:$AO$2,0))</f>
        <v>0</v>
      </c>
      <c r="J391" s="320"/>
      <c r="K391" s="195"/>
      <c r="L391" s="197">
        <f>-SUMIFS(BV_Data_An_Cour!$O:$O,BV_Data_An_Cour!$U:$U,$B391,BV_Data_An_Cour!$V:$V,$C391,BV_Data_An_Cour!$W:$W,$L$2)</f>
        <v>0</v>
      </c>
      <c r="M391" s="320"/>
      <c r="N391" s="321">
        <f t="shared" si="213"/>
        <v>0</v>
      </c>
      <c r="O391" s="320"/>
      <c r="P391" s="195"/>
      <c r="Q391" s="197">
        <f>-SUMIFS(BV_Data_An_Prec!$O:$O,BV_Data_An_Prec!$U:$U,$B391,BV_Data_An_Prec!$V:$V,$C391,BV_Data_An_Prec!$W:$W,$L$2)</f>
        <v>0</v>
      </c>
      <c r="R391" s="320"/>
      <c r="S391" s="216">
        <f t="shared" si="214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</row>
    <row r="392" spans="1:41" ht="15.75" customHeight="1">
      <c r="A392" s="600" t="str">
        <f t="shared" si="208"/>
        <v>Boutique[...]</v>
      </c>
      <c r="B392" s="24" t="s">
        <v>191</v>
      </c>
      <c r="C392" s="322" t="s">
        <v>42</v>
      </c>
      <c r="D392" s="318"/>
      <c r="E392" s="195"/>
      <c r="F392" s="196">
        <f>+INDEX('Budget original'!$A$2:$AO$496,MATCH($A392,'Budget original'!$A$2:$A$496,0),MATCH(F$2,'Budget original'!$A$2:$AO$2,0))</f>
        <v>0</v>
      </c>
      <c r="G392" s="319"/>
      <c r="H392" s="195"/>
      <c r="I392" s="196">
        <f>+INDEX('Budget révisé'!$A$2:$AO$496,MATCH($A392,'Budget révisé'!$A$2:$A$496,0),MATCH(I$2,'Budget révisé'!$A$2:$AO$2,0))</f>
        <v>0</v>
      </c>
      <c r="J392" s="320"/>
      <c r="K392" s="195"/>
      <c r="L392" s="197">
        <f>-SUMIFS(BV_Data_An_Cour!$O:$O,BV_Data_An_Cour!$U:$U,$B392,BV_Data_An_Cour!$V:$V,$C392,BV_Data_An_Cour!$W:$W,$L$2)</f>
        <v>0</v>
      </c>
      <c r="M392" s="320"/>
      <c r="N392" s="321">
        <f t="shared" si="213"/>
        <v>0</v>
      </c>
      <c r="O392" s="320"/>
      <c r="P392" s="195"/>
      <c r="Q392" s="197">
        <f>-SUMIFS(BV_Data_An_Prec!$O:$O,BV_Data_An_Prec!$U:$U,$B392,BV_Data_An_Prec!$V:$V,$C392,BV_Data_An_Prec!$W:$W,$L$2)</f>
        <v>0</v>
      </c>
      <c r="R392" s="320"/>
      <c r="S392" s="216">
        <f t="shared" si="214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</row>
    <row r="393" spans="1:41" ht="15.75" customHeight="1">
      <c r="A393" s="600" t="str">
        <f t="shared" si="208"/>
        <v>Boutique[...]</v>
      </c>
      <c r="B393" s="24" t="s">
        <v>191</v>
      </c>
      <c r="C393" s="322" t="s">
        <v>42</v>
      </c>
      <c r="D393" s="324"/>
      <c r="E393" s="325"/>
      <c r="F393" s="196">
        <f>+INDEX('Budget original'!$A$2:$AO$496,MATCH($A393,'Budget original'!$A$2:$A$496,0),MATCH(F$2,'Budget original'!$A$2:$AO$2,0))</f>
        <v>0</v>
      </c>
      <c r="G393" s="326"/>
      <c r="H393" s="325"/>
      <c r="I393" s="196">
        <f>+INDEX('Budget révisé'!$A$2:$AO$496,MATCH($A393,'Budget révisé'!$A$2:$A$496,0),MATCH(I$2,'Budget révisé'!$A$2:$AO$2,0))</f>
        <v>0</v>
      </c>
      <c r="J393" s="327"/>
      <c r="K393" s="325"/>
      <c r="L393" s="197">
        <f>-SUMIFS(BV_Data_An_Cour!$O:$O,BV_Data_An_Cour!$U:$U,$B393,BV_Data_An_Cour!$V:$V,$C393,BV_Data_An_Cour!$W:$W,$L$2)</f>
        <v>0</v>
      </c>
      <c r="M393" s="327"/>
      <c r="N393" s="328">
        <f t="shared" si="213"/>
        <v>0</v>
      </c>
      <c r="O393" s="327"/>
      <c r="P393" s="325"/>
      <c r="Q393" s="197">
        <f>-SUMIFS(BV_Data_An_Prec!$O:$O,BV_Data_An_Prec!$U:$U,$B393,BV_Data_An_Prec!$V:$V,$C393,BV_Data_An_Prec!$W:$W,$L$2)</f>
        <v>0</v>
      </c>
      <c r="R393" s="327"/>
      <c r="S393" s="219">
        <f t="shared" si="214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</row>
    <row r="394" spans="1:41" ht="15.75" customHeight="1">
      <c r="B394" s="2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</row>
    <row r="395" spans="1:41" ht="15.75" customHeight="1">
      <c r="B395" s="2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</row>
    <row r="396" spans="1:41" ht="15.75" customHeight="1">
      <c r="B396" s="2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</row>
    <row r="397" spans="1:41" ht="15.75" customHeight="1">
      <c r="B397" s="2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</row>
    <row r="398" spans="1:41" ht="15.75" customHeight="1">
      <c r="B398" s="2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</row>
    <row r="399" spans="1:41" ht="15.75" customHeight="1">
      <c r="B399" s="2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</row>
    <row r="400" spans="1:41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</row>
    <row r="401" spans="1:62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21"/>
      <c r="AE401" s="18"/>
      <c r="AF401" s="5" t="s">
        <v>193</v>
      </c>
      <c r="AG401" s="21"/>
      <c r="AH401" s="21"/>
      <c r="AI401" s="18"/>
      <c r="AJ401" s="18"/>
      <c r="AK401" s="80"/>
      <c r="AL401" s="19"/>
      <c r="AM401" s="18"/>
      <c r="AN401" s="21"/>
      <c r="AO401" s="21"/>
      <c r="AP401" s="6" t="str">
        <f>$S$1</f>
        <v>Réalisé, Janvier 2021</v>
      </c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</row>
    <row r="402" spans="1:62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5"/>
      <c r="AM402" s="456"/>
      <c r="AN402" s="456"/>
      <c r="AO402" s="456"/>
      <c r="AP402" s="456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</row>
    <row r="403" spans="1:62" ht="15.75" customHeight="1" thickTop="1" thickBot="1">
      <c r="A403" s="60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458"/>
      <c r="X403" s="1113" t="s">
        <v>194</v>
      </c>
      <c r="Y403" s="1111"/>
      <c r="Z403" s="1114"/>
      <c r="AA403" s="1110" t="s">
        <v>145</v>
      </c>
      <c r="AB403" s="1111"/>
      <c r="AC403" s="1114"/>
      <c r="AD403" s="1092"/>
      <c r="AE403" s="1110" t="s">
        <v>79</v>
      </c>
      <c r="AF403" s="1111"/>
      <c r="AG403" s="1114"/>
      <c r="AH403" s="1110" t="s">
        <v>195</v>
      </c>
      <c r="AI403" s="1111"/>
      <c r="AJ403" s="1114"/>
      <c r="AK403" s="1110" t="s">
        <v>196</v>
      </c>
      <c r="AL403" s="1111"/>
      <c r="AM403" s="1111"/>
      <c r="AN403" s="1110" t="s">
        <v>197</v>
      </c>
      <c r="AO403" s="1111"/>
      <c r="AP403" s="1112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</row>
    <row r="404" spans="1:62" ht="15.75" customHeight="1">
      <c r="A404" s="600" t="str">
        <f t="shared" ref="A404:A483" si="215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14"/>
      <c r="AE404" s="460" t="s">
        <v>199</v>
      </c>
      <c r="AF404" s="414" t="s">
        <v>200</v>
      </c>
      <c r="AG404" s="414" t="s">
        <v>201</v>
      </c>
      <c r="AH404" s="460" t="s">
        <v>202</v>
      </c>
      <c r="AI404" s="414" t="s">
        <v>203</v>
      </c>
      <c r="AJ404" s="414" t="s">
        <v>204</v>
      </c>
      <c r="AK404" s="460" t="s">
        <v>199</v>
      </c>
      <c r="AL404" s="414" t="s">
        <v>200</v>
      </c>
      <c r="AM404" s="414" t="s">
        <v>201</v>
      </c>
      <c r="AN404" s="461" t="s">
        <v>202</v>
      </c>
      <c r="AO404" s="414" t="s">
        <v>203</v>
      </c>
      <c r="AP404" s="415" t="s">
        <v>204</v>
      </c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</row>
    <row r="405" spans="1:62" ht="15.75" customHeight="1">
      <c r="A405" s="600" t="str">
        <f t="shared" si="215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5"/>
      <c r="AE405" s="464"/>
      <c r="AF405" s="465"/>
      <c r="AG405" s="465">
        <f>L5+L93+K193+K249+J313+J361</f>
        <v>2075147.3900000001</v>
      </c>
      <c r="AH405" s="464"/>
      <c r="AI405" s="465"/>
      <c r="AJ405" s="466"/>
      <c r="AK405" s="464"/>
      <c r="AL405" s="465"/>
      <c r="AM405" s="465">
        <f>Q5+Q93+P193+P249+O313+O361</f>
        <v>3317383.1799999997</v>
      </c>
      <c r="AN405" s="467"/>
      <c r="AO405" s="465"/>
      <c r="AP405" s="468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</row>
    <row r="406" spans="1:62" ht="15.75" customHeight="1">
      <c r="A406" s="600" t="str">
        <f t="shared" si="215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4"/>
      <c r="AE406" s="83"/>
      <c r="AF406" s="84"/>
      <c r="AG406" s="84">
        <f>L27+L107+L193+L249+L313+L361</f>
        <v>297419.32000000007</v>
      </c>
      <c r="AH406" s="83"/>
      <c r="AI406" s="84">
        <f>AG406-AC406</f>
        <v>-115861.28047496697</v>
      </c>
      <c r="AJ406" s="85">
        <f>AI406/AC406</f>
        <v>-0.2803453158503259</v>
      </c>
      <c r="AK406" s="83"/>
      <c r="AL406" s="84"/>
      <c r="AM406" s="84">
        <f>Q27+Q107+Q193+Q249+Q313+Q361</f>
        <v>360078.02000000025</v>
      </c>
      <c r="AN406" s="86"/>
      <c r="AO406" s="84">
        <f>AG406-AM406</f>
        <v>-62658.700000000186</v>
      </c>
      <c r="AP406" s="470">
        <f>IF(AM406=0,0,AO406/AM406)</f>
        <v>-0.17401423169345395</v>
      </c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</row>
    <row r="407" spans="1:62" ht="15.75" customHeight="1">
      <c r="A407" s="600" t="str">
        <f t="shared" si="215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4"/>
      <c r="AE407" s="473"/>
      <c r="AF407" s="472"/>
      <c r="AG407" s="474"/>
      <c r="AH407" s="473"/>
      <c r="AI407" s="474"/>
      <c r="AJ407" s="475"/>
      <c r="AK407" s="473"/>
      <c r="AL407" s="472"/>
      <c r="AM407" s="474"/>
      <c r="AN407" s="476"/>
      <c r="AO407" s="474"/>
      <c r="AP407" s="230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</row>
    <row r="408" spans="1:62" ht="15.75" customHeight="1">
      <c r="A408" s="600" t="str">
        <f t="shared" si="215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216">Z408/(D$13+D$96)</f>
        <v>455.58860949975389</v>
      </c>
      <c r="Z408" s="87">
        <f t="shared" ref="Z408:Z417" si="217">+SUMIF($C:$C,$V408,F:F)</f>
        <v>34467.450637893795</v>
      </c>
      <c r="AA408" s="472"/>
      <c r="AB408" s="478">
        <f t="shared" ref="AB408:AB414" si="218">IF(AC408=0,0,AC408/(G$13+G$96))</f>
        <v>455.58860949975389</v>
      </c>
      <c r="AC408" s="87">
        <f t="shared" ref="AC408:AC417" si="219">+SUMIF($C:$C,$V408,I:I)</f>
        <v>34467.450637893795</v>
      </c>
      <c r="AD408" s="474"/>
      <c r="AE408" s="479"/>
      <c r="AF408" s="478">
        <f t="shared" ref="AF408:AF413" si="220">IF(AG408=0,0,AG408/(J$13+J$96))</f>
        <v>780.37657142857142</v>
      </c>
      <c r="AG408" s="87">
        <f t="shared" ref="AG408:AG417" si="221">+SUMIF($C:$C,$V408,L:L)</f>
        <v>27313.18</v>
      </c>
      <c r="AH408" s="473">
        <f>AF408-AB408</f>
        <v>324.78796192881754</v>
      </c>
      <c r="AI408" s="474">
        <f>AG408-AC408</f>
        <v>-7154.2706378937946</v>
      </c>
      <c r="AJ408" s="475">
        <f>IF(AC408=0,0,AI408/AC408)</f>
        <v>-0.20756599358202407</v>
      </c>
      <c r="AK408" s="479"/>
      <c r="AL408" s="474">
        <f t="shared" ref="AL408:AL414" si="222">AM408/(O$13+O$96)</f>
        <v>543.66607142857151</v>
      </c>
      <c r="AM408" s="87">
        <f t="shared" ref="AM408:AM417" si="223">+SUMIF($C:$C,$V408,Q:Q)</f>
        <v>45667.950000000004</v>
      </c>
      <c r="AN408" s="476">
        <f t="shared" ref="AN408:AN413" si="224">AF408-Y408</f>
        <v>324.78796192881754</v>
      </c>
      <c r="AO408" s="474">
        <f t="shared" ref="AO408:AO413" si="225">AG408-AM408</f>
        <v>-18354.770000000004</v>
      </c>
      <c r="AP408" s="231">
        <f>IF(AM408=0,0,AO408/AM408)</f>
        <v>-0.40191797529777451</v>
      </c>
      <c r="AQ408" s="79"/>
      <c r="AR408" s="79"/>
      <c r="AS408" s="2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</row>
    <row r="409" spans="1:62" ht="15.75" customHeight="1">
      <c r="A409" s="600" t="str">
        <f t="shared" si="215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216"/>
        <v>344.22484213127683</v>
      </c>
      <c r="Z409" s="463">
        <f t="shared" si="217"/>
        <v>26042.250633798994</v>
      </c>
      <c r="AA409" s="462"/>
      <c r="AB409" s="481">
        <f t="shared" si="218"/>
        <v>344.22484213127683</v>
      </c>
      <c r="AC409" s="463">
        <f t="shared" si="219"/>
        <v>26042.250633798994</v>
      </c>
      <c r="AD409" s="465"/>
      <c r="AE409" s="482"/>
      <c r="AF409" s="481">
        <f t="shared" si="220"/>
        <v>351.04771428571428</v>
      </c>
      <c r="AG409" s="463">
        <f t="shared" si="221"/>
        <v>12286.67</v>
      </c>
      <c r="AH409" s="464">
        <f>AF409-AB409</f>
        <v>6.822872154437448</v>
      </c>
      <c r="AI409" s="465">
        <f>AG409-AC409</f>
        <v>-13755.580633798994</v>
      </c>
      <c r="AJ409" s="483">
        <f t="shared" ref="AJ409:AJ413" si="226">IF(AC409=0,0,AI409/AC409)</f>
        <v>-0.52820245174763358</v>
      </c>
      <c r="AK409" s="482"/>
      <c r="AL409" s="465">
        <f t="shared" si="222"/>
        <v>207.87642857142856</v>
      </c>
      <c r="AM409" s="463">
        <f t="shared" si="223"/>
        <v>17461.62</v>
      </c>
      <c r="AN409" s="467">
        <f t="shared" si="224"/>
        <v>6.822872154437448</v>
      </c>
      <c r="AO409" s="465">
        <f t="shared" si="225"/>
        <v>-5174.9499999999989</v>
      </c>
      <c r="AP409" s="232">
        <f t="shared" ref="AP409:AP413" si="227">IF(AM409=0,0,AO409/AM409)</f>
        <v>-0.29636139144019852</v>
      </c>
      <c r="AQ409" s="79"/>
      <c r="AR409" s="79"/>
      <c r="AS409" s="25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</row>
    <row r="410" spans="1:62" ht="15.75" customHeight="1">
      <c r="A410" s="600" t="str">
        <f t="shared" si="215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216"/>
        <v>173.57097440486746</v>
      </c>
      <c r="Z410" s="87">
        <f t="shared" si="217"/>
        <v>13131.471831659408</v>
      </c>
      <c r="AA410" s="472"/>
      <c r="AB410" s="478">
        <f t="shared" si="218"/>
        <v>173.57097440486746</v>
      </c>
      <c r="AC410" s="87">
        <f t="shared" si="219"/>
        <v>13131.471831659408</v>
      </c>
      <c r="AD410" s="474"/>
      <c r="AE410" s="479"/>
      <c r="AF410" s="478">
        <f t="shared" si="220"/>
        <v>152.93514285714286</v>
      </c>
      <c r="AG410" s="87">
        <f t="shared" si="221"/>
        <v>5352.7300000000005</v>
      </c>
      <c r="AH410" s="473">
        <f>AF410-AB410</f>
        <v>-20.635831547724592</v>
      </c>
      <c r="AI410" s="474">
        <f>AG410-AC410</f>
        <v>-7778.7418316594076</v>
      </c>
      <c r="AJ410" s="475">
        <f t="shared" si="226"/>
        <v>-0.59237394949933941</v>
      </c>
      <c r="AK410" s="479"/>
      <c r="AL410" s="474">
        <f t="shared" si="222"/>
        <v>122.34559523809523</v>
      </c>
      <c r="AM410" s="87">
        <f t="shared" si="223"/>
        <v>10277.029999999999</v>
      </c>
      <c r="AN410" s="476">
        <f t="shared" si="224"/>
        <v>-20.635831547724592</v>
      </c>
      <c r="AO410" s="474">
        <f t="shared" si="225"/>
        <v>-4924.2999999999984</v>
      </c>
      <c r="AP410" s="231">
        <f t="shared" si="227"/>
        <v>-0.47915594291346808</v>
      </c>
      <c r="AQ410" s="79"/>
      <c r="AR410" s="79"/>
      <c r="AS410" s="25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</row>
    <row r="411" spans="1:62" ht="15.75" customHeight="1">
      <c r="A411" s="600" t="str">
        <f t="shared" si="215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216"/>
        <v>33.070810983891086</v>
      </c>
      <c r="Z411" s="87">
        <f t="shared" si="217"/>
        <v>2501.9645385646932</v>
      </c>
      <c r="AA411" s="472"/>
      <c r="AB411" s="478">
        <f t="shared" si="218"/>
        <v>33.070810983891086</v>
      </c>
      <c r="AC411" s="87">
        <f t="shared" si="219"/>
        <v>2501.9645385646932</v>
      </c>
      <c r="AD411" s="474"/>
      <c r="AE411" s="479"/>
      <c r="AF411" s="478">
        <f t="shared" si="220"/>
        <v>69.995428571428576</v>
      </c>
      <c r="AG411" s="87">
        <f t="shared" si="221"/>
        <v>2449.84</v>
      </c>
      <c r="AH411" s="473">
        <f>AF411-AB411</f>
        <v>36.92461758753749</v>
      </c>
      <c r="AI411" s="474">
        <f>AG411-AC411</f>
        <v>-52.124538564693012</v>
      </c>
      <c r="AJ411" s="475">
        <f t="shared" si="226"/>
        <v>-2.0833444184063216E-2</v>
      </c>
      <c r="AK411" s="479"/>
      <c r="AL411" s="474">
        <f t="shared" si="222"/>
        <v>2.3809523809523809</v>
      </c>
      <c r="AM411" s="87">
        <f t="shared" si="223"/>
        <v>200</v>
      </c>
      <c r="AN411" s="476">
        <f t="shared" si="224"/>
        <v>36.92461758753749</v>
      </c>
      <c r="AO411" s="474">
        <f t="shared" si="225"/>
        <v>2249.84</v>
      </c>
      <c r="AP411" s="233">
        <f t="shared" si="227"/>
        <v>11.2492</v>
      </c>
      <c r="AQ411" s="79"/>
      <c r="AR411" s="79"/>
      <c r="AS411" s="25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</row>
    <row r="412" spans="1:62" ht="15.75" customHeight="1">
      <c r="A412" s="600" t="str">
        <f t="shared" si="215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216"/>
        <v>43.849286804193831</v>
      </c>
      <c r="Z412" s="463">
        <f t="shared" si="217"/>
        <v>3317.407628100972</v>
      </c>
      <c r="AA412" s="462"/>
      <c r="AB412" s="481">
        <f t="shared" si="218"/>
        <v>43.849286804193831</v>
      </c>
      <c r="AC412" s="463">
        <f t="shared" si="219"/>
        <v>3317.407628100972</v>
      </c>
      <c r="AD412" s="465"/>
      <c r="AE412" s="482"/>
      <c r="AF412" s="481">
        <f t="shared" si="220"/>
        <v>59.569999999999993</v>
      </c>
      <c r="AG412" s="463">
        <f t="shared" si="221"/>
        <v>2084.9499999999998</v>
      </c>
      <c r="AH412" s="464">
        <f>AF412-AB412</f>
        <v>15.720713195806162</v>
      </c>
      <c r="AI412" s="465">
        <f>AG412-AC412</f>
        <v>-1232.4576281009722</v>
      </c>
      <c r="AJ412" s="483">
        <f t="shared" si="226"/>
        <v>-0.37151226688608191</v>
      </c>
      <c r="AK412" s="482"/>
      <c r="AL412" s="465">
        <f t="shared" si="222"/>
        <v>32.150595238095242</v>
      </c>
      <c r="AM412" s="463">
        <f t="shared" si="223"/>
        <v>2700.65</v>
      </c>
      <c r="AN412" s="467">
        <f t="shared" si="224"/>
        <v>15.720713195806162</v>
      </c>
      <c r="AO412" s="465">
        <f t="shared" si="225"/>
        <v>-615.70000000000027</v>
      </c>
      <c r="AP412" s="232">
        <f t="shared" si="227"/>
        <v>-0.2279821524447819</v>
      </c>
      <c r="AQ412" s="79"/>
      <c r="AR412" s="79"/>
      <c r="AS412" s="25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</row>
    <row r="413" spans="1:62" ht="15.75" customHeight="1">
      <c r="A413" s="600" t="str">
        <f t="shared" si="215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216"/>
        <v>153.23823239807243</v>
      </c>
      <c r="Z413" s="87">
        <f t="shared" si="217"/>
        <v>11593.202948638496</v>
      </c>
      <c r="AA413" s="475"/>
      <c r="AB413" s="478">
        <f t="shared" si="218"/>
        <v>153.23823239807243</v>
      </c>
      <c r="AC413" s="87">
        <f t="shared" si="219"/>
        <v>11593.202948638496</v>
      </c>
      <c r="AD413" s="474"/>
      <c r="AE413" s="479"/>
      <c r="AF413" s="478">
        <f t="shared" si="220"/>
        <v>291.41771428571428</v>
      </c>
      <c r="AG413" s="87">
        <f t="shared" si="221"/>
        <v>10199.620000000001</v>
      </c>
      <c r="AH413" s="473">
        <f>AF413-AB413</f>
        <v>138.17948188764186</v>
      </c>
      <c r="AI413" s="474">
        <f>AG413-AC413</f>
        <v>-1393.5829486384955</v>
      </c>
      <c r="AJ413" s="475">
        <f t="shared" si="226"/>
        <v>-0.12020689664560368</v>
      </c>
      <c r="AK413" s="479"/>
      <c r="AL413" s="474">
        <f t="shared" si="222"/>
        <v>138.45238095238096</v>
      </c>
      <c r="AM413" s="87">
        <f t="shared" si="223"/>
        <v>11630</v>
      </c>
      <c r="AN413" s="476">
        <f t="shared" si="224"/>
        <v>138.17948188764186</v>
      </c>
      <c r="AO413" s="474">
        <f t="shared" si="225"/>
        <v>-1430.3799999999992</v>
      </c>
      <c r="AP413" s="231">
        <f t="shared" si="227"/>
        <v>-0.12299054170249349</v>
      </c>
      <c r="AQ413" s="79"/>
      <c r="AR413" s="79"/>
      <c r="AS413" s="25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</row>
    <row r="414" spans="1:62" s="600" customFormat="1" ht="15.75" customHeight="1">
      <c r="A414" s="600" t="str">
        <f t="shared" si="215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216"/>
        <v>197.05966590141205</v>
      </c>
      <c r="Z414" s="87">
        <f t="shared" si="217"/>
        <v>14908.503341720248</v>
      </c>
      <c r="AA414" s="472"/>
      <c r="AB414" s="478">
        <f t="shared" si="218"/>
        <v>197.05966590141205</v>
      </c>
      <c r="AC414" s="87">
        <f t="shared" si="219"/>
        <v>14908.503341720248</v>
      </c>
      <c r="AD414" s="474"/>
      <c r="AE414" s="479"/>
      <c r="AF414" s="478">
        <f>IF(AG414=0,0,AG414/(J$13+J$13))</f>
        <v>301.61424999999997</v>
      </c>
      <c r="AG414" s="87">
        <f t="shared" si="221"/>
        <v>12064.57</v>
      </c>
      <c r="AH414" s="473">
        <f>AF414-AB414</f>
        <v>104.55458409858792</v>
      </c>
      <c r="AI414" s="474">
        <f>AG414-AC414</f>
        <v>-2843.9333417202488</v>
      </c>
      <c r="AJ414" s="475">
        <f t="shared" ref="AJ414" si="228">IF(AC414=0,0,AI414/AC414)</f>
        <v>-0.19075914439793093</v>
      </c>
      <c r="AK414" s="479"/>
      <c r="AL414" s="474">
        <f t="shared" si="222"/>
        <v>218.20607142857145</v>
      </c>
      <c r="AM414" s="87">
        <f t="shared" si="223"/>
        <v>18329.310000000001</v>
      </c>
      <c r="AN414" s="476">
        <f t="shared" ref="AN414" si="229">AF414-Y414</f>
        <v>104.55458409858792</v>
      </c>
      <c r="AO414" s="474">
        <f t="shared" ref="AO414" si="230">AG414-AM414</f>
        <v>-6264.7400000000016</v>
      </c>
      <c r="AP414" s="231">
        <f t="shared" ref="AP414" si="231">IF(AM414=0,0,AO414/AM414)</f>
        <v>-0.34178809786074876</v>
      </c>
      <c r="AQ414" s="79"/>
      <c r="AR414" s="79"/>
      <c r="AS414" s="25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</row>
    <row r="415" spans="1:62" s="600" customFormat="1" ht="15.75" customHeight="1">
      <c r="A415" s="600" t="str">
        <f t="shared" si="215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32">Z415/(D$13+D$96)</f>
        <v>0</v>
      </c>
      <c r="Z415" s="87">
        <f t="shared" si="217"/>
        <v>0</v>
      </c>
      <c r="AA415" s="472"/>
      <c r="AB415" s="478">
        <f t="shared" ref="AB415:AB417" si="233">IF(AC415=0,0,AC415/(G$13+G$96))</f>
        <v>0</v>
      </c>
      <c r="AC415" s="87">
        <f t="shared" si="219"/>
        <v>0</v>
      </c>
      <c r="AD415" s="474"/>
      <c r="AE415" s="479"/>
      <c r="AF415" s="478">
        <f t="shared" ref="AF415:AF417" si="234">IF(AG415=0,0,AG415/(J$13+J$13))</f>
        <v>0</v>
      </c>
      <c r="AG415" s="87">
        <f t="shared" si="221"/>
        <v>0</v>
      </c>
      <c r="AH415" s="473">
        <f t="shared" ref="AH415:AH417" si="235">AF415-AB415</f>
        <v>0</v>
      </c>
      <c r="AI415" s="474">
        <f t="shared" ref="AI415:AI417" si="236">AG415-AC415</f>
        <v>0</v>
      </c>
      <c r="AJ415" s="475">
        <f t="shared" ref="AJ415:AJ417" si="237">IF(AC415=0,0,AI415/AC415)</f>
        <v>0</v>
      </c>
      <c r="AK415" s="479"/>
      <c r="AL415" s="474">
        <f t="shared" ref="AL415:AL417" si="238">AM415/(O$13+O$96)</f>
        <v>0</v>
      </c>
      <c r="AM415" s="87">
        <f t="shared" si="223"/>
        <v>0</v>
      </c>
      <c r="AN415" s="476">
        <f t="shared" ref="AN415:AN417" si="239">AF415-Y415</f>
        <v>0</v>
      </c>
      <c r="AO415" s="474">
        <f t="shared" ref="AO415:AO417" si="240">AG415-AM415</f>
        <v>0</v>
      </c>
      <c r="AP415" s="231">
        <f t="shared" ref="AP415:AP417" si="241">IF(AM415=0,0,AO415/AM415)</f>
        <v>0</v>
      </c>
      <c r="AQ415" s="79"/>
      <c r="AR415" s="79"/>
      <c r="AS415" s="25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</row>
    <row r="416" spans="1:62" s="600" customFormat="1" ht="15.75" customHeight="1">
      <c r="A416" s="600" t="str">
        <f t="shared" si="215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32"/>
        <v>0</v>
      </c>
      <c r="Z416" s="87">
        <f t="shared" si="217"/>
        <v>0</v>
      </c>
      <c r="AA416" s="472"/>
      <c r="AB416" s="478">
        <f t="shared" si="233"/>
        <v>0</v>
      </c>
      <c r="AC416" s="87">
        <f t="shared" si="219"/>
        <v>0</v>
      </c>
      <c r="AD416" s="474"/>
      <c r="AE416" s="479"/>
      <c r="AF416" s="478">
        <f t="shared" si="234"/>
        <v>0</v>
      </c>
      <c r="AG416" s="87">
        <f t="shared" si="221"/>
        <v>0</v>
      </c>
      <c r="AH416" s="473">
        <f t="shared" si="235"/>
        <v>0</v>
      </c>
      <c r="AI416" s="474">
        <f t="shared" si="236"/>
        <v>0</v>
      </c>
      <c r="AJ416" s="475">
        <f t="shared" si="237"/>
        <v>0</v>
      </c>
      <c r="AK416" s="479"/>
      <c r="AL416" s="474">
        <f t="shared" si="238"/>
        <v>0</v>
      </c>
      <c r="AM416" s="87">
        <f t="shared" si="223"/>
        <v>0</v>
      </c>
      <c r="AN416" s="476">
        <f t="shared" si="239"/>
        <v>0</v>
      </c>
      <c r="AO416" s="474">
        <f t="shared" si="240"/>
        <v>0</v>
      </c>
      <c r="AP416" s="231">
        <f t="shared" si="241"/>
        <v>0</v>
      </c>
      <c r="AQ416" s="79"/>
      <c r="AR416" s="79"/>
      <c r="AS416" s="25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</row>
    <row r="417" spans="1:62" ht="15.75" customHeight="1">
      <c r="A417" s="600" t="str">
        <f t="shared" si="215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32"/>
        <v>0</v>
      </c>
      <c r="Z417" s="87">
        <f t="shared" si="217"/>
        <v>0</v>
      </c>
      <c r="AA417" s="472"/>
      <c r="AB417" s="478">
        <f t="shared" si="233"/>
        <v>0</v>
      </c>
      <c r="AC417" s="87">
        <f t="shared" si="219"/>
        <v>0</v>
      </c>
      <c r="AD417" s="474"/>
      <c r="AE417" s="479"/>
      <c r="AF417" s="478">
        <f t="shared" si="234"/>
        <v>0</v>
      </c>
      <c r="AG417" s="87">
        <f t="shared" si="221"/>
        <v>0</v>
      </c>
      <c r="AH417" s="473">
        <f t="shared" si="235"/>
        <v>0</v>
      </c>
      <c r="AI417" s="474">
        <f t="shared" si="236"/>
        <v>0</v>
      </c>
      <c r="AJ417" s="475">
        <f t="shared" si="237"/>
        <v>0</v>
      </c>
      <c r="AK417" s="479"/>
      <c r="AL417" s="474">
        <f t="shared" si="238"/>
        <v>0</v>
      </c>
      <c r="AM417" s="87">
        <f t="shared" si="223"/>
        <v>0</v>
      </c>
      <c r="AN417" s="476">
        <f t="shared" si="239"/>
        <v>0</v>
      </c>
      <c r="AO417" s="474">
        <f t="shared" si="240"/>
        <v>0</v>
      </c>
      <c r="AP417" s="231">
        <f t="shared" si="241"/>
        <v>0</v>
      </c>
      <c r="AQ417" s="79"/>
      <c r="AR417" s="79"/>
      <c r="AS417" s="25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</row>
    <row r="418" spans="1:62" ht="15.75" customHeight="1">
      <c r="A418" s="600" t="str">
        <f t="shared" si="215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3"/>
      <c r="AE418" s="91">
        <f>AG418/AG406</f>
        <v>0.24124713888795113</v>
      </c>
      <c r="AF418" s="88"/>
      <c r="AG418" s="90">
        <f>SUM(AG408:AG417)</f>
        <v>71751.56</v>
      </c>
      <c r="AH418" s="92"/>
      <c r="AI418" s="93">
        <f>AG418-AC418</f>
        <v>-34210.69156037661</v>
      </c>
      <c r="AJ418" s="89">
        <f>AI418/AC418</f>
        <v>-0.3228573483160046</v>
      </c>
      <c r="AK418" s="91">
        <f>IF($AM$406=0,0,AM418/$AM$406)</f>
        <v>0.29512092962519604</v>
      </c>
      <c r="AL418" s="88"/>
      <c r="AM418" s="90">
        <f>SUM(AM408:AM417)</f>
        <v>106266.56</v>
      </c>
      <c r="AN418" s="94"/>
      <c r="AO418" s="93">
        <f t="shared" ref="AO418:AO423" si="242">AG418-AM418</f>
        <v>-34515</v>
      </c>
      <c r="AP418" s="470">
        <f>IF(AM418=0,0,AO418/AM418)</f>
        <v>-0.32479643643306044</v>
      </c>
      <c r="AQ418" s="79"/>
      <c r="AR418" s="79"/>
      <c r="AS418" s="25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</row>
    <row r="419" spans="1:62" ht="15.75" customHeight="1">
      <c r="A419" s="600" t="str">
        <f t="shared" si="215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+INDEX('Budget original'!$A$2:$AO$496,MATCH($A419,'Budget original'!$A$2:$A$496,0),MATCH(F$2,'Budget original'!$A$2:$AO$2,0))</f>
        <v>0</v>
      </c>
      <c r="AA419" s="472"/>
      <c r="AB419" s="472"/>
      <c r="AC419" s="87">
        <f>+INDEX('Budget révisé'!$A$2:$AO$496,MATCH($A419,'Budget révisé'!$A$2:$A$496,0),MATCH(I$2,'Budget révisé'!$A$2:$AO$2,0))</f>
        <v>0</v>
      </c>
      <c r="AD419" s="474"/>
      <c r="AE419" s="479"/>
      <c r="AF419" s="478"/>
      <c r="AG419" s="87">
        <f>SUMIFS(BV_Data_An_Cour!$O:$O,BV_Data_An_Cour!$V:$V,$V419)</f>
        <v>2916.67</v>
      </c>
      <c r="AH419" s="473"/>
      <c r="AI419" s="474"/>
      <c r="AJ419" s="475">
        <f>IF(AC419=0,0,AI419/AC419)</f>
        <v>0</v>
      </c>
      <c r="AK419" s="479"/>
      <c r="AL419" s="472"/>
      <c r="AM419" s="87">
        <f>SUMIFS(BV_Data_An_Prec!$O:$O,BV_Data_An_Prec!$V:$V,$V419)</f>
        <v>14500</v>
      </c>
      <c r="AN419" s="476"/>
      <c r="AO419" s="474">
        <f t="shared" si="242"/>
        <v>-11583.33</v>
      </c>
      <c r="AP419" s="231">
        <f t="shared" ref="AP419:AP423" si="243">IF(AM419=0,0,AO419/AM419)</f>
        <v>-0.79885034482758621</v>
      </c>
      <c r="AQ419" s="79" t="s">
        <v>2883</v>
      </c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</row>
    <row r="420" spans="1:62" ht="15.75" customHeight="1">
      <c r="A420" s="600" t="str">
        <f t="shared" si="215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44">+SUMIF($C:$C,$V420,F:F)</f>
        <v>51976.551080722333</v>
      </c>
      <c r="AA420" s="472"/>
      <c r="AB420" s="472"/>
      <c r="AC420" s="87">
        <f t="shared" ref="AC420:AC431" si="245">+SUMIF($C:$C,$V420,I:I)</f>
        <v>51976.551080722333</v>
      </c>
      <c r="AD420" s="474"/>
      <c r="AE420" s="479"/>
      <c r="AF420" s="478"/>
      <c r="AG420" s="87">
        <f t="shared" ref="AG420:AG431" si="246">+SUMIF($C:$C,$V420,L:L)</f>
        <v>34687.1</v>
      </c>
      <c r="AH420" s="473"/>
      <c r="AI420" s="474">
        <f t="shared" ref="AI420:AI423" si="247">AG420-AC420</f>
        <v>-17289.451080722334</v>
      </c>
      <c r="AJ420" s="475">
        <f t="shared" ref="AJ420:AJ430" si="248">IF(AC420=0,0,AI420/AC420)</f>
        <v>-0.33263944454242267</v>
      </c>
      <c r="AK420" s="479"/>
      <c r="AL420" s="472"/>
      <c r="AM420" s="87">
        <f t="shared" ref="AM420:AM431" si="249">+SUMIF($C:$C,$V420,Q:Q)</f>
        <v>48573.36</v>
      </c>
      <c r="AN420" s="476"/>
      <c r="AO420" s="474">
        <f t="shared" si="242"/>
        <v>-13886.260000000002</v>
      </c>
      <c r="AP420" s="231">
        <f t="shared" si="243"/>
        <v>-0.28588222021289039</v>
      </c>
      <c r="AQ420" s="79"/>
      <c r="AR420" s="79" t="s">
        <v>2897</v>
      </c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</row>
    <row r="421" spans="1:62" ht="15.75" customHeight="1">
      <c r="A421" s="600" t="str">
        <f t="shared" si="215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44"/>
        <v>25233.696925057473</v>
      </c>
      <c r="AA421" s="462"/>
      <c r="AB421" s="462"/>
      <c r="AC421" s="463">
        <f t="shared" si="245"/>
        <v>25233.696925057473</v>
      </c>
      <c r="AD421" s="465"/>
      <c r="AE421" s="482"/>
      <c r="AF421" s="481"/>
      <c r="AG421" s="463">
        <f t="shared" si="246"/>
        <v>21015.16</v>
      </c>
      <c r="AH421" s="464"/>
      <c r="AI421" s="465">
        <f t="shared" si="247"/>
        <v>-4218.5369250574731</v>
      </c>
      <c r="AJ421" s="483">
        <f t="shared" si="248"/>
        <v>-0.16717871097470452</v>
      </c>
      <c r="AK421" s="482"/>
      <c r="AL421" s="462"/>
      <c r="AM421" s="463">
        <f t="shared" si="249"/>
        <v>25374.29</v>
      </c>
      <c r="AN421" s="467"/>
      <c r="AO421" s="465">
        <f t="shared" si="242"/>
        <v>-4359.130000000001</v>
      </c>
      <c r="AP421" s="468">
        <f t="shared" si="243"/>
        <v>-0.17179318120822301</v>
      </c>
      <c r="AQ421" s="79"/>
      <c r="AR421" s="79" t="s">
        <v>2887</v>
      </c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</row>
    <row r="422" spans="1:62" ht="15.75" customHeight="1">
      <c r="A422" s="600" t="str">
        <f t="shared" si="215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44"/>
        <v>43666.343229793099</v>
      </c>
      <c r="AA422" s="472"/>
      <c r="AB422" s="472"/>
      <c r="AC422" s="87">
        <f t="shared" si="245"/>
        <v>43666.343229793099</v>
      </c>
      <c r="AD422" s="474"/>
      <c r="AE422" s="479"/>
      <c r="AF422" s="478"/>
      <c r="AG422" s="87">
        <f t="shared" si="246"/>
        <v>50200.78</v>
      </c>
      <c r="AH422" s="473"/>
      <c r="AI422" s="474">
        <f t="shared" si="247"/>
        <v>6534.4367702068994</v>
      </c>
      <c r="AJ422" s="475">
        <f t="shared" si="248"/>
        <v>0.14964469856840495</v>
      </c>
      <c r="AK422" s="479"/>
      <c r="AL422" s="472"/>
      <c r="AM422" s="87">
        <f t="shared" si="249"/>
        <v>44295.43</v>
      </c>
      <c r="AN422" s="476"/>
      <c r="AO422" s="474">
        <f t="shared" si="242"/>
        <v>5905.3499999999985</v>
      </c>
      <c r="AP422" s="231">
        <f t="shared" si="243"/>
        <v>0.13331736479361411</v>
      </c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</row>
    <row r="423" spans="1:62" ht="15.75" customHeight="1">
      <c r="A423" s="600" t="str">
        <f t="shared" si="215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44"/>
        <v>33973.008648275863</v>
      </c>
      <c r="AA423" s="472"/>
      <c r="AB423" s="472"/>
      <c r="AC423" s="87">
        <f t="shared" si="245"/>
        <v>33973.008648275863</v>
      </c>
      <c r="AD423" s="474"/>
      <c r="AE423" s="479"/>
      <c r="AF423" s="478"/>
      <c r="AG423" s="87">
        <f t="shared" si="246"/>
        <v>24615.4</v>
      </c>
      <c r="AH423" s="473"/>
      <c r="AI423" s="474">
        <f t="shared" si="247"/>
        <v>-9357.6086482758619</v>
      </c>
      <c r="AJ423" s="475">
        <f t="shared" si="248"/>
        <v>-0.27544244741923268</v>
      </c>
      <c r="AK423" s="479"/>
      <c r="AL423" s="472"/>
      <c r="AM423" s="87">
        <f t="shared" si="249"/>
        <v>23962.38</v>
      </c>
      <c r="AN423" s="476"/>
      <c r="AO423" s="474">
        <f t="shared" si="242"/>
        <v>653.02000000000044</v>
      </c>
      <c r="AP423" s="231">
        <f t="shared" si="243"/>
        <v>2.7251883994828578E-2</v>
      </c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</row>
    <row r="424" spans="1:62" s="600" customFormat="1" ht="15.75" customHeight="1">
      <c r="A424" s="600" t="str">
        <f t="shared" si="215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44"/>
        <v>0</v>
      </c>
      <c r="AA424" s="472"/>
      <c r="AB424" s="472"/>
      <c r="AC424" s="87">
        <f t="shared" si="245"/>
        <v>0</v>
      </c>
      <c r="AD424" s="474"/>
      <c r="AE424" s="479"/>
      <c r="AF424" s="478"/>
      <c r="AG424" s="87">
        <f t="shared" si="246"/>
        <v>0</v>
      </c>
      <c r="AH424" s="473"/>
      <c r="AI424" s="474">
        <f t="shared" ref="AI424:AI426" si="250">AG424-AC424</f>
        <v>0</v>
      </c>
      <c r="AJ424" s="475">
        <f t="shared" ref="AJ424:AJ426" si="251">IF(AC424=0,0,AI424/AC424)</f>
        <v>0</v>
      </c>
      <c r="AK424" s="479"/>
      <c r="AL424" s="472"/>
      <c r="AM424" s="87">
        <f t="shared" si="249"/>
        <v>0</v>
      </c>
      <c r="AN424" s="476"/>
      <c r="AO424" s="474">
        <f t="shared" ref="AO424:AO426" si="252">AG424-AM424</f>
        <v>0</v>
      </c>
      <c r="AP424" s="231">
        <f t="shared" ref="AP424:AP426" si="253">IF(AM424=0,0,AO424/AM424)</f>
        <v>0</v>
      </c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</row>
    <row r="425" spans="1:62" s="600" customFormat="1" ht="15.75" customHeight="1">
      <c r="A425" s="600" t="str">
        <f t="shared" si="215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44"/>
        <v>0</v>
      </c>
      <c r="AA425" s="472"/>
      <c r="AB425" s="472"/>
      <c r="AC425" s="87">
        <f t="shared" si="245"/>
        <v>0</v>
      </c>
      <c r="AD425" s="474"/>
      <c r="AE425" s="479"/>
      <c r="AF425" s="478"/>
      <c r="AG425" s="87">
        <f t="shared" si="246"/>
        <v>0</v>
      </c>
      <c r="AH425" s="473"/>
      <c r="AI425" s="474">
        <f t="shared" si="250"/>
        <v>0</v>
      </c>
      <c r="AJ425" s="475">
        <f t="shared" si="251"/>
        <v>0</v>
      </c>
      <c r="AK425" s="479"/>
      <c r="AL425" s="472"/>
      <c r="AM425" s="87">
        <f t="shared" si="249"/>
        <v>0</v>
      </c>
      <c r="AN425" s="476"/>
      <c r="AO425" s="474">
        <f t="shared" si="252"/>
        <v>0</v>
      </c>
      <c r="AP425" s="231">
        <f t="shared" si="253"/>
        <v>0</v>
      </c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</row>
    <row r="426" spans="1:62" s="600" customFormat="1" ht="15.75" customHeight="1">
      <c r="A426" s="600" t="str">
        <f t="shared" si="215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44"/>
        <v>0</v>
      </c>
      <c r="AA426" s="472"/>
      <c r="AB426" s="472"/>
      <c r="AC426" s="87">
        <f t="shared" si="245"/>
        <v>0</v>
      </c>
      <c r="AD426" s="474"/>
      <c r="AE426" s="479"/>
      <c r="AF426" s="478"/>
      <c r="AG426" s="87">
        <f t="shared" si="246"/>
        <v>0</v>
      </c>
      <c r="AH426" s="473"/>
      <c r="AI426" s="474">
        <f t="shared" si="250"/>
        <v>0</v>
      </c>
      <c r="AJ426" s="475">
        <f t="shared" si="251"/>
        <v>0</v>
      </c>
      <c r="AK426" s="479"/>
      <c r="AL426" s="472"/>
      <c r="AM426" s="87">
        <f t="shared" si="249"/>
        <v>0</v>
      </c>
      <c r="AN426" s="476"/>
      <c r="AO426" s="474">
        <f t="shared" si="252"/>
        <v>0</v>
      </c>
      <c r="AP426" s="231">
        <f t="shared" si="253"/>
        <v>0</v>
      </c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</row>
    <row r="427" spans="1:62" ht="15.75" customHeight="1">
      <c r="A427" s="600" t="str">
        <f t="shared" si="215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44"/>
        <v>34942.936938664985</v>
      </c>
      <c r="AA427" s="462"/>
      <c r="AB427" s="462"/>
      <c r="AC427" s="463">
        <f t="shared" si="245"/>
        <v>34942.936938664985</v>
      </c>
      <c r="AD427" s="465"/>
      <c r="AE427" s="482"/>
      <c r="AF427" s="481"/>
      <c r="AG427" s="463">
        <f t="shared" si="246"/>
        <v>22034.920000000002</v>
      </c>
      <c r="AH427" s="464"/>
      <c r="AI427" s="465">
        <f t="shared" ref="AI427:AI430" si="254">AG427-AC427</f>
        <v>-12908.016938664983</v>
      </c>
      <c r="AJ427" s="483">
        <f t="shared" si="248"/>
        <v>-0.36940274829566577</v>
      </c>
      <c r="AK427" s="482"/>
      <c r="AL427" s="462"/>
      <c r="AM427" s="463">
        <f t="shared" si="249"/>
        <v>36767.710000000006</v>
      </c>
      <c r="AN427" s="467"/>
      <c r="AO427" s="465">
        <f t="shared" ref="AO427:AO430" si="255">AG427-AM427</f>
        <v>-14732.790000000005</v>
      </c>
      <c r="AP427" s="232">
        <f t="shared" ref="AP427:AP430" si="256">IF(AM427=0,0,AO427/AM427)</f>
        <v>-0.40069914607137624</v>
      </c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</row>
    <row r="428" spans="1:62" ht="15.75" customHeight="1">
      <c r="A428" s="600" t="str">
        <f t="shared" si="215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44"/>
        <v>34942.936938664985</v>
      </c>
      <c r="AA428" s="472"/>
      <c r="AB428" s="472"/>
      <c r="AC428" s="87">
        <f t="shared" si="245"/>
        <v>34942.936938664985</v>
      </c>
      <c r="AD428" s="474"/>
      <c r="AE428" s="479"/>
      <c r="AF428" s="478"/>
      <c r="AG428" s="87">
        <f t="shared" si="246"/>
        <v>31766.530000000002</v>
      </c>
      <c r="AH428" s="473"/>
      <c r="AI428" s="474">
        <f t="shared" si="254"/>
        <v>-3176.4069386649826</v>
      </c>
      <c r="AJ428" s="475">
        <f t="shared" si="248"/>
        <v>-9.0902689268520853E-2</v>
      </c>
      <c r="AK428" s="479"/>
      <c r="AL428" s="472"/>
      <c r="AM428" s="87">
        <f t="shared" si="249"/>
        <v>28614.859999999997</v>
      </c>
      <c r="AN428" s="476"/>
      <c r="AO428" s="474">
        <f t="shared" si="255"/>
        <v>3151.6700000000055</v>
      </c>
      <c r="AP428" s="231">
        <f t="shared" si="256"/>
        <v>0.11014102462846248</v>
      </c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</row>
    <row r="429" spans="1:62" ht="15.75" customHeight="1">
      <c r="A429" s="600" t="str">
        <f t="shared" si="215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44"/>
        <v>25042.438139376573</v>
      </c>
      <c r="AA429" s="472"/>
      <c r="AB429" s="472"/>
      <c r="AC429" s="87">
        <f t="shared" si="245"/>
        <v>25042.438139376573</v>
      </c>
      <c r="AD429" s="474"/>
      <c r="AE429" s="479"/>
      <c r="AF429" s="478"/>
      <c r="AG429" s="87">
        <f t="shared" si="246"/>
        <v>18505.86</v>
      </c>
      <c r="AH429" s="473"/>
      <c r="AI429" s="474">
        <f t="shared" si="254"/>
        <v>-6536.5781393765719</v>
      </c>
      <c r="AJ429" s="475">
        <f t="shared" si="248"/>
        <v>-0.26102003738599627</v>
      </c>
      <c r="AK429" s="479"/>
      <c r="AL429" s="472"/>
      <c r="AM429" s="87">
        <f t="shared" si="249"/>
        <v>23722.65</v>
      </c>
      <c r="AN429" s="476"/>
      <c r="AO429" s="474">
        <f t="shared" si="255"/>
        <v>-5216.7900000000009</v>
      </c>
      <c r="AP429" s="231">
        <f t="shared" si="256"/>
        <v>-0.21990755670213913</v>
      </c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</row>
    <row r="430" spans="1:62" ht="15.75" customHeight="1">
      <c r="A430" s="600" t="str">
        <f t="shared" si="215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44"/>
        <v>5823.8228231108315</v>
      </c>
      <c r="AA430" s="472"/>
      <c r="AB430" s="472"/>
      <c r="AC430" s="87">
        <f t="shared" si="245"/>
        <v>5823.8228231108315</v>
      </c>
      <c r="AD430" s="474"/>
      <c r="AE430" s="479"/>
      <c r="AF430" s="478"/>
      <c r="AG430" s="87">
        <f t="shared" si="246"/>
        <v>5020.3100000000004</v>
      </c>
      <c r="AH430" s="473"/>
      <c r="AI430" s="474">
        <f t="shared" si="254"/>
        <v>-803.51282311083105</v>
      </c>
      <c r="AJ430" s="97">
        <f t="shared" si="248"/>
        <v>-0.13796999797490914</v>
      </c>
      <c r="AK430" s="479"/>
      <c r="AL430" s="472"/>
      <c r="AM430" s="87">
        <f t="shared" si="249"/>
        <v>11489.880000000001</v>
      </c>
      <c r="AN430" s="476"/>
      <c r="AO430" s="474">
        <f t="shared" si="255"/>
        <v>-6469.5700000000006</v>
      </c>
      <c r="AP430" s="231">
        <f t="shared" si="256"/>
        <v>-0.56306680313458457</v>
      </c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</row>
    <row r="431" spans="1:62" ht="15.75" customHeight="1">
      <c r="A431" s="600" t="str">
        <f t="shared" si="215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44"/>
        <v>0</v>
      </c>
      <c r="AA431" s="472"/>
      <c r="AB431" s="478"/>
      <c r="AC431" s="87">
        <f t="shared" si="245"/>
        <v>0</v>
      </c>
      <c r="AD431" s="474"/>
      <c r="AE431" s="479"/>
      <c r="AF431" s="478"/>
      <c r="AG431" s="87">
        <f t="shared" si="246"/>
        <v>0</v>
      </c>
      <c r="AH431" s="473"/>
      <c r="AI431" s="474"/>
      <c r="AJ431" s="475"/>
      <c r="AK431" s="479"/>
      <c r="AL431" s="474"/>
      <c r="AM431" s="87">
        <f t="shared" si="249"/>
        <v>0</v>
      </c>
      <c r="AN431" s="476"/>
      <c r="AO431" s="474"/>
      <c r="AP431" s="232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</row>
    <row r="432" spans="1:62" ht="15.75" customHeight="1">
      <c r="A432" s="600" t="str">
        <f t="shared" si="215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3"/>
      <c r="AE432" s="91">
        <f>AG432/AG406</f>
        <v>0.708638329211431</v>
      </c>
      <c r="AF432" s="98"/>
      <c r="AG432" s="90">
        <f>SUM(AG419:AG431)</f>
        <v>210762.72999999998</v>
      </c>
      <c r="AH432" s="99"/>
      <c r="AI432" s="93">
        <f t="shared" ref="AI432:AI446" si="257">AG432-AC432</f>
        <v>-44839.004723666178</v>
      </c>
      <c r="AJ432" s="89">
        <f>AI432/AC432</f>
        <v>-0.17542527546670258</v>
      </c>
      <c r="AK432" s="91">
        <f>IF($AM$406=0,0,AM432/$AM$406)</f>
        <v>0.7145689148146277</v>
      </c>
      <c r="AL432" s="88"/>
      <c r="AM432" s="90">
        <f>SUM(AM419:AM431)</f>
        <v>257300.55999999997</v>
      </c>
      <c r="AN432" s="100"/>
      <c r="AO432" s="93">
        <f t="shared" ref="AO432:AO446" si="258">AG432-AM432</f>
        <v>-46537.829999999987</v>
      </c>
      <c r="AP432" s="470">
        <f>IF(AM432=0,0,AO432/AM432)</f>
        <v>-0.18086952473014437</v>
      </c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</row>
    <row r="433" spans="1:63" ht="15.75" customHeight="1">
      <c r="A433" s="600" t="str">
        <f t="shared" si="215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59">+SUMIF($C:$C,$V433,F:F)</f>
        <v>10881.833333333332</v>
      </c>
      <c r="AA433" s="486"/>
      <c r="AB433" s="486"/>
      <c r="AC433" s="487">
        <f t="shared" ref="AC433:AC450" si="260">+SUMIF($C:$C,$V433,I:I)</f>
        <v>10881.833333333332</v>
      </c>
      <c r="AD433" s="490"/>
      <c r="AE433" s="488"/>
      <c r="AF433" s="489"/>
      <c r="AG433" s="487">
        <f t="shared" ref="AG433:AG450" si="261">+SUMIF($C:$C,$V433,L:L)</f>
        <v>11345.369999999999</v>
      </c>
      <c r="AH433" s="488"/>
      <c r="AI433" s="490">
        <f t="shared" si="257"/>
        <v>463.53666666666686</v>
      </c>
      <c r="AJ433" s="491">
        <f>IF(AC433=0,0,AI433/AC433)</f>
        <v>4.2597295186166569E-2</v>
      </c>
      <c r="AK433" s="488"/>
      <c r="AL433" s="486"/>
      <c r="AM433" s="487">
        <f t="shared" ref="AM433:AM450" si="262">+SUMIF($C:$C,$V433,Q:Q)</f>
        <v>17392.949999999997</v>
      </c>
      <c r="AN433" s="492"/>
      <c r="AO433" s="490">
        <f t="shared" si="258"/>
        <v>-6047.5799999999981</v>
      </c>
      <c r="AP433" s="230">
        <f t="shared" ref="AP433:AP446" si="263">IF(AM433=0,0,AO433/AM433)</f>
        <v>-0.34770294860848788</v>
      </c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</row>
    <row r="434" spans="1:63" ht="15.75" customHeight="1">
      <c r="A434" s="600" t="str">
        <f t="shared" si="215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59"/>
        <v>4410.3140789863637</v>
      </c>
      <c r="AA434" s="472"/>
      <c r="AB434" s="472"/>
      <c r="AC434" s="87">
        <f t="shared" si="260"/>
        <v>4410.3140789863637</v>
      </c>
      <c r="AD434" s="474"/>
      <c r="AE434" s="479"/>
      <c r="AF434" s="478"/>
      <c r="AG434" s="87">
        <f t="shared" si="261"/>
        <v>324.87</v>
      </c>
      <c r="AH434" s="473"/>
      <c r="AI434" s="474">
        <f t="shared" si="257"/>
        <v>-4085.4440789863638</v>
      </c>
      <c r="AJ434" s="475">
        <f t="shared" ref="AJ434:AJ446" si="264">IF(AC434=0,0,AI434/AC434)</f>
        <v>-0.9263385794794311</v>
      </c>
      <c r="AK434" s="479"/>
      <c r="AL434" s="472"/>
      <c r="AM434" s="87">
        <f t="shared" si="262"/>
        <v>1139.1399999999999</v>
      </c>
      <c r="AN434" s="476"/>
      <c r="AO434" s="474">
        <f t="shared" si="258"/>
        <v>-814.26999999999987</v>
      </c>
      <c r="AP434" s="231">
        <f t="shared" si="263"/>
        <v>-0.71481117334129252</v>
      </c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</row>
    <row r="435" spans="1:63" ht="15.75" customHeight="1">
      <c r="A435" s="600" t="str">
        <f t="shared" si="215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59"/>
        <v>26652.437500000004</v>
      </c>
      <c r="AA435" s="462"/>
      <c r="AB435" s="462"/>
      <c r="AC435" s="463">
        <f t="shared" si="260"/>
        <v>26652.437500000004</v>
      </c>
      <c r="AD435" s="465"/>
      <c r="AE435" s="482"/>
      <c r="AF435" s="481"/>
      <c r="AG435" s="463">
        <f t="shared" si="261"/>
        <v>18132.73</v>
      </c>
      <c r="AH435" s="464"/>
      <c r="AI435" s="465">
        <f t="shared" si="257"/>
        <v>-8519.7075000000041</v>
      </c>
      <c r="AJ435" s="483">
        <f t="shared" si="264"/>
        <v>-0.31965959961448193</v>
      </c>
      <c r="AK435" s="482"/>
      <c r="AL435" s="462"/>
      <c r="AM435" s="463">
        <f t="shared" si="262"/>
        <v>32151.829999999998</v>
      </c>
      <c r="AN435" s="467"/>
      <c r="AO435" s="465">
        <f t="shared" si="258"/>
        <v>-14019.099999999999</v>
      </c>
      <c r="AP435" s="468">
        <f t="shared" si="263"/>
        <v>-0.43602805812297463</v>
      </c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</row>
    <row r="436" spans="1:63" ht="15.75" customHeight="1">
      <c r="A436" s="600" t="str">
        <f t="shared" si="215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59"/>
        <v>19483.113333333335</v>
      </c>
      <c r="AA436" s="472"/>
      <c r="AB436" s="472"/>
      <c r="AC436" s="87">
        <f t="shared" si="260"/>
        <v>19483.113333333335</v>
      </c>
      <c r="AD436" s="474"/>
      <c r="AE436" s="479"/>
      <c r="AF436" s="478"/>
      <c r="AG436" s="87">
        <f t="shared" si="261"/>
        <v>17343.57</v>
      </c>
      <c r="AH436" s="473"/>
      <c r="AI436" s="474">
        <f t="shared" si="257"/>
        <v>-2139.5433333333349</v>
      </c>
      <c r="AJ436" s="475">
        <f t="shared" si="264"/>
        <v>-0.10981526908601541</v>
      </c>
      <c r="AK436" s="479"/>
      <c r="AL436" s="472"/>
      <c r="AM436" s="87">
        <f t="shared" si="262"/>
        <v>19200.900000000001</v>
      </c>
      <c r="AN436" s="476"/>
      <c r="AO436" s="474">
        <f t="shared" si="258"/>
        <v>-1857.3300000000017</v>
      </c>
      <c r="AP436" s="231">
        <f t="shared" si="263"/>
        <v>-9.6731403215474354E-2</v>
      </c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</row>
    <row r="437" spans="1:63" ht="15.75" customHeight="1">
      <c r="A437" s="600" t="str">
        <f t="shared" si="215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59"/>
        <v>4989.0524999999998</v>
      </c>
      <c r="AA437" s="472"/>
      <c r="AB437" s="472"/>
      <c r="AC437" s="87">
        <f t="shared" si="260"/>
        <v>4989.0524999999998</v>
      </c>
      <c r="AD437" s="474"/>
      <c r="AE437" s="479"/>
      <c r="AF437" s="478"/>
      <c r="AG437" s="87">
        <f t="shared" si="261"/>
        <v>230.06</v>
      </c>
      <c r="AH437" s="473"/>
      <c r="AI437" s="474">
        <f t="shared" si="257"/>
        <v>-4758.9924999999994</v>
      </c>
      <c r="AJ437" s="475">
        <f t="shared" si="264"/>
        <v>-0.95388703566458755</v>
      </c>
      <c r="AK437" s="479"/>
      <c r="AL437" s="472"/>
      <c r="AM437" s="87">
        <f t="shared" si="262"/>
        <v>6077.0000000000009</v>
      </c>
      <c r="AN437" s="476"/>
      <c r="AO437" s="474">
        <f t="shared" si="258"/>
        <v>-5846.9400000000005</v>
      </c>
      <c r="AP437" s="231">
        <f t="shared" si="263"/>
        <v>-0.96214250452525907</v>
      </c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</row>
    <row r="438" spans="1:63" ht="15.75" customHeight="1">
      <c r="A438" s="600" t="str">
        <f t="shared" si="215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59"/>
        <v>23987.578033333331</v>
      </c>
      <c r="AA438" s="472"/>
      <c r="AB438" s="472"/>
      <c r="AC438" s="87">
        <f t="shared" si="260"/>
        <v>23987.578033333331</v>
      </c>
      <c r="AD438" s="474"/>
      <c r="AE438" s="479"/>
      <c r="AF438" s="478"/>
      <c r="AG438" s="87">
        <f t="shared" si="261"/>
        <v>13891.41</v>
      </c>
      <c r="AH438" s="473"/>
      <c r="AI438" s="474">
        <f t="shared" si="257"/>
        <v>-10096.168033333332</v>
      </c>
      <c r="AJ438" s="475">
        <f t="shared" si="264"/>
        <v>-0.42089151390372198</v>
      </c>
      <c r="AK438" s="479"/>
      <c r="AL438" s="472"/>
      <c r="AM438" s="87">
        <f t="shared" si="262"/>
        <v>30162.68</v>
      </c>
      <c r="AN438" s="476"/>
      <c r="AO438" s="474">
        <f t="shared" si="258"/>
        <v>-16271.27</v>
      </c>
      <c r="AP438" s="231">
        <f t="shared" si="263"/>
        <v>-0.53945040692670543</v>
      </c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</row>
    <row r="439" spans="1:63" s="600" customFormat="1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59"/>
        <v>0</v>
      </c>
      <c r="AA439" s="783"/>
      <c r="AB439" s="783"/>
      <c r="AC439" s="784">
        <f t="shared" si="260"/>
        <v>0</v>
      </c>
      <c r="AD439" s="788"/>
      <c r="AE439" s="785"/>
      <c r="AF439" s="786"/>
      <c r="AG439" s="784">
        <f t="shared" si="261"/>
        <v>0</v>
      </c>
      <c r="AH439" s="787"/>
      <c r="AI439" s="788">
        <f t="shared" ref="AI439" si="265">AG439-AC439</f>
        <v>0</v>
      </c>
      <c r="AJ439" s="789">
        <f t="shared" ref="AJ439" si="266">IF(AC439=0,0,AI439/AC439)</f>
        <v>0</v>
      </c>
      <c r="AK439" s="785"/>
      <c r="AL439" s="783"/>
      <c r="AM439" s="784">
        <f t="shared" si="262"/>
        <v>0</v>
      </c>
      <c r="AN439" s="790"/>
      <c r="AO439" s="788">
        <f t="shared" ref="AO439" si="267">AG439-AM439</f>
        <v>0</v>
      </c>
      <c r="AP439" s="791">
        <f t="shared" ref="AP439" si="268">IF(AM439=0,0,AO439/AM439)</f>
        <v>0</v>
      </c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</row>
    <row r="440" spans="1:63" ht="15.75" customHeight="1">
      <c r="A440" s="600" t="str">
        <f t="shared" si="215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59"/>
        <v>997.68078981366978</v>
      </c>
      <c r="AA440" s="472"/>
      <c r="AB440" s="478"/>
      <c r="AC440" s="87">
        <f t="shared" si="260"/>
        <v>997.68078981366978</v>
      </c>
      <c r="AD440" s="474"/>
      <c r="AE440" s="479"/>
      <c r="AF440" s="478"/>
      <c r="AG440" s="87">
        <f t="shared" si="261"/>
        <v>2332.67</v>
      </c>
      <c r="AH440" s="473"/>
      <c r="AI440" s="474">
        <f t="shared" si="257"/>
        <v>1334.9892101863302</v>
      </c>
      <c r="AJ440" s="475">
        <f t="shared" si="264"/>
        <v>1.3380925280075375</v>
      </c>
      <c r="AK440" s="479"/>
      <c r="AL440" s="472"/>
      <c r="AM440" s="87">
        <f t="shared" si="262"/>
        <v>837</v>
      </c>
      <c r="AN440" s="476"/>
      <c r="AO440" s="474">
        <f t="shared" si="258"/>
        <v>1495.67</v>
      </c>
      <c r="AP440" s="231">
        <f t="shared" si="263"/>
        <v>1.7869414575866189</v>
      </c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</row>
    <row r="441" spans="1:63" ht="15.75" customHeight="1">
      <c r="A441" s="600" t="str">
        <f t="shared" si="215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59"/>
        <v>1515</v>
      </c>
      <c r="AA441" s="472"/>
      <c r="AB441" s="472"/>
      <c r="AC441" s="87">
        <f t="shared" si="260"/>
        <v>1515</v>
      </c>
      <c r="AD441" s="474"/>
      <c r="AE441" s="479"/>
      <c r="AF441" s="478"/>
      <c r="AG441" s="87">
        <f t="shared" si="261"/>
        <v>509.73</v>
      </c>
      <c r="AH441" s="473"/>
      <c r="AI441" s="474">
        <f t="shared" si="257"/>
        <v>-1005.27</v>
      </c>
      <c r="AJ441" s="97">
        <f t="shared" si="264"/>
        <v>-0.66354455445544558</v>
      </c>
      <c r="AK441" s="479"/>
      <c r="AL441" s="472"/>
      <c r="AM441" s="87">
        <f t="shared" si="262"/>
        <v>1515</v>
      </c>
      <c r="AN441" s="476"/>
      <c r="AO441" s="474">
        <f t="shared" si="258"/>
        <v>-1005.27</v>
      </c>
      <c r="AP441" s="231">
        <f t="shared" si="263"/>
        <v>-0.66354455445544558</v>
      </c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</row>
    <row r="442" spans="1:63" ht="15.75" customHeight="1">
      <c r="A442" s="600" t="str">
        <f t="shared" si="215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59"/>
        <v>2180</v>
      </c>
      <c r="AA442" s="472"/>
      <c r="AB442" s="472"/>
      <c r="AC442" s="87">
        <f t="shared" si="260"/>
        <v>2180</v>
      </c>
      <c r="AD442" s="474"/>
      <c r="AE442" s="479"/>
      <c r="AF442" s="478"/>
      <c r="AG442" s="87">
        <f t="shared" si="261"/>
        <v>1007.3100000000001</v>
      </c>
      <c r="AH442" s="473"/>
      <c r="AI442" s="474">
        <f t="shared" si="257"/>
        <v>-1172.69</v>
      </c>
      <c r="AJ442" s="475">
        <f t="shared" si="264"/>
        <v>-0.53793119266055045</v>
      </c>
      <c r="AK442" s="479"/>
      <c r="AL442" s="472"/>
      <c r="AM442" s="87">
        <f t="shared" si="262"/>
        <v>1850</v>
      </c>
      <c r="AN442" s="476"/>
      <c r="AO442" s="474">
        <f t="shared" si="258"/>
        <v>-842.68999999999994</v>
      </c>
      <c r="AP442" s="231">
        <f t="shared" si="263"/>
        <v>-0.4555081081081081</v>
      </c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</row>
    <row r="443" spans="1:63" ht="15.75" customHeight="1">
      <c r="A443" s="600" t="str">
        <f t="shared" si="215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59"/>
        <v>1949.1</v>
      </c>
      <c r="AA443" s="472"/>
      <c r="AB443" s="472"/>
      <c r="AC443" s="87">
        <f t="shared" si="260"/>
        <v>1949.1</v>
      </c>
      <c r="AD443" s="474"/>
      <c r="AE443" s="479"/>
      <c r="AF443" s="478"/>
      <c r="AG443" s="87">
        <f t="shared" si="261"/>
        <v>1363.01</v>
      </c>
      <c r="AH443" s="473"/>
      <c r="AI443" s="474">
        <f t="shared" si="257"/>
        <v>-586.08999999999992</v>
      </c>
      <c r="AJ443" s="97">
        <f t="shared" si="264"/>
        <v>-0.30069775793956183</v>
      </c>
      <c r="AK443" s="479"/>
      <c r="AL443" s="472"/>
      <c r="AM443" s="87">
        <f t="shared" si="262"/>
        <v>1572.7199999999998</v>
      </c>
      <c r="AN443" s="476"/>
      <c r="AO443" s="474">
        <f t="shared" si="258"/>
        <v>-209.70999999999981</v>
      </c>
      <c r="AP443" s="231">
        <f t="shared" si="263"/>
        <v>-0.13334223510860155</v>
      </c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</row>
    <row r="444" spans="1:63" ht="15.75" customHeight="1">
      <c r="A444" s="600" t="str">
        <f t="shared" si="215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59"/>
        <v>865</v>
      </c>
      <c r="AA444" s="472"/>
      <c r="AB444" s="472"/>
      <c r="AC444" s="87">
        <f t="shared" si="260"/>
        <v>865</v>
      </c>
      <c r="AD444" s="474"/>
      <c r="AE444" s="479"/>
      <c r="AF444" s="478"/>
      <c r="AG444" s="87">
        <f t="shared" si="261"/>
        <v>183.03</v>
      </c>
      <c r="AH444" s="473"/>
      <c r="AI444" s="474">
        <f t="shared" si="257"/>
        <v>-681.97</v>
      </c>
      <c r="AJ444" s="475">
        <f t="shared" si="264"/>
        <v>-0.78840462427745672</v>
      </c>
      <c r="AK444" s="479"/>
      <c r="AL444" s="472"/>
      <c r="AM444" s="87">
        <f t="shared" si="262"/>
        <v>662.24</v>
      </c>
      <c r="AN444" s="476"/>
      <c r="AO444" s="474">
        <f t="shared" si="258"/>
        <v>-479.21000000000004</v>
      </c>
      <c r="AP444" s="231">
        <f t="shared" si="263"/>
        <v>-0.72361983570910848</v>
      </c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</row>
    <row r="445" spans="1:63" ht="15.75" customHeight="1">
      <c r="A445" s="600" t="str">
        <f t="shared" si="215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59"/>
        <v>3891</v>
      </c>
      <c r="AA445" s="472"/>
      <c r="AB445" s="478"/>
      <c r="AC445" s="87">
        <f t="shared" si="260"/>
        <v>3891</v>
      </c>
      <c r="AD445" s="474"/>
      <c r="AE445" s="479"/>
      <c r="AF445" s="478"/>
      <c r="AG445" s="87">
        <f t="shared" si="261"/>
        <v>788.43</v>
      </c>
      <c r="AH445" s="473"/>
      <c r="AI445" s="474">
        <f t="shared" si="257"/>
        <v>-3102.57</v>
      </c>
      <c r="AJ445" s="97">
        <f t="shared" si="264"/>
        <v>-0.79737085582112577</v>
      </c>
      <c r="AK445" s="479"/>
      <c r="AL445" s="472"/>
      <c r="AM445" s="87">
        <f t="shared" si="262"/>
        <v>5329</v>
      </c>
      <c r="AN445" s="476"/>
      <c r="AO445" s="474">
        <f t="shared" si="258"/>
        <v>-4540.57</v>
      </c>
      <c r="AP445" s="231">
        <f t="shared" si="263"/>
        <v>-0.85204916494651894</v>
      </c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</row>
    <row r="446" spans="1:63" ht="15.75" customHeight="1">
      <c r="A446" s="600" t="str">
        <f t="shared" si="215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59"/>
        <v>3188.5833333333335</v>
      </c>
      <c r="AA446" s="472"/>
      <c r="AB446" s="478"/>
      <c r="AC446" s="87">
        <f t="shared" si="260"/>
        <v>3188.5833333333335</v>
      </c>
      <c r="AD446" s="474"/>
      <c r="AE446" s="479"/>
      <c r="AF446" s="478"/>
      <c r="AG446" s="87">
        <f t="shared" si="261"/>
        <v>1271.0400000000002</v>
      </c>
      <c r="AH446" s="473"/>
      <c r="AI446" s="474">
        <f t="shared" si="257"/>
        <v>-1917.5433333333333</v>
      </c>
      <c r="AJ446" s="475">
        <f t="shared" si="264"/>
        <v>-0.60137783237069753</v>
      </c>
      <c r="AK446" s="479"/>
      <c r="AL446" s="472"/>
      <c r="AM446" s="87">
        <f t="shared" si="262"/>
        <v>7762.5</v>
      </c>
      <c r="AN446" s="476"/>
      <c r="AO446" s="474">
        <f t="shared" si="258"/>
        <v>-6491.46</v>
      </c>
      <c r="AP446" s="231">
        <f t="shared" si="263"/>
        <v>-0.83625893719806765</v>
      </c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</row>
    <row r="447" spans="1:63" s="600" customFormat="1" ht="15.75" customHeight="1">
      <c r="A447" s="600" t="str">
        <f t="shared" si="215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59"/>
        <v>6523.9807276844222</v>
      </c>
      <c r="AA447" s="472"/>
      <c r="AB447" s="478"/>
      <c r="AC447" s="87">
        <f t="shared" si="260"/>
        <v>6523.9807276844222</v>
      </c>
      <c r="AD447" s="474"/>
      <c r="AE447" s="479"/>
      <c r="AF447" s="478"/>
      <c r="AG447" s="87">
        <f>BV_Data_An_Cour!O390</f>
        <v>4281.22</v>
      </c>
      <c r="AH447" s="473"/>
      <c r="AI447" s="474">
        <f t="shared" ref="AI447:AI450" si="269">AG447-AC447</f>
        <v>-2242.7607276844219</v>
      </c>
      <c r="AJ447" s="475">
        <f t="shared" ref="AJ447:AJ450" si="270">IF(AC447=0,0,AI447/AC447)</f>
        <v>-0.3437718198901627</v>
      </c>
      <c r="AK447" s="479"/>
      <c r="AL447" s="472"/>
      <c r="AM447" s="87">
        <f t="shared" si="262"/>
        <v>5310.96</v>
      </c>
      <c r="AN447" s="476"/>
      <c r="AO447" s="474">
        <f t="shared" ref="AO447:AO450" si="271">AG447-AM447</f>
        <v>-1029.7399999999998</v>
      </c>
      <c r="AP447" s="231">
        <f t="shared" ref="AP447:AP450" si="272">IF(AM447=0,0,AO447/AM447)</f>
        <v>-0.19388961694307616</v>
      </c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</row>
    <row r="448" spans="1:63" s="600" customFormat="1" ht="15.75" customHeight="1">
      <c r="A448" s="600" t="str">
        <f t="shared" si="215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59"/>
        <v>0</v>
      </c>
      <c r="AA448" s="472"/>
      <c r="AB448" s="478"/>
      <c r="AC448" s="87">
        <f t="shared" si="260"/>
        <v>0</v>
      </c>
      <c r="AD448" s="474"/>
      <c r="AE448" s="479"/>
      <c r="AF448" s="478"/>
      <c r="AG448" s="87">
        <f t="shared" si="261"/>
        <v>0</v>
      </c>
      <c r="AH448" s="473"/>
      <c r="AI448" s="474">
        <f t="shared" si="269"/>
        <v>0</v>
      </c>
      <c r="AJ448" s="475">
        <f t="shared" si="270"/>
        <v>0</v>
      </c>
      <c r="AK448" s="479"/>
      <c r="AL448" s="472"/>
      <c r="AM448" s="87">
        <f t="shared" si="262"/>
        <v>0</v>
      </c>
      <c r="AN448" s="476"/>
      <c r="AO448" s="474">
        <f t="shared" si="271"/>
        <v>0</v>
      </c>
      <c r="AP448" s="231">
        <f t="shared" si="272"/>
        <v>0</v>
      </c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</row>
    <row r="449" spans="1:63" s="600" customFormat="1" ht="15.75" customHeight="1">
      <c r="A449" s="600" t="str">
        <f t="shared" si="215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59"/>
        <v>0</v>
      </c>
      <c r="AA449" s="472"/>
      <c r="AB449" s="478"/>
      <c r="AC449" s="87">
        <f t="shared" si="260"/>
        <v>0</v>
      </c>
      <c r="AD449" s="474"/>
      <c r="AE449" s="479"/>
      <c r="AF449" s="478"/>
      <c r="AG449" s="87">
        <f t="shared" si="261"/>
        <v>0</v>
      </c>
      <c r="AH449" s="473"/>
      <c r="AI449" s="474">
        <f t="shared" si="269"/>
        <v>0</v>
      </c>
      <c r="AJ449" s="475">
        <f t="shared" si="270"/>
        <v>0</v>
      </c>
      <c r="AK449" s="479"/>
      <c r="AL449" s="472"/>
      <c r="AM449" s="87">
        <f t="shared" si="262"/>
        <v>0</v>
      </c>
      <c r="AN449" s="476"/>
      <c r="AO449" s="474">
        <f t="shared" si="271"/>
        <v>0</v>
      </c>
      <c r="AP449" s="231">
        <f t="shared" si="272"/>
        <v>0</v>
      </c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</row>
    <row r="450" spans="1:63" ht="15.75" customHeight="1">
      <c r="A450" s="600" t="str">
        <f t="shared" si="215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59"/>
        <v>0</v>
      </c>
      <c r="AA450" s="472"/>
      <c r="AB450" s="478"/>
      <c r="AC450" s="87">
        <f t="shared" si="260"/>
        <v>0</v>
      </c>
      <c r="AD450" s="474"/>
      <c r="AE450" s="479"/>
      <c r="AF450" s="478"/>
      <c r="AG450" s="87">
        <f t="shared" si="261"/>
        <v>0</v>
      </c>
      <c r="AH450" s="473"/>
      <c r="AI450" s="474">
        <f t="shared" si="269"/>
        <v>0</v>
      </c>
      <c r="AJ450" s="475">
        <f t="shared" si="270"/>
        <v>0</v>
      </c>
      <c r="AK450" s="479"/>
      <c r="AL450" s="472"/>
      <c r="AM450" s="87">
        <f t="shared" si="262"/>
        <v>0</v>
      </c>
      <c r="AN450" s="476"/>
      <c r="AO450" s="474">
        <f t="shared" si="271"/>
        <v>0</v>
      </c>
      <c r="AP450" s="231">
        <f t="shared" si="272"/>
        <v>0</v>
      </c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</row>
    <row r="451" spans="1:63" ht="15.75" customHeight="1">
      <c r="A451" s="600" t="str">
        <f t="shared" si="215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3"/>
      <c r="AE451" s="91">
        <f>AG451/AG406</f>
        <v>0.24545967625774939</v>
      </c>
      <c r="AF451" s="88"/>
      <c r="AG451" s="90">
        <f>+SUM(AG433:AG450)</f>
        <v>73004.449999999983</v>
      </c>
      <c r="AH451" s="99"/>
      <c r="AI451" s="573">
        <f>+SUM(AI433:AI450)</f>
        <v>-38510.223629817796</v>
      </c>
      <c r="AJ451" s="89">
        <f>AI451/AC451</f>
        <v>-0.34533772441154859</v>
      </c>
      <c r="AK451" s="91">
        <f>IF($AM$406=0,0,AM451/$AM$406)</f>
        <v>0.36370984266132078</v>
      </c>
      <c r="AL451" s="89"/>
      <c r="AM451" s="90">
        <f>+SUM(AM433:AM450)</f>
        <v>130963.92000000001</v>
      </c>
      <c r="AN451" s="100"/>
      <c r="AO451" s="93">
        <f>+SUM(AO433:AO450)</f>
        <v>-57959.47</v>
      </c>
      <c r="AP451" s="670">
        <f>IF(AM451=0,0,AO451/AM451)</f>
        <v>-0.44256059226083028</v>
      </c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</row>
    <row r="452" spans="1:63" ht="15.75" customHeight="1">
      <c r="A452" s="600" t="str">
        <f t="shared" si="215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+INDEX('Budget original'!$A$2:$AO$496,MATCH($A452,'Budget original'!$A$2:$A$496,0),MATCH(F$2,'Budget original'!$A$2:$AO$2,0))</f>
        <v>26000</v>
      </c>
      <c r="AA452" s="472"/>
      <c r="AB452" s="478"/>
      <c r="AC452" s="87">
        <f>+INDEX('Budget révisé'!$A$2:$AO$496,MATCH($A452,'Budget révisé'!$A$2:$A$496,0),MATCH(I$2,'Budget révisé'!$A$2:$AO$2,0))</f>
        <v>26000</v>
      </c>
      <c r="AD452" s="474"/>
      <c r="AE452" s="479"/>
      <c r="AF452" s="478"/>
      <c r="AG452" s="87">
        <f>SUMIFS(BV_Data_An_Cour!$O:$O,BV_Data_An_Cour!$V:$V,$V452)</f>
        <v>26000</v>
      </c>
      <c r="AH452" s="473"/>
      <c r="AI452" s="474">
        <f t="shared" ref="AI452:AI460" si="273">AG452-AC452</f>
        <v>0</v>
      </c>
      <c r="AJ452" s="475">
        <f>IF(AC452=0,0,AI452/AC452)</f>
        <v>0</v>
      </c>
      <c r="AK452" s="479"/>
      <c r="AL452" s="472"/>
      <c r="AM452" s="87">
        <f>SUMIFS(BV_Data_An_Prec!$O:$O,BV_Data_An_Prec!$V:$V,$V452)</f>
        <v>26000.129999999997</v>
      </c>
      <c r="AN452" s="476"/>
      <c r="AO452" s="474">
        <f t="shared" ref="AO452:AO460" si="274">AG452-AM452</f>
        <v>-0.12999999999738066</v>
      </c>
      <c r="AP452" s="231">
        <f t="shared" ref="AP452:AP460" si="275">IF(AM452=0,0,AO452/AM452)</f>
        <v>-4.999975000024256E-6</v>
      </c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</row>
    <row r="453" spans="1:63" ht="15.75" customHeight="1">
      <c r="A453" s="600" t="str">
        <f t="shared" si="215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+INDEX('Budget original'!$A$2:$AO$496,MATCH($A453,'Budget original'!$A$2:$A$496,0),MATCH(F$2,'Budget original'!$A$2:$AO$2,0))</f>
        <v>4810</v>
      </c>
      <c r="AA453" s="472"/>
      <c r="AB453" s="478"/>
      <c r="AC453" s="87">
        <f>+INDEX('Budget révisé'!$A$2:$AO$496,MATCH($A453,'Budget révisé'!$A$2:$A$496,0),MATCH(I$2,'Budget révisé'!$A$2:$AO$2,0))</f>
        <v>4810</v>
      </c>
      <c r="AD453" s="474"/>
      <c r="AE453" s="479"/>
      <c r="AF453" s="478"/>
      <c r="AG453" s="87">
        <f>SUMIFS(BV_Data_An_Cour!$O:$O,BV_Data_An_Cour!$V:$V,$V453)</f>
        <v>4810</v>
      </c>
      <c r="AH453" s="473"/>
      <c r="AI453" s="474">
        <f t="shared" si="273"/>
        <v>0</v>
      </c>
      <c r="AJ453" s="475">
        <f t="shared" ref="AJ453:AJ460" si="276">IF(AC453=0,0,AI453/AC453)</f>
        <v>0</v>
      </c>
      <c r="AK453" s="479"/>
      <c r="AL453" s="472"/>
      <c r="AM453" s="87">
        <f>SUMIFS(BV_Data_An_Prec!$O:$O,BV_Data_An_Prec!$V:$V,$V453)</f>
        <v>4700</v>
      </c>
      <c r="AN453" s="476"/>
      <c r="AO453" s="474">
        <f t="shared" si="274"/>
        <v>110</v>
      </c>
      <c r="AP453" s="231">
        <f t="shared" si="275"/>
        <v>2.3404255319148935E-2</v>
      </c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</row>
    <row r="454" spans="1:63" ht="15.75" customHeight="1">
      <c r="A454" s="600" t="str">
        <f t="shared" si="215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+INDEX('Budget original'!$A$2:$AO$496,MATCH($A454,'Budget original'!$A$2:$A$496,0),MATCH(F$2,'Budget original'!$A$2:$AO$2,0))</f>
        <v>3200</v>
      </c>
      <c r="AA454" s="462"/>
      <c r="AB454" s="481"/>
      <c r="AC454" s="463">
        <f>+INDEX('Budget révisé'!$A$2:$AO$496,MATCH($A454,'Budget révisé'!$A$2:$A$496,0),MATCH(I$2,'Budget révisé'!$A$2:$AO$2,0))</f>
        <v>3200</v>
      </c>
      <c r="AD454" s="465"/>
      <c r="AE454" s="482"/>
      <c r="AF454" s="481"/>
      <c r="AG454" s="463">
        <f>SUMIFS(BV_Data_An_Cour!$O:$O,BV_Data_An_Cour!$V:$V,$V454)</f>
        <v>3200</v>
      </c>
      <c r="AH454" s="464"/>
      <c r="AI454" s="465">
        <f t="shared" si="273"/>
        <v>0</v>
      </c>
      <c r="AJ454" s="483">
        <f t="shared" si="276"/>
        <v>0</v>
      </c>
      <c r="AK454" s="482"/>
      <c r="AL454" s="462"/>
      <c r="AM454" s="463">
        <f>SUMIFS(BV_Data_An_Prec!$O:$O,BV_Data_An_Prec!$V:$V,$V454)</f>
        <v>3150</v>
      </c>
      <c r="AN454" s="467"/>
      <c r="AO454" s="465">
        <f t="shared" si="274"/>
        <v>50</v>
      </c>
      <c r="AP454" s="468">
        <f t="shared" si="275"/>
        <v>1.5873015873015872E-2</v>
      </c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</row>
    <row r="455" spans="1:63" ht="15.75" customHeight="1">
      <c r="A455" s="600" t="str">
        <f t="shared" si="215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+INDEX('Budget original'!$A$2:$AO$496,MATCH($A455,'Budget original'!$A$2:$A$496,0),MATCH(F$2,'Budget original'!$A$2:$AO$2,0))</f>
        <v>0</v>
      </c>
      <c r="AA455" s="472"/>
      <c r="AB455" s="478"/>
      <c r="AC455" s="87">
        <f>+INDEX('Budget révisé'!$A$2:$AO$496,MATCH($A455,'Budget révisé'!$A$2:$A$496,0),MATCH(I$2,'Budget révisé'!$A$2:$AO$2,0))</f>
        <v>0</v>
      </c>
      <c r="AD455" s="474"/>
      <c r="AE455" s="479"/>
      <c r="AF455" s="478"/>
      <c r="AG455" s="87">
        <f>SUMIFS(BV_Data_An_Cour!$O:$O,BV_Data_An_Cour!$V:$V,$V455)</f>
        <v>0</v>
      </c>
      <c r="AH455" s="473"/>
      <c r="AI455" s="474">
        <f t="shared" si="273"/>
        <v>0</v>
      </c>
      <c r="AJ455" s="475">
        <f t="shared" si="276"/>
        <v>0</v>
      </c>
      <c r="AK455" s="479"/>
      <c r="AL455" s="472"/>
      <c r="AM455" s="87">
        <f>SUMIFS(BV_Data_An_Prec!$O:$O,BV_Data_An_Prec!$V:$V,$V455)</f>
        <v>0</v>
      </c>
      <c r="AN455" s="476"/>
      <c r="AO455" s="474">
        <f t="shared" si="274"/>
        <v>0</v>
      </c>
      <c r="AP455" s="231">
        <f t="shared" si="275"/>
        <v>0</v>
      </c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</row>
    <row r="456" spans="1:63" ht="15.75" customHeight="1">
      <c r="A456" s="600" t="str">
        <f t="shared" si="215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+INDEX('Budget original'!$A$2:$AO$496,MATCH($A456,'Budget original'!$A$2:$A$496,0),MATCH(F$2,'Budget original'!$A$2:$AO$2,0))</f>
        <v>3708.0833333333339</v>
      </c>
      <c r="AA456" s="462"/>
      <c r="AB456" s="481"/>
      <c r="AC456" s="463">
        <f>+INDEX('Budget révisé'!$A$2:$AO$496,MATCH($A456,'Budget révisé'!$A$2:$A$496,0),MATCH(I$2,'Budget révisé'!$A$2:$AO$2,0))</f>
        <v>3708.0833333333339</v>
      </c>
      <c r="AD456" s="465"/>
      <c r="AE456" s="482"/>
      <c r="AF456" s="481"/>
      <c r="AG456" s="463">
        <f>SUMIF(BV_Data_An_Cour!$V:$V,Print_Mois!$V456,BV_Data_An_Cour!$O:$O)</f>
        <v>3708.11</v>
      </c>
      <c r="AH456" s="464"/>
      <c r="AI456" s="465">
        <f t="shared" si="273"/>
        <v>2.6666666666187666E-2</v>
      </c>
      <c r="AJ456" s="483">
        <f t="shared" si="276"/>
        <v>7.1914960557847035E-6</v>
      </c>
      <c r="AK456" s="482"/>
      <c r="AL456" s="462"/>
      <c r="AM456" s="463">
        <f>SUMIF(BV_Data_An_Prec!$V:$V,Print_Mois!$V456,BV_Data_An_Prec!$O:$O)</f>
        <v>1500</v>
      </c>
      <c r="AN456" s="467"/>
      <c r="AO456" s="465">
        <f t="shared" si="274"/>
        <v>2208.11</v>
      </c>
      <c r="AP456" s="468">
        <f t="shared" si="275"/>
        <v>1.4720733333333333</v>
      </c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</row>
    <row r="457" spans="1:63" ht="15.75" customHeight="1">
      <c r="A457" s="600" t="str">
        <f t="shared" si="215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+INDEX('Budget original'!$A$2:$AO$496,MATCH($A457,'Budget original'!$A$2:$A$496,0),MATCH(F$2,'Budget original'!$A$2:$AO$2,0))</f>
        <v>3810</v>
      </c>
      <c r="AA457" s="493"/>
      <c r="AB457" s="494"/>
      <c r="AC457" s="87">
        <f>+INDEX('Budget révisé'!$A$2:$AO$496,MATCH($A457,'Budget révisé'!$A$2:$A$496,0),MATCH(I$2,'Budget révisé'!$A$2:$AO$2,0))</f>
        <v>3810</v>
      </c>
      <c r="AD457" s="474"/>
      <c r="AE457" s="479"/>
      <c r="AF457" s="478"/>
      <c r="AG457" s="87">
        <f>SUMIFS(BV_Data_An_Cour!$O:$O,BV_Data_An_Cour!$V:$V,$V457)</f>
        <v>1695.7600000000002</v>
      </c>
      <c r="AH457" s="473"/>
      <c r="AI457" s="474">
        <f t="shared" si="273"/>
        <v>-2114.2399999999998</v>
      </c>
      <c r="AJ457" s="475">
        <f t="shared" si="276"/>
        <v>-0.55491863517060358</v>
      </c>
      <c r="AK457" s="479"/>
      <c r="AL457" s="472"/>
      <c r="AM457" s="87">
        <f>SUMIFS(BV_Data_An_Prec!$O:$O,BV_Data_An_Prec!$V:$V,$V457)</f>
        <v>3670.0000000000005</v>
      </c>
      <c r="AN457" s="476"/>
      <c r="AO457" s="474">
        <f t="shared" si="274"/>
        <v>-1974.2400000000002</v>
      </c>
      <c r="AP457" s="231">
        <f t="shared" si="275"/>
        <v>-0.53794005449591276</v>
      </c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</row>
    <row r="458" spans="1:63" ht="15.75" customHeight="1">
      <c r="A458" s="600" t="str">
        <f t="shared" si="215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+INDEX('Budget original'!$A$2:$AO$496,MATCH($A458,'Budget original'!$A$2:$A$496,0),MATCH(F$2,'Budget original'!$A$2:$AO$2,0))</f>
        <v>6217.1666666666679</v>
      </c>
      <c r="AA458" s="472"/>
      <c r="AB458" s="478"/>
      <c r="AC458" s="87">
        <f>+INDEX('Budget révisé'!$A$2:$AO$496,MATCH($A458,'Budget révisé'!$A$2:$A$496,0),MATCH(I$2,'Budget révisé'!$A$2:$AO$2,0))</f>
        <v>6217.1666666666679</v>
      </c>
      <c r="AD458" s="474"/>
      <c r="AE458" s="479"/>
      <c r="AF458" s="478"/>
      <c r="AG458" s="87">
        <f>SUMIFS(BV_Data_An_Cour!$O:$O,BV_Data_An_Cour!$V:$V,$V458)</f>
        <v>6217.0999999999985</v>
      </c>
      <c r="AH458" s="473"/>
      <c r="AI458" s="474">
        <f t="shared" si="273"/>
        <v>-6.6666666669334518E-2</v>
      </c>
      <c r="AJ458" s="475">
        <f t="shared" si="276"/>
        <v>-1.0722998150711927E-5</v>
      </c>
      <c r="AK458" s="479"/>
      <c r="AL458" s="472"/>
      <c r="AM458" s="87">
        <f>SUMIFS(BV_Data_An_Prec!$O:$O,BV_Data_An_Prec!$V:$V,$V458)</f>
        <v>8025</v>
      </c>
      <c r="AN458" s="476"/>
      <c r="AO458" s="474">
        <f t="shared" si="274"/>
        <v>-1807.9000000000015</v>
      </c>
      <c r="AP458" s="231">
        <f t="shared" si="275"/>
        <v>-0.22528348909657339</v>
      </c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</row>
    <row r="459" spans="1:63" ht="15.75" customHeight="1">
      <c r="A459" s="600" t="str">
        <f t="shared" si="215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+INDEX('Budget original'!$A$2:$AO$496,MATCH($A459,'Budget original'!$A$2:$A$496,0),MATCH(F$2,'Budget original'!$A$2:$AO$2,0))</f>
        <v>1000</v>
      </c>
      <c r="AA459" s="462"/>
      <c r="AB459" s="481"/>
      <c r="AC459" s="463">
        <f>+INDEX('Budget révisé'!$A$2:$AO$496,MATCH($A459,'Budget révisé'!$A$2:$A$496,0),MATCH(I$2,'Budget révisé'!$A$2:$AO$2,0))</f>
        <v>1000</v>
      </c>
      <c r="AD459" s="465"/>
      <c r="AE459" s="482"/>
      <c r="AF459" s="481"/>
      <c r="AG459" s="463">
        <f>SUMIFS(BV_Data_An_Cour!$O:$O,BV_Data_An_Cour!$V:$V,$V459)</f>
        <v>2107.3399999999997</v>
      </c>
      <c r="AH459" s="464"/>
      <c r="AI459" s="465">
        <f t="shared" si="273"/>
        <v>1107.3399999999997</v>
      </c>
      <c r="AJ459" s="483">
        <f t="shared" si="276"/>
        <v>1.1073399999999998</v>
      </c>
      <c r="AK459" s="482"/>
      <c r="AL459" s="462"/>
      <c r="AM459" s="463">
        <f>SUMIFS(BV_Data_An_Prec!$O:$O,BV_Data_An_Prec!$V:$V,$V459)</f>
        <v>884.2</v>
      </c>
      <c r="AN459" s="467"/>
      <c r="AO459" s="465">
        <f t="shared" si="274"/>
        <v>1223.1399999999996</v>
      </c>
      <c r="AP459" s="468">
        <f t="shared" si="275"/>
        <v>1.3833295634471834</v>
      </c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</row>
    <row r="460" spans="1:63" ht="15.75" customHeight="1">
      <c r="A460" s="600" t="str">
        <f t="shared" si="215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+INDEX('Budget original'!$A$2:$AO$496,MATCH($A460,'Budget original'!$A$2:$A$496,0),MATCH(F$2,'Budget original'!$A$2:$AO$2,0))</f>
        <v>900</v>
      </c>
      <c r="AA460" s="472"/>
      <c r="AB460" s="478"/>
      <c r="AC460" s="87">
        <f>+INDEX('Budget révisé'!$A$2:$AO$496,MATCH($A460,'Budget révisé'!$A$2:$A$496,0),MATCH(I$2,'Budget révisé'!$A$2:$AO$2,0))</f>
        <v>900</v>
      </c>
      <c r="AD460" s="474"/>
      <c r="AE460" s="479"/>
      <c r="AF460" s="478"/>
      <c r="AG460" s="87">
        <f>SUMIFS(BV_Data_An_Cour!$O:$O,BV_Data_An_Cour!$V:$V,$V460)</f>
        <v>0</v>
      </c>
      <c r="AH460" s="473"/>
      <c r="AI460" s="474">
        <f t="shared" si="273"/>
        <v>-900</v>
      </c>
      <c r="AJ460" s="495">
        <f t="shared" si="276"/>
        <v>-1</v>
      </c>
      <c r="AK460" s="472"/>
      <c r="AL460" s="472"/>
      <c r="AM460" s="87">
        <f>SUMIFS(BV_Data_An_Prec!$O:$O,BV_Data_An_Prec!$V:$V,$V460)</f>
        <v>900</v>
      </c>
      <c r="AN460" s="476"/>
      <c r="AO460" s="474">
        <f t="shared" si="274"/>
        <v>-900</v>
      </c>
      <c r="AP460" s="231">
        <f t="shared" si="275"/>
        <v>-1</v>
      </c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</row>
    <row r="461" spans="1:63" s="600" customFormat="1" ht="15.75" customHeight="1">
      <c r="A461" s="600" t="str">
        <f t="shared" si="215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4"/>
      <c r="AE461" s="479"/>
      <c r="AF461" s="478"/>
      <c r="AG461" s="87">
        <v>0</v>
      </c>
      <c r="AH461" s="473"/>
      <c r="AI461" s="474">
        <v>0</v>
      </c>
      <c r="AJ461" s="97">
        <v>0</v>
      </c>
      <c r="AK461" s="472"/>
      <c r="AL461" s="472"/>
      <c r="AM461" s="87">
        <v>0</v>
      </c>
      <c r="AN461" s="476"/>
      <c r="AO461" s="474">
        <v>0</v>
      </c>
      <c r="AP461" s="231">
        <v>0</v>
      </c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</row>
    <row r="462" spans="1:63" s="600" customFormat="1" ht="15.75" customHeight="1">
      <c r="A462" s="600" t="str">
        <f t="shared" si="215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4"/>
      <c r="AE462" s="479"/>
      <c r="AF462" s="478"/>
      <c r="AG462" s="87">
        <v>0</v>
      </c>
      <c r="AH462" s="473"/>
      <c r="AI462" s="474">
        <v>0</v>
      </c>
      <c r="AJ462" s="97">
        <v>1</v>
      </c>
      <c r="AK462" s="472"/>
      <c r="AL462" s="472"/>
      <c r="AM462" s="87">
        <v>0</v>
      </c>
      <c r="AN462" s="476"/>
      <c r="AO462" s="474">
        <v>0</v>
      </c>
      <c r="AP462" s="231">
        <v>1</v>
      </c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</row>
    <row r="463" spans="1:63" s="600" customFormat="1" ht="15.75" customHeight="1">
      <c r="A463" s="600" t="str">
        <f t="shared" si="215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4"/>
      <c r="AE463" s="479"/>
      <c r="AF463" s="478"/>
      <c r="AG463" s="87">
        <v>0</v>
      </c>
      <c r="AH463" s="473"/>
      <c r="AI463" s="474">
        <v>0</v>
      </c>
      <c r="AJ463" s="97">
        <v>2</v>
      </c>
      <c r="AK463" s="472"/>
      <c r="AL463" s="472"/>
      <c r="AM463" s="87">
        <v>0</v>
      </c>
      <c r="AN463" s="476"/>
      <c r="AO463" s="474">
        <v>0</v>
      </c>
      <c r="AP463" s="231">
        <v>2</v>
      </c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</row>
    <row r="464" spans="1:63" ht="15.75" customHeight="1">
      <c r="A464" s="600" t="str">
        <f t="shared" si="215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4"/>
      <c r="AE464" s="479"/>
      <c r="AF464" s="478"/>
      <c r="AG464" s="87">
        <v>0</v>
      </c>
      <c r="AH464" s="473"/>
      <c r="AI464" s="474">
        <v>0</v>
      </c>
      <c r="AJ464" s="97">
        <v>3</v>
      </c>
      <c r="AK464" s="472"/>
      <c r="AL464" s="472"/>
      <c r="AM464" s="87">
        <v>0</v>
      </c>
      <c r="AN464" s="476"/>
      <c r="AO464" s="474">
        <v>0</v>
      </c>
      <c r="AP464" s="231">
        <v>3</v>
      </c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</row>
    <row r="465" spans="1:63" ht="15.75" customHeight="1">
      <c r="A465" s="600" t="str">
        <f t="shared" si="215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3"/>
      <c r="AE465" s="91">
        <f>AG465/AG406</f>
        <v>0.16050843637192092</v>
      </c>
      <c r="AF465" s="88"/>
      <c r="AG465" s="90">
        <f>SUM(AG452:AG464)</f>
        <v>47738.31</v>
      </c>
      <c r="AH465" s="99"/>
      <c r="AI465" s="586">
        <f>SUM(AI452:AI464)</f>
        <v>-1906.9400000000032</v>
      </c>
      <c r="AJ465" s="89">
        <f>IF(AC465=0,0,AI465/AC465)</f>
        <v>-3.8411328374819406E-2</v>
      </c>
      <c r="AK465" s="91">
        <f>IF($AM$406=0,0,AM465/$AM$406)</f>
        <v>0.13560763858899236</v>
      </c>
      <c r="AL465" s="89"/>
      <c r="AM465" s="90">
        <f>SUM(AM452:AM464)</f>
        <v>48829.329999999994</v>
      </c>
      <c r="AN465" s="100"/>
      <c r="AO465" s="93">
        <f>SUM(AO452:AO464)</f>
        <v>-1091.0199999999993</v>
      </c>
      <c r="AP465" s="670">
        <f>IF(AM465=0,0,AO465/AM465)</f>
        <v>-2.2343538197226943E-2</v>
      </c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</row>
    <row r="466" spans="1:63" ht="15.75" customHeight="1">
      <c r="A466" s="600" t="str">
        <f t="shared" si="215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2"/>
      <c r="AE466" s="479"/>
      <c r="AF466" s="472"/>
      <c r="AG466" s="105"/>
      <c r="AH466" s="479"/>
      <c r="AI466" s="474">
        <f t="shared" ref="AI466:AI472" si="277">AG466-AC466</f>
        <v>0</v>
      </c>
      <c r="AJ466" s="475"/>
      <c r="AK466" s="479"/>
      <c r="AL466" s="472"/>
      <c r="AM466" s="105"/>
      <c r="AN466" s="496"/>
      <c r="AO466" s="474">
        <f t="shared" ref="AO466:AO472" si="278">AG466-AM466</f>
        <v>0</v>
      </c>
      <c r="AP466" s="497">
        <f>IF(AM466=0,0,AO466/AM466)</f>
        <v>0</v>
      </c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</row>
    <row r="467" spans="1:63" ht="15.75" customHeight="1">
      <c r="A467" s="600" t="str">
        <f t="shared" si="215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3"/>
      <c r="AE467" s="91">
        <f>AG467/AG406</f>
        <v>1.3558535807290526</v>
      </c>
      <c r="AF467" s="88"/>
      <c r="AG467" s="90">
        <f>AG418+AG432+AG451+AG465</f>
        <v>403257.05</v>
      </c>
      <c r="AH467" s="99"/>
      <c r="AI467" s="93">
        <f t="shared" si="277"/>
        <v>-119466.85991386056</v>
      </c>
      <c r="AJ467" s="89">
        <f>AI467/AC467</f>
        <v>-0.22854676751546998</v>
      </c>
      <c r="AK467" s="91">
        <f>IF($AM$406=0,0,AM467/$AM$406)</f>
        <v>1.5090073256901368</v>
      </c>
      <c r="AL467" s="89"/>
      <c r="AM467" s="90">
        <f>AM418+AM432+AM451+AM465</f>
        <v>543360.37</v>
      </c>
      <c r="AN467" s="100"/>
      <c r="AO467" s="93">
        <f t="shared" si="278"/>
        <v>-140103.32</v>
      </c>
      <c r="AP467" s="470">
        <f>IF(AM467=0,0,AO467/AM467)</f>
        <v>-0.25784604055684079</v>
      </c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</row>
    <row r="468" spans="1:63" ht="15.75" customHeight="1">
      <c r="A468" s="600" t="str">
        <f t="shared" si="215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+INDEX('Budget original'!$A$2:$AO$496,MATCH($A468,'Budget original'!$A$2:$A$496,0),MATCH(F$2,'Budget original'!$A$2:$AO$2,0))</f>
        <v>0</v>
      </c>
      <c r="AA468" s="266"/>
      <c r="AB468" s="267"/>
      <c r="AC468" s="265">
        <f>+INDEX('Budget révisé'!$A$2:$AO$496,MATCH($A468,'Budget révisé'!$A$2:$A$496,0),MATCH(I$2,'Budget révisé'!$A$2:$AO$2,0))</f>
        <v>0</v>
      </c>
      <c r="AD468" s="1119"/>
      <c r="AE468" s="269"/>
      <c r="AF468" s="267"/>
      <c r="AG468" s="87">
        <f>-SUMIFS(BV_Data_An_Cour!$O:$O,BV_Data_An_Cour!$V:$V,$V468)</f>
        <v>33828.54</v>
      </c>
      <c r="AH468" s="268"/>
      <c r="AI468" s="499">
        <f t="shared" si="277"/>
        <v>33828.54</v>
      </c>
      <c r="AJ468" s="500" t="e">
        <f t="shared" ref="AJ468:AJ472" si="279">IF(AI468=0,0,AI468/AC468)</f>
        <v>#DIV/0!</v>
      </c>
      <c r="AK468" s="269"/>
      <c r="AL468" s="266"/>
      <c r="AM468" s="501">
        <f>-SUMIFS(BV_Data_An_Prec!$O:$O,BV_Data_An_Prec!$V:$V,$V468)</f>
        <v>100717.7</v>
      </c>
      <c r="AN468" s="270"/>
      <c r="AO468" s="499">
        <f t="shared" si="278"/>
        <v>-66889.16</v>
      </c>
      <c r="AP468" s="278">
        <f>IF(AM468=0,0,AO468/AM468)</f>
        <v>-0.66412517362886569</v>
      </c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</row>
    <row r="469" spans="1:63" ht="30" customHeight="1">
      <c r="A469" s="600" t="str">
        <f t="shared" si="215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80">+SUMIF($C:$C,$V469,F:F)</f>
        <v>36387.783750000002</v>
      </c>
      <c r="AA469" s="272"/>
      <c r="AB469" s="264"/>
      <c r="AC469" s="271">
        <f t="shared" ref="AC469:AC479" si="281">+SUMIF($C:$C,$V469,I:I)</f>
        <v>36387.783750000002</v>
      </c>
      <c r="AD469" s="499"/>
      <c r="AE469" s="275"/>
      <c r="AF469" s="264"/>
      <c r="AG469" s="271">
        <f t="shared" ref="AG469:AG479" si="282">+SUMIF($C:$C,$V469,L:L)</f>
        <v>22341</v>
      </c>
      <c r="AH469" s="273"/>
      <c r="AI469" s="499">
        <f t="shared" si="277"/>
        <v>-14046.783750000002</v>
      </c>
      <c r="AJ469" s="274">
        <f>IF(AC469=0,0,AI469/AC469)</f>
        <v>-0.38603020855866227</v>
      </c>
      <c r="AK469" s="275"/>
      <c r="AL469" s="272"/>
      <c r="AM469" s="276">
        <f t="shared" ref="AM469:AM479" si="283">+SUMIF($C:$C,$V469,Q:Q)</f>
        <v>73636.100000000006</v>
      </c>
      <c r="AN469" s="277"/>
      <c r="AO469" s="499">
        <f t="shared" si="278"/>
        <v>-51295.100000000006</v>
      </c>
      <c r="AP469" s="278">
        <f>IF(AM469=0,0,AO469/AM469)</f>
        <v>-0.69660261746616137</v>
      </c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</row>
    <row r="470" spans="1:63" ht="15.75" customHeight="1">
      <c r="A470" s="600" t="str">
        <f t="shared" si="215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80"/>
        <v>22678.818750000006</v>
      </c>
      <c r="AA470" s="272"/>
      <c r="AB470" s="264"/>
      <c r="AC470" s="271">
        <f t="shared" si="281"/>
        <v>22678.818750000006</v>
      </c>
      <c r="AD470" s="499"/>
      <c r="AE470" s="275"/>
      <c r="AF470" s="264"/>
      <c r="AG470" s="271">
        <f t="shared" si="282"/>
        <v>11500</v>
      </c>
      <c r="AH470" s="273"/>
      <c r="AI470" s="499">
        <f t="shared" si="277"/>
        <v>-11178.818750000006</v>
      </c>
      <c r="AJ470" s="274">
        <f t="shared" si="279"/>
        <v>-0.4929189158055246</v>
      </c>
      <c r="AK470" s="275"/>
      <c r="AL470" s="272"/>
      <c r="AM470" s="276">
        <f t="shared" si="283"/>
        <v>7920</v>
      </c>
      <c r="AN470" s="277"/>
      <c r="AO470" s="499">
        <f t="shared" si="278"/>
        <v>3580</v>
      </c>
      <c r="AP470" s="278">
        <f t="shared" ref="AP470:AP472" si="284">IF(AM470=0,0,AO470/AM470)</f>
        <v>0.45202020202020204</v>
      </c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</row>
    <row r="471" spans="1:63" ht="15.75" customHeight="1">
      <c r="A471" s="600" t="str">
        <f t="shared" si="215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80"/>
        <v>0</v>
      </c>
      <c r="AA471" s="272"/>
      <c r="AB471" s="264"/>
      <c r="AC471" s="271">
        <f t="shared" si="281"/>
        <v>0</v>
      </c>
      <c r="AD471" s="499"/>
      <c r="AE471" s="275"/>
      <c r="AF471" s="264"/>
      <c r="AG471" s="271">
        <f t="shared" si="282"/>
        <v>0</v>
      </c>
      <c r="AH471" s="273"/>
      <c r="AI471" s="499">
        <f t="shared" si="277"/>
        <v>0</v>
      </c>
      <c r="AJ471" s="274">
        <f t="shared" si="279"/>
        <v>0</v>
      </c>
      <c r="AK471" s="275"/>
      <c r="AL471" s="272"/>
      <c r="AM471" s="276">
        <f t="shared" si="283"/>
        <v>0</v>
      </c>
      <c r="AN471" s="277"/>
      <c r="AO471" s="499">
        <f t="shared" si="278"/>
        <v>0</v>
      </c>
      <c r="AP471" s="278">
        <f t="shared" si="284"/>
        <v>0</v>
      </c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</row>
    <row r="472" spans="1:63" ht="15.75" customHeight="1">
      <c r="A472" s="600" t="str">
        <f t="shared" si="215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80"/>
        <v>0</v>
      </c>
      <c r="AA472" s="272"/>
      <c r="AB472" s="264"/>
      <c r="AC472" s="271">
        <f t="shared" si="281"/>
        <v>0</v>
      </c>
      <c r="AD472" s="499"/>
      <c r="AE472" s="275"/>
      <c r="AF472" s="264"/>
      <c r="AG472" s="271">
        <f t="shared" si="282"/>
        <v>0</v>
      </c>
      <c r="AH472" s="273"/>
      <c r="AI472" s="499">
        <f t="shared" si="277"/>
        <v>0</v>
      </c>
      <c r="AJ472" s="274">
        <f t="shared" si="279"/>
        <v>0</v>
      </c>
      <c r="AK472" s="275"/>
      <c r="AL472" s="272"/>
      <c r="AM472" s="276">
        <f t="shared" si="283"/>
        <v>0</v>
      </c>
      <c r="AN472" s="277"/>
      <c r="AO472" s="499">
        <f t="shared" si="278"/>
        <v>0</v>
      </c>
      <c r="AP472" s="278">
        <f t="shared" si="284"/>
        <v>0</v>
      </c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</row>
    <row r="473" spans="1:63" ht="15.75" customHeight="1">
      <c r="A473" s="600" t="str">
        <f t="shared" si="215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80"/>
        <v>0</v>
      </c>
      <c r="AA473" s="272"/>
      <c r="AB473" s="264"/>
      <c r="AC473" s="271">
        <f t="shared" si="281"/>
        <v>0</v>
      </c>
      <c r="AD473" s="499"/>
      <c r="AE473" s="275"/>
      <c r="AF473" s="264"/>
      <c r="AG473" s="271">
        <f t="shared" si="282"/>
        <v>0</v>
      </c>
      <c r="AH473" s="273"/>
      <c r="AI473" s="499">
        <f t="shared" ref="AI473:AI478" si="285">AG473-AC473</f>
        <v>0</v>
      </c>
      <c r="AJ473" s="274">
        <f t="shared" ref="AJ473:AJ478" si="286">IF(AI473=0,0,AI473/AC473)</f>
        <v>0</v>
      </c>
      <c r="AK473" s="275"/>
      <c r="AL473" s="272"/>
      <c r="AM473" s="276">
        <f t="shared" si="283"/>
        <v>0</v>
      </c>
      <c r="AN473" s="277"/>
      <c r="AO473" s="499">
        <f t="shared" ref="AO473:AO475" si="287">AG473-AM473</f>
        <v>0</v>
      </c>
      <c r="AP473" s="278">
        <f t="shared" ref="AP473:AP475" si="288">IF(AM473=0,0,AO473/AM473)</f>
        <v>0</v>
      </c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</row>
    <row r="474" spans="1:63" ht="15.75" customHeight="1">
      <c r="A474" s="600" t="str">
        <f t="shared" si="215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80"/>
        <v>0</v>
      </c>
      <c r="AA474" s="272"/>
      <c r="AB474" s="264"/>
      <c r="AC474" s="271">
        <f t="shared" si="281"/>
        <v>0</v>
      </c>
      <c r="AD474" s="499"/>
      <c r="AE474" s="275"/>
      <c r="AF474" s="264"/>
      <c r="AG474" s="271">
        <f t="shared" si="282"/>
        <v>0</v>
      </c>
      <c r="AH474" s="273"/>
      <c r="AI474" s="499">
        <f t="shared" si="285"/>
        <v>0</v>
      </c>
      <c r="AJ474" s="274">
        <f t="shared" si="286"/>
        <v>0</v>
      </c>
      <c r="AK474" s="275"/>
      <c r="AL474" s="272"/>
      <c r="AM474" s="276">
        <f t="shared" si="283"/>
        <v>0</v>
      </c>
      <c r="AN474" s="277"/>
      <c r="AO474" s="499">
        <f t="shared" si="287"/>
        <v>0</v>
      </c>
      <c r="AP474" s="278">
        <f t="shared" si="288"/>
        <v>0</v>
      </c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</row>
    <row r="475" spans="1:63" ht="15.75" customHeight="1">
      <c r="A475" s="600" t="str">
        <f t="shared" si="215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80"/>
        <v>0</v>
      </c>
      <c r="AA475" s="272"/>
      <c r="AB475" s="264"/>
      <c r="AC475" s="271">
        <f t="shared" si="281"/>
        <v>0</v>
      </c>
      <c r="AD475" s="499"/>
      <c r="AE475" s="275"/>
      <c r="AF475" s="264"/>
      <c r="AG475" s="271">
        <f t="shared" si="282"/>
        <v>0</v>
      </c>
      <c r="AH475" s="273"/>
      <c r="AI475" s="499">
        <f t="shared" si="285"/>
        <v>0</v>
      </c>
      <c r="AJ475" s="274">
        <f t="shared" si="286"/>
        <v>0</v>
      </c>
      <c r="AK475" s="275"/>
      <c r="AL475" s="272"/>
      <c r="AM475" s="276">
        <f t="shared" si="283"/>
        <v>0</v>
      </c>
      <c r="AN475" s="277"/>
      <c r="AO475" s="499">
        <f t="shared" si="287"/>
        <v>0</v>
      </c>
      <c r="AP475" s="278">
        <f t="shared" si="288"/>
        <v>0</v>
      </c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</row>
    <row r="476" spans="1:63" s="600" customFormat="1" ht="15.75" customHeight="1">
      <c r="A476" s="600" t="str">
        <f t="shared" si="215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80"/>
        <v>0</v>
      </c>
      <c r="AA476" s="272"/>
      <c r="AB476" s="264"/>
      <c r="AC476" s="271">
        <f t="shared" si="281"/>
        <v>0</v>
      </c>
      <c r="AD476" s="499"/>
      <c r="AE476" s="275"/>
      <c r="AF476" s="264"/>
      <c r="AG476" s="271">
        <f t="shared" si="282"/>
        <v>0</v>
      </c>
      <c r="AH476" s="273"/>
      <c r="AI476" s="499">
        <f t="shared" si="285"/>
        <v>0</v>
      </c>
      <c r="AJ476" s="274">
        <f t="shared" si="286"/>
        <v>0</v>
      </c>
      <c r="AK476" s="275"/>
      <c r="AL476" s="272"/>
      <c r="AM476" s="276">
        <f t="shared" si="283"/>
        <v>0</v>
      </c>
      <c r="AN476" s="277"/>
      <c r="AO476" s="499">
        <f t="shared" ref="AO476:AO479" si="289">AG476-AM476</f>
        <v>0</v>
      </c>
      <c r="AP476" s="278">
        <f t="shared" ref="AP476:AP479" si="290">IF(AM476=0,0,AO476/AM476)</f>
        <v>0</v>
      </c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</row>
    <row r="477" spans="1:63" s="600" customFormat="1" ht="15.75" customHeight="1">
      <c r="A477" s="600" t="str">
        <f t="shared" si="215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80"/>
        <v>0</v>
      </c>
      <c r="AA477" s="272"/>
      <c r="AB477" s="264"/>
      <c r="AC477" s="271">
        <f t="shared" si="281"/>
        <v>0</v>
      </c>
      <c r="AD477" s="499"/>
      <c r="AE477" s="275"/>
      <c r="AF477" s="264"/>
      <c r="AG477" s="271">
        <f t="shared" si="282"/>
        <v>0</v>
      </c>
      <c r="AH477" s="273"/>
      <c r="AI477" s="499">
        <f t="shared" si="285"/>
        <v>0</v>
      </c>
      <c r="AJ477" s="274">
        <f t="shared" si="286"/>
        <v>0</v>
      </c>
      <c r="AK477" s="275"/>
      <c r="AL477" s="272"/>
      <c r="AM477" s="276">
        <f t="shared" si="283"/>
        <v>0</v>
      </c>
      <c r="AN477" s="277"/>
      <c r="AO477" s="499">
        <f t="shared" si="289"/>
        <v>0</v>
      </c>
      <c r="AP477" s="278">
        <f t="shared" si="290"/>
        <v>0</v>
      </c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</row>
    <row r="478" spans="1:63" s="600" customFormat="1" ht="15.75" customHeight="1">
      <c r="A478" s="600" t="str">
        <f t="shared" si="215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80"/>
        <v>0</v>
      </c>
      <c r="AA478" s="272"/>
      <c r="AB478" s="264"/>
      <c r="AC478" s="271">
        <f t="shared" si="281"/>
        <v>0</v>
      </c>
      <c r="AD478" s="499"/>
      <c r="AE478" s="275"/>
      <c r="AF478" s="264"/>
      <c r="AG478" s="271">
        <f t="shared" si="282"/>
        <v>0</v>
      </c>
      <c r="AH478" s="273"/>
      <c r="AI478" s="499">
        <f t="shared" si="285"/>
        <v>0</v>
      </c>
      <c r="AJ478" s="274">
        <f t="shared" si="286"/>
        <v>0</v>
      </c>
      <c r="AK478" s="275"/>
      <c r="AL478" s="272"/>
      <c r="AM478" s="276">
        <f t="shared" si="283"/>
        <v>0</v>
      </c>
      <c r="AN478" s="277"/>
      <c r="AO478" s="499">
        <f t="shared" si="289"/>
        <v>0</v>
      </c>
      <c r="AP478" s="278">
        <f t="shared" si="290"/>
        <v>0</v>
      </c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</row>
    <row r="479" spans="1:63" ht="15.75" customHeight="1">
      <c r="A479" s="600" t="str">
        <f t="shared" si="215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80"/>
        <v>25574.084020118418</v>
      </c>
      <c r="AA479" s="272"/>
      <c r="AB479" s="264"/>
      <c r="AC479" s="271">
        <f t="shared" si="281"/>
        <v>25574.084020118418</v>
      </c>
      <c r="AD479" s="499"/>
      <c r="AE479" s="275"/>
      <c r="AF479" s="264"/>
      <c r="AG479" s="271">
        <f t="shared" si="282"/>
        <v>11496</v>
      </c>
      <c r="AH479" s="273"/>
      <c r="AI479" s="499">
        <f t="shared" ref="AI479:AI480" si="291">AG479-AC479</f>
        <v>-14078.084020118418</v>
      </c>
      <c r="AJ479" s="274">
        <f>IF(AI479=0,0,AI479/AC479)</f>
        <v>-0.55048243405486519</v>
      </c>
      <c r="AK479" s="275"/>
      <c r="AL479" s="272"/>
      <c r="AM479" s="276">
        <f t="shared" si="283"/>
        <v>23795.25</v>
      </c>
      <c r="AN479" s="277"/>
      <c r="AO479" s="499">
        <f t="shared" si="289"/>
        <v>-12299.25</v>
      </c>
      <c r="AP479" s="278">
        <f t="shared" si="290"/>
        <v>-0.5168783685819649</v>
      </c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</row>
    <row r="480" spans="1:63" ht="15.75" customHeight="1">
      <c r="A480" s="600" t="str">
        <f t="shared" si="215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93"/>
      <c r="AE480" s="89">
        <f>AG480/+AG406</f>
        <v>0.26617484028946065</v>
      </c>
      <c r="AF480" s="103"/>
      <c r="AG480" s="90">
        <f>SUM(AG468:AG479)</f>
        <v>79165.540000000008</v>
      </c>
      <c r="AH480" s="99"/>
      <c r="AI480" s="93">
        <f t="shared" si="291"/>
        <v>-5475.1465201184183</v>
      </c>
      <c r="AJ480" s="89">
        <f>AI480/AC480</f>
        <v>-6.4686934206482583E-2</v>
      </c>
      <c r="AK480" s="109"/>
      <c r="AL480" s="110"/>
      <c r="AM480" s="90">
        <f>SUM(AM468:AM479)</f>
        <v>206069.05</v>
      </c>
      <c r="AN480" s="111"/>
      <c r="AO480" s="93">
        <f t="shared" ref="AO480:AO482" si="292">AG480-AM480</f>
        <v>-126903.50999999998</v>
      </c>
      <c r="AP480" s="670">
        <f>IF(AM480=0,0,AO480/AM480)</f>
        <v>-0.61583003367075251</v>
      </c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</row>
    <row r="481" spans="1:63" ht="15.75" customHeight="1" thickBot="1">
      <c r="A481" s="600" t="str">
        <f t="shared" si="215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13"/>
      <c r="AE481" s="107"/>
      <c r="AF481" s="112"/>
      <c r="AG481" s="113"/>
      <c r="AH481" s="114"/>
      <c r="AI481" s="115"/>
      <c r="AJ481" s="116"/>
      <c r="AK481" s="117"/>
      <c r="AL481" s="118"/>
      <c r="AM481" s="113"/>
      <c r="AN481" s="119"/>
      <c r="AO481" s="115">
        <f t="shared" si="292"/>
        <v>0</v>
      </c>
      <c r="AP481" s="503">
        <f t="shared" ref="AP481" si="293">IF(AM481=0,0,AO481/AM481)</f>
        <v>0</v>
      </c>
      <c r="AQ481" s="79"/>
      <c r="AR481" s="236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</row>
    <row r="482" spans="1:63" ht="15.75" customHeight="1" thickTop="1" thickBot="1">
      <c r="A482" s="600" t="str">
        <f t="shared" si="215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234"/>
      <c r="AE482" s="506" t="s">
        <v>258</v>
      </c>
      <c r="AF482" s="507">
        <f>AG482/AG405</f>
        <v>-1.2853154493281517E-2</v>
      </c>
      <c r="AG482" s="234">
        <f>AG406-AG467+AG480</f>
        <v>-26672.189999999915</v>
      </c>
      <c r="AH482" s="509"/>
      <c r="AI482" s="509">
        <f>AG482-AC482</f>
        <v>-1869.5670812248281</v>
      </c>
      <c r="AJ482" s="563">
        <f>AI482/AC482</f>
        <v>7.5377797233275812E-2</v>
      </c>
      <c r="AK482" s="510" t="s">
        <v>258</v>
      </c>
      <c r="AL482" s="507">
        <f>IF($AM$405=0,0,AM482/$AM$405)</f>
        <v>6.8688778967041864E-3</v>
      </c>
      <c r="AM482" s="234">
        <f>AM406-AM467+AM480</f>
        <v>22786.700000000244</v>
      </c>
      <c r="AN482" s="235"/>
      <c r="AO482" s="234">
        <f t="shared" si="292"/>
        <v>-49458.890000000159</v>
      </c>
      <c r="AP482" s="511">
        <f>IF(AM482=0,0,AO482/AM482)</f>
        <v>-2.1705156955592355</v>
      </c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</row>
    <row r="483" spans="1:63" ht="15.75" customHeight="1" thickTop="1">
      <c r="A483" s="600" t="str">
        <f t="shared" si="215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37"/>
      <c r="AE483" s="25"/>
      <c r="AF483" s="25"/>
      <c r="AG483" s="120"/>
      <c r="AH483" s="25"/>
      <c r="AI483" s="25"/>
      <c r="AJ483" s="25"/>
      <c r="AK483" s="25"/>
      <c r="AL483" s="25"/>
      <c r="AM483" s="37"/>
      <c r="AN483" s="25"/>
      <c r="AO483" s="25"/>
      <c r="AP483" s="25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</row>
    <row r="484" spans="1:63" ht="35.25" customHeight="1">
      <c r="A484" s="600" t="str">
        <f t="shared" ref="A484:A497" si="294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21"/>
      <c r="AE484" s="18"/>
      <c r="AF484" s="5" t="s">
        <v>259</v>
      </c>
      <c r="AG484" s="21"/>
      <c r="AH484" s="21"/>
      <c r="AI484" s="18"/>
      <c r="AJ484" s="18"/>
      <c r="AK484" s="80"/>
      <c r="AL484" s="19"/>
      <c r="AM484" s="18"/>
      <c r="AN484" s="21"/>
      <c r="AO484" s="21"/>
      <c r="AP484" s="6" t="str">
        <f>$S$1</f>
        <v>Réalisé, Janvier 2021</v>
      </c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</row>
    <row r="485" spans="1:63" ht="15.75" customHeight="1">
      <c r="A485" s="600" t="str">
        <f t="shared" si="294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37"/>
      <c r="AE485" s="25"/>
      <c r="AF485" s="25"/>
      <c r="AG485" s="120"/>
      <c r="AH485" s="25"/>
      <c r="AI485" s="25"/>
      <c r="AJ485" s="25"/>
      <c r="AK485" s="25"/>
      <c r="AL485" s="25"/>
      <c r="AM485" s="37"/>
      <c r="AN485" s="25"/>
      <c r="AO485" s="25"/>
      <c r="AP485" s="25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</row>
    <row r="486" spans="1:63" ht="15.75" customHeight="1">
      <c r="A486" s="600" t="str">
        <f t="shared" si="294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37"/>
      <c r="AE486" s="25"/>
      <c r="AF486" s="25"/>
      <c r="AG486" s="120"/>
      <c r="AH486" s="25"/>
      <c r="AI486" s="25"/>
      <c r="AJ486" s="25"/>
      <c r="AK486" s="25"/>
      <c r="AL486" s="25"/>
      <c r="AM486" s="37"/>
      <c r="AN486" s="25"/>
      <c r="AO486" s="25"/>
      <c r="AP486" s="25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</row>
    <row r="487" spans="1:63" ht="15.75" customHeight="1" thickBot="1">
      <c r="A487" s="600" t="str">
        <f t="shared" si="294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37"/>
      <c r="AE487" s="25"/>
      <c r="AF487" s="25"/>
      <c r="AG487" s="120"/>
      <c r="AH487" s="25"/>
      <c r="AI487" s="25"/>
      <c r="AJ487" s="25"/>
      <c r="AK487" s="25"/>
      <c r="AL487" s="25"/>
      <c r="AM487" s="37"/>
      <c r="AN487" s="25"/>
      <c r="AO487" s="25"/>
      <c r="AP487" s="25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</row>
    <row r="488" spans="1:63" ht="15.75" customHeight="1" thickTop="1" thickBot="1">
      <c r="A488" s="600" t="str">
        <f t="shared" si="294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7"/>
      <c r="AE488" s="514" t="s">
        <v>258</v>
      </c>
      <c r="AF488" s="515">
        <f>AG488/AG405</f>
        <v>-1.2853154493281517E-2</v>
      </c>
      <c r="AG488" s="516">
        <f>AG482</f>
        <v>-26672.189999999915</v>
      </c>
      <c r="AH488" s="517"/>
      <c r="AI488" s="509">
        <f>AG488-AC488</f>
        <v>-1869.5670812248281</v>
      </c>
      <c r="AJ488" s="563">
        <f>AI488/AC488</f>
        <v>7.5377797233275812E-2</v>
      </c>
      <c r="AK488" s="514" t="s">
        <v>258</v>
      </c>
      <c r="AL488" s="515">
        <f>IF($AM$405=0,0,AM488/$AM$405)</f>
        <v>6.8688778967041864E-3</v>
      </c>
      <c r="AM488" s="518">
        <f>AM482</f>
        <v>22786.700000000244</v>
      </c>
      <c r="AN488" s="519"/>
      <c r="AO488" s="520">
        <f>AG488-AM488</f>
        <v>-49458.890000000159</v>
      </c>
      <c r="AP488" s="521">
        <f>IF(AM488=0,0,AO488/AM488)</f>
        <v>-2.1705156955592355</v>
      </c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</row>
    <row r="489" spans="1:63" ht="15.75" customHeight="1" thickTop="1">
      <c r="A489" s="600" t="str">
        <f t="shared" si="294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236"/>
      <c r="AG489" s="122"/>
      <c r="AH489" s="236"/>
      <c r="AI489" s="236"/>
      <c r="AJ489" s="122"/>
      <c r="AK489" s="236"/>
      <c r="AL489" s="236"/>
      <c r="AM489" s="123"/>
      <c r="AN489" s="523"/>
      <c r="AO489" s="236"/>
      <c r="AP489" s="524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</row>
    <row r="490" spans="1:63" ht="15.75" customHeight="1">
      <c r="A490" s="600" t="str">
        <f t="shared" si="294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+INDEX('Budget original'!$A$2:$AO$496,MATCH($A490,'Budget original'!$A$2:$A$496,0),MATCH(F$2,'Budget original'!$A$2:$AO$2,0))</f>
        <v>9167</v>
      </c>
      <c r="AA490" s="472"/>
      <c r="AB490" s="478"/>
      <c r="AC490" s="87">
        <f>+INDEX('Budget révisé'!$A$2:$AO$496,MATCH($A490,'Budget révisé'!$A$2:$A$496,0),MATCH(I$2,'Budget révisé'!$A$2:$AO$2,0))</f>
        <v>9167</v>
      </c>
      <c r="AD490" s="474"/>
      <c r="AE490" s="472"/>
      <c r="AF490" s="478"/>
      <c r="AG490" s="87">
        <f>SUMIFS(BV_Data_An_Cour!$O:$O,BV_Data_An_Cour!$V:$V,$V490)</f>
        <v>9167</v>
      </c>
      <c r="AH490" s="472"/>
      <c r="AI490" s="474">
        <f t="shared" ref="AI490:AI491" si="295">AG490-AC490</f>
        <v>0</v>
      </c>
      <c r="AJ490" s="97">
        <f>IF(AC490=0,0,AI490/AC490)</f>
        <v>0</v>
      </c>
      <c r="AK490" s="472"/>
      <c r="AL490" s="472"/>
      <c r="AM490" s="87">
        <f>SUMIFS(BV_Data_An_Prec!$O:$O,BV_Data_An_Prec!$V:$V,$V490)</f>
        <v>9000</v>
      </c>
      <c r="AN490" s="476"/>
      <c r="AO490" s="474">
        <f t="shared" ref="AO490:AO491" si="296">AG490-AM490</f>
        <v>167</v>
      </c>
      <c r="AP490" s="231">
        <f>IF(AM490=0,0,AO490/AM490)</f>
        <v>1.8555555555555554E-2</v>
      </c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</row>
    <row r="491" spans="1:63" ht="15.75" customHeight="1">
      <c r="A491" s="600" t="str">
        <f t="shared" si="294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+INDEX('Budget original'!$A$2:$AO$496,MATCH($A491,'Budget original'!$A$2:$A$496,0),MATCH(F$2,'Budget original'!$A$2:$AO$2,0))</f>
        <v>456.25</v>
      </c>
      <c r="AA491" s="456"/>
      <c r="AB491" s="456"/>
      <c r="AC491" s="87">
        <f>+INDEX('Budget révisé'!$A$2:$AO$496,MATCH($A491,'Budget révisé'!$A$2:$A$496,0),MATCH(I$2,'Budget révisé'!$A$2:$AO$2,0))</f>
        <v>456.25</v>
      </c>
      <c r="AD491" s="474"/>
      <c r="AE491" s="456"/>
      <c r="AF491" s="195"/>
      <c r="AG491" s="271">
        <f>SUMIFS(BV_Data_An_Cour!$O:$O,BV_Data_An_Cour!$V:$V,$V491)</f>
        <v>-3540.56</v>
      </c>
      <c r="AH491" s="456"/>
      <c r="AI491" s="474">
        <f t="shared" si="295"/>
        <v>-3996.81</v>
      </c>
      <c r="AJ491" s="97">
        <f t="shared" ref="AJ491" si="297">IF(AC491=0,0,AI491/AC491)</f>
        <v>-8.7601315068493157</v>
      </c>
      <c r="AK491" s="456"/>
      <c r="AL491" s="456"/>
      <c r="AM491" s="87">
        <f>SUMIFS(BV_Data_An_Prec!$O:$O,BV_Data_An_Prec!$V:$V,$V491)</f>
        <v>0</v>
      </c>
      <c r="AN491" s="525"/>
      <c r="AO491" s="474">
        <f t="shared" si="296"/>
        <v>-3540.56</v>
      </c>
      <c r="AP491" s="231">
        <f t="shared" ref="AP491" si="298">IF(AM491=0,0,AO491/AM491)</f>
        <v>0</v>
      </c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</row>
    <row r="492" spans="1:63" ht="15.75" customHeight="1">
      <c r="A492" s="600" t="str">
        <f t="shared" si="294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+INDEX('Budget original'!$A$2:$AO$496,MATCH($A492,'Budget original'!$A$2:$A$496,0),MATCH(F$2,'Budget original'!$A$2:$AO$2,0))</f>
        <v>594.88319947675336</v>
      </c>
      <c r="AA492" s="456"/>
      <c r="AB492" s="456"/>
      <c r="AC492" s="87">
        <f>+INDEX('Budget révisé'!$A$2:$AO$496,MATCH($A492,'Budget révisé'!$A$2:$A$496,0),MATCH(I$2,'Budget révisé'!$A$2:$AO$2,0))</f>
        <v>594.88319947675336</v>
      </c>
      <c r="AD492" s="474"/>
      <c r="AE492" s="456"/>
      <c r="AF492" s="195"/>
      <c r="AG492" s="87">
        <f>SUMIFS(BV_Data_An_Cour!$O:$O,BV_Data_An_Cour!$V:$V,$V492)</f>
        <v>570.58999999999992</v>
      </c>
      <c r="AH492" s="456"/>
      <c r="AI492" s="474">
        <f t="shared" ref="AI492:AI496" si="299">AG492-AC492</f>
        <v>-24.293199476753443</v>
      </c>
      <c r="AJ492" s="97">
        <f t="shared" ref="AJ492:AJ496" si="300">IF(AC492=0,0,AI492/AC492)</f>
        <v>-4.0836923110488289E-2</v>
      </c>
      <c r="AK492" s="456"/>
      <c r="AL492" s="456"/>
      <c r="AM492" s="87">
        <f>SUMIFS(BV_Data_An_Prec!$O:$O,BV_Data_An_Prec!$V:$V,$V492)</f>
        <v>3853.95</v>
      </c>
      <c r="AN492" s="525"/>
      <c r="AO492" s="474">
        <f t="shared" ref="AO492:AO496" si="301">AG492-AM492</f>
        <v>-3283.3599999999997</v>
      </c>
      <c r="AP492" s="231">
        <f t="shared" ref="AP492:AP496" si="302">IF(AM492=0,0,AO492/AM492)</f>
        <v>-0.85194670403092931</v>
      </c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</row>
    <row r="493" spans="1:63" s="600" customFormat="1" ht="15.75" customHeight="1">
      <c r="A493" s="600" t="str">
        <f t="shared" si="294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+INDEX('Budget original'!$A$2:$AO$496,MATCH($A493,'Budget original'!$A$2:$A$496,0),MATCH(F$2,'Budget original'!$A$2:$AO$2,0))</f>
        <v>0</v>
      </c>
      <c r="AA493" s="456"/>
      <c r="AB493" s="456"/>
      <c r="AC493" s="87">
        <f>+INDEX('Budget révisé'!$A$2:$AO$496,MATCH($A493,'Budget révisé'!$A$2:$A$496,0),MATCH(I$2,'Budget révisé'!$A$2:$AO$2,0))</f>
        <v>0</v>
      </c>
      <c r="AD493" s="474"/>
      <c r="AE493" s="456"/>
      <c r="AF493" s="195"/>
      <c r="AG493" s="87">
        <f>SUMIFS(BV_Data_An_Cour!$O:$O,BV_Data_An_Cour!$V:$V,$V493)</f>
        <v>0</v>
      </c>
      <c r="AH493" s="456"/>
      <c r="AI493" s="474">
        <f t="shared" si="299"/>
        <v>0</v>
      </c>
      <c r="AJ493" s="97">
        <f t="shared" si="300"/>
        <v>0</v>
      </c>
      <c r="AK493" s="456"/>
      <c r="AL493" s="456"/>
      <c r="AM493" s="87">
        <f>SUMIFS(BV_Data_An_Prec!$O:$O,BV_Data_An_Prec!$V:$V,$V493)</f>
        <v>0</v>
      </c>
      <c r="AN493" s="525"/>
      <c r="AO493" s="474">
        <f t="shared" si="301"/>
        <v>0</v>
      </c>
      <c r="AP493" s="231">
        <f t="shared" si="302"/>
        <v>0</v>
      </c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</row>
    <row r="494" spans="1:63" s="600" customFormat="1" ht="15.75" customHeight="1">
      <c r="A494" s="600" t="str">
        <f t="shared" si="294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+INDEX('Budget original'!$A$2:$AO$496,MATCH($A494,'Budget original'!$A$2:$A$496,0),MATCH(F$2,'Budget original'!$A$2:$AO$2,0))</f>
        <v>0</v>
      </c>
      <c r="AA494" s="456"/>
      <c r="AB494" s="456"/>
      <c r="AC494" s="87">
        <f>+INDEX('Budget révisé'!$A$2:$AO$496,MATCH($A494,'Budget révisé'!$A$2:$A$496,0),MATCH(I$2,'Budget révisé'!$A$2:$AO$2,0))</f>
        <v>0</v>
      </c>
      <c r="AD494" s="474"/>
      <c r="AE494" s="456"/>
      <c r="AF494" s="195"/>
      <c r="AG494" s="87">
        <f>SUMIFS(BV_Data_An_Cour!$O:$O,BV_Data_An_Cour!$V:$V,$V494)</f>
        <v>0</v>
      </c>
      <c r="AH494" s="456"/>
      <c r="AI494" s="474">
        <f t="shared" si="299"/>
        <v>0</v>
      </c>
      <c r="AJ494" s="97">
        <f t="shared" si="300"/>
        <v>0</v>
      </c>
      <c r="AK494" s="456"/>
      <c r="AL494" s="456"/>
      <c r="AM494" s="87">
        <f>SUMIFS(BV_Data_An_Prec!$O:$O,BV_Data_An_Prec!$V:$V,$V494)</f>
        <v>0</v>
      </c>
      <c r="AN494" s="525"/>
      <c r="AO494" s="474">
        <f t="shared" si="301"/>
        <v>0</v>
      </c>
      <c r="AP494" s="231">
        <f t="shared" si="302"/>
        <v>0</v>
      </c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</row>
    <row r="495" spans="1:63" s="600" customFormat="1" ht="15.75" customHeight="1">
      <c r="A495" s="600" t="str">
        <f t="shared" si="294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+INDEX('Budget original'!$A$2:$AO$496,MATCH($A495,'Budget original'!$A$2:$A$496,0),MATCH(F$2,'Budget original'!$A$2:$AO$2,0))</f>
        <v>0</v>
      </c>
      <c r="AA495" s="456"/>
      <c r="AB495" s="456"/>
      <c r="AC495" s="87">
        <f>+INDEX('Budget révisé'!$A$2:$AO$496,MATCH($A495,'Budget révisé'!$A$2:$A$496,0),MATCH(I$2,'Budget révisé'!$A$2:$AO$2,0))</f>
        <v>0</v>
      </c>
      <c r="AD495" s="474"/>
      <c r="AE495" s="456"/>
      <c r="AF495" s="195"/>
      <c r="AG495" s="87">
        <f>SUMIFS(BV_Data_An_Cour!$O:$O,BV_Data_An_Cour!$V:$V,$V495)</f>
        <v>0</v>
      </c>
      <c r="AH495" s="456"/>
      <c r="AI495" s="474">
        <f t="shared" si="299"/>
        <v>0</v>
      </c>
      <c r="AJ495" s="97">
        <f t="shared" si="300"/>
        <v>0</v>
      </c>
      <c r="AK495" s="456"/>
      <c r="AL495" s="456"/>
      <c r="AM495" s="87">
        <f>SUMIFS(BV_Data_An_Prec!$O:$O,BV_Data_An_Prec!$V:$V,$V495)</f>
        <v>0</v>
      </c>
      <c r="AN495" s="525"/>
      <c r="AO495" s="474">
        <f t="shared" si="301"/>
        <v>0</v>
      </c>
      <c r="AP495" s="231">
        <f t="shared" si="302"/>
        <v>0</v>
      </c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</row>
    <row r="496" spans="1:63" ht="15.75" customHeight="1" thickBot="1">
      <c r="A496" s="600" t="str">
        <f t="shared" si="294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+INDEX('Budget révisé'!$A$2:$AO$496,MATCH($A496,'Budget révisé'!$A$2:$A$496,0),MATCH(I$2,'Budget révisé'!$A$2:$AO$2,0))</f>
        <v>0</v>
      </c>
      <c r="AD496" s="474"/>
      <c r="AE496" s="456"/>
      <c r="AF496" s="195"/>
      <c r="AG496" s="87">
        <f>SUMIFS(BV_Data_An_Cour!$O:$O,BV_Data_An_Cour!$V:$V,$V496)</f>
        <v>0</v>
      </c>
      <c r="AH496" s="456"/>
      <c r="AI496" s="474">
        <f t="shared" si="299"/>
        <v>0</v>
      </c>
      <c r="AJ496" s="97">
        <f t="shared" si="300"/>
        <v>0</v>
      </c>
      <c r="AK496" s="456"/>
      <c r="AL496" s="456"/>
      <c r="AM496" s="87">
        <f>SUMIFS(BV_Data_An_Prec!$O:$O,BV_Data_An_Prec!$V:$V,$V496)</f>
        <v>0</v>
      </c>
      <c r="AN496" s="525"/>
      <c r="AO496" s="474">
        <f t="shared" si="301"/>
        <v>0</v>
      </c>
      <c r="AP496" s="231">
        <f t="shared" si="302"/>
        <v>0</v>
      </c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</row>
    <row r="497" spans="1:63" ht="15.75" customHeight="1" thickTop="1" thickBot="1">
      <c r="A497" s="600" t="str">
        <f t="shared" si="294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234"/>
      <c r="AE497" s="506" t="s">
        <v>258</v>
      </c>
      <c r="AF497" s="507">
        <f>AG497/AG405</f>
        <v>-1.5839462853768624E-2</v>
      </c>
      <c r="AG497" s="234">
        <f>AG488-AG490-AG491-AG492-AG496</f>
        <v>-32869.219999999914</v>
      </c>
      <c r="AH497" s="509"/>
      <c r="AI497" s="509">
        <f>AG497-AC497</f>
        <v>2151.5361182519264</v>
      </c>
      <c r="AJ497" s="563">
        <f>AI497/AC497</f>
        <v>-6.1436026994591525E-2</v>
      </c>
      <c r="AK497" s="510" t="s">
        <v>258</v>
      </c>
      <c r="AL497" s="507">
        <f>IF($AM$405=0,0,AM497/$AM$405)</f>
        <v>2.9941521557965592E-3</v>
      </c>
      <c r="AM497" s="234">
        <f>AM488-AM490-AM491-AM492-AM496</f>
        <v>9932.7500000002437</v>
      </c>
      <c r="AN497" s="235"/>
      <c r="AO497" s="234">
        <f>AG497-AM497</f>
        <v>-42801.970000000161</v>
      </c>
      <c r="AP497" s="526">
        <f>IF(AM497=0,0,AO497/AM497)</f>
        <v>-4.309176210012243</v>
      </c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</row>
    <row r="498" spans="1:63" ht="15.75" customHeight="1" thickTop="1">
      <c r="A498" s="600" t="str">
        <f t="shared" ref="A498" si="303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124"/>
      <c r="AG498" s="125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</row>
    <row r="499" spans="1:63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79"/>
      <c r="AG499" s="126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</row>
    <row r="500" spans="1:63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-35021</v>
      </c>
      <c r="AA500" s="79"/>
      <c r="AB500" s="79"/>
      <c r="AC500" s="79"/>
      <c r="AD500" s="79"/>
      <c r="AE500" s="79"/>
      <c r="AF500" s="79"/>
      <c r="AG500" s="79">
        <v>-32869.019999999997</v>
      </c>
      <c r="AH500" s="79"/>
      <c r="AI500" s="79"/>
      <c r="AJ500" s="79"/>
      <c r="AK500" s="79"/>
      <c r="AL500" s="79"/>
      <c r="AM500" s="79">
        <v>9932.65</v>
      </c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</row>
    <row r="501" spans="1:63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0.24388174815976527</v>
      </c>
      <c r="AA501" s="79"/>
      <c r="AB501" s="79"/>
      <c r="AC501" s="79"/>
      <c r="AD501" s="79"/>
      <c r="AE501" s="79"/>
      <c r="AF501" s="79"/>
      <c r="AG501" s="127">
        <f>AG497-AG500</f>
        <v>-0.19999999991705408</v>
      </c>
      <c r="AH501" s="79"/>
      <c r="AI501" s="79"/>
      <c r="AJ501" s="79"/>
      <c r="AK501" s="79"/>
      <c r="AL501" s="79"/>
      <c r="AM501" s="101">
        <f>AM497-AM500</f>
        <v>0.10000000024410838</v>
      </c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</row>
    <row r="502" spans="1:63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</row>
    <row r="503" spans="1:63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</row>
    <row r="504" spans="1:63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</row>
    <row r="505" spans="1:63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</row>
    <row r="506" spans="1:63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</row>
    <row r="507" spans="1:63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</row>
    <row r="508" spans="1:63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</row>
    <row r="509" spans="1:63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</row>
    <row r="510" spans="1:63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</row>
    <row r="511" spans="1:63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</row>
    <row r="512" spans="1:63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</row>
    <row r="513" spans="2:63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</row>
    <row r="514" spans="2:63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</row>
    <row r="515" spans="2:63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</row>
    <row r="516" spans="2:63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</row>
    <row r="517" spans="2:63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</row>
    <row r="518" spans="2:63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</row>
    <row r="519" spans="2:63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</row>
    <row r="520" spans="2:63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</row>
    <row r="521" spans="2:63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</row>
    <row r="522" spans="2:63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</row>
    <row r="523" spans="2:63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</row>
    <row r="524" spans="2:63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</row>
    <row r="525" spans="2:63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</row>
    <row r="526" spans="2:63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</row>
    <row r="527" spans="2:63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</row>
    <row r="528" spans="2:63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</row>
    <row r="529" spans="2:63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</row>
    <row r="530" spans="2:63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</row>
    <row r="531" spans="2:63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</row>
    <row r="532" spans="2:63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</row>
    <row r="533" spans="2:63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</row>
    <row r="534" spans="2:63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</row>
    <row r="535" spans="2:63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</row>
    <row r="536" spans="2:63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</row>
    <row r="537" spans="2:63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</row>
    <row r="538" spans="2:63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</row>
    <row r="539" spans="2:63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</row>
    <row r="540" spans="2:63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</row>
    <row r="541" spans="2:63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</row>
    <row r="542" spans="2:63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</row>
    <row r="543" spans="2:63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</row>
    <row r="544" spans="2:63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</row>
    <row r="545" spans="2:63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</row>
    <row r="546" spans="2:63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</row>
    <row r="547" spans="2:63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</row>
    <row r="548" spans="2:63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</row>
    <row r="549" spans="2:63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</row>
    <row r="550" spans="2:63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</row>
    <row r="551" spans="2:63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</row>
    <row r="552" spans="2:63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</row>
    <row r="553" spans="2:63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</row>
    <row r="554" spans="2:63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</row>
    <row r="555" spans="2:63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</row>
    <row r="556" spans="2:63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</row>
    <row r="557" spans="2:63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</row>
    <row r="558" spans="2:63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</row>
    <row r="559" spans="2:63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</row>
    <row r="560" spans="2:63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</row>
    <row r="561" spans="2:63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</row>
    <row r="562" spans="2:63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</row>
    <row r="563" spans="2:63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</row>
    <row r="564" spans="2:63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</row>
    <row r="565" spans="2:63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</row>
    <row r="566" spans="2:63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</row>
    <row r="567" spans="2:63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</row>
    <row r="568" spans="2:63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</row>
    <row r="569" spans="2:63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</row>
    <row r="570" spans="2:63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</row>
    <row r="571" spans="2:63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</row>
    <row r="572" spans="2:63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</row>
    <row r="573" spans="2:63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</row>
    <row r="574" spans="2:63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</row>
    <row r="575" spans="2:63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</row>
    <row r="576" spans="2:63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</row>
    <row r="577" spans="2:63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</row>
    <row r="578" spans="2:63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</row>
    <row r="579" spans="2:63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</row>
    <row r="580" spans="2:63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</row>
    <row r="581" spans="2:63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</row>
    <row r="582" spans="2:63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</row>
    <row r="583" spans="2:63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</row>
    <row r="584" spans="2:63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</row>
    <row r="585" spans="2:63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</row>
    <row r="586" spans="2:63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</row>
    <row r="587" spans="2:63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</row>
    <row r="588" spans="2:63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</row>
    <row r="589" spans="2:63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</row>
    <row r="590" spans="2:63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</row>
    <row r="591" spans="2:63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</row>
    <row r="592" spans="2:63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</row>
    <row r="593" spans="2:63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</row>
    <row r="594" spans="2:63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</row>
    <row r="595" spans="2:63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</row>
    <row r="596" spans="2:63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</row>
    <row r="597" spans="2:63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</row>
    <row r="598" spans="2:63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</row>
    <row r="599" spans="2:63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</row>
    <row r="600" spans="2:63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</row>
    <row r="601" spans="2:63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</row>
    <row r="602" spans="2:63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</row>
    <row r="603" spans="2:63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</row>
    <row r="604" spans="2:63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</row>
    <row r="605" spans="2:63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</row>
    <row r="606" spans="2:63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</row>
    <row r="607" spans="2:63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</row>
    <row r="608" spans="2:63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</row>
    <row r="609" spans="2:63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</row>
    <row r="610" spans="2:63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</row>
    <row r="611" spans="2:63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</row>
    <row r="612" spans="2:63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</row>
    <row r="613" spans="2:63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</row>
    <row r="614" spans="2:63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</row>
    <row r="615" spans="2:63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</row>
    <row r="616" spans="2:63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</row>
    <row r="617" spans="2:63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</row>
    <row r="618" spans="2:63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</row>
    <row r="619" spans="2:63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</row>
    <row r="620" spans="2:63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</row>
    <row r="621" spans="2:63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</row>
    <row r="622" spans="2:63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</row>
    <row r="623" spans="2:63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</row>
    <row r="624" spans="2:63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</row>
    <row r="625" spans="2:63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</row>
    <row r="626" spans="2:63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</row>
    <row r="627" spans="2:63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</row>
    <row r="628" spans="2:63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</row>
    <row r="629" spans="2:63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</row>
    <row r="630" spans="2:63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</row>
    <row r="631" spans="2:63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</row>
    <row r="632" spans="2:63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</row>
    <row r="633" spans="2:63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</row>
    <row r="634" spans="2:63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</row>
    <row r="635" spans="2:63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</row>
    <row r="636" spans="2:63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</row>
    <row r="637" spans="2:63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</row>
    <row r="638" spans="2:63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</row>
    <row r="639" spans="2:63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</row>
    <row r="640" spans="2:63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</row>
    <row r="641" spans="2:63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</row>
    <row r="642" spans="2:63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</row>
    <row r="643" spans="2:63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</row>
    <row r="644" spans="2:63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</row>
    <row r="645" spans="2:63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</row>
    <row r="646" spans="2:63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</row>
    <row r="647" spans="2:63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</row>
    <row r="648" spans="2:63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</row>
    <row r="649" spans="2:63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</row>
    <row r="650" spans="2:63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</row>
    <row r="651" spans="2:63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</row>
    <row r="652" spans="2:63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</row>
    <row r="653" spans="2:63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</row>
    <row r="654" spans="2:63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</row>
    <row r="655" spans="2:63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</row>
    <row r="656" spans="2:63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</row>
    <row r="657" spans="2:63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</row>
    <row r="658" spans="2:63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</row>
    <row r="659" spans="2:63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</row>
    <row r="660" spans="2:63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</row>
    <row r="661" spans="2:63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</row>
    <row r="662" spans="2:63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</row>
    <row r="663" spans="2:63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</row>
    <row r="664" spans="2:63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</row>
    <row r="665" spans="2:63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</row>
    <row r="666" spans="2:63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</row>
    <row r="667" spans="2:63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</row>
    <row r="668" spans="2:63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</row>
    <row r="669" spans="2:63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</row>
    <row r="670" spans="2:63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</row>
    <row r="671" spans="2:63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</row>
    <row r="672" spans="2:63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</row>
    <row r="673" spans="2:63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</row>
    <row r="674" spans="2:63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</row>
    <row r="675" spans="2:63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</row>
    <row r="676" spans="2:63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</row>
    <row r="677" spans="2:63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</row>
    <row r="678" spans="2:63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</row>
    <row r="679" spans="2:63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</row>
    <row r="680" spans="2:63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</row>
    <row r="681" spans="2:63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</row>
    <row r="682" spans="2:63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</row>
    <row r="683" spans="2:63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</row>
    <row r="684" spans="2:63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</row>
    <row r="685" spans="2:63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</row>
    <row r="686" spans="2:63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</row>
    <row r="687" spans="2:63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</row>
    <row r="688" spans="2:63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</row>
    <row r="689" spans="2:63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</row>
    <row r="690" spans="2:63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</row>
    <row r="691" spans="2:63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</row>
    <row r="692" spans="2:63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</row>
    <row r="693" spans="2:63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</row>
    <row r="694" spans="2:63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</row>
    <row r="695" spans="2:63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</row>
    <row r="696" spans="2:63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</row>
    <row r="697" spans="2:63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</row>
  </sheetData>
  <mergeCells count="42">
    <mergeCell ref="AN403:AP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E403:AG403"/>
    <mergeCell ref="AH403:AJ403"/>
    <mergeCell ref="AK403:AM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5" priority="557" stopIfTrue="1">
      <formula>"esterreur(reference)"</formula>
    </cfRule>
  </conditionalFormatting>
  <conditionalFormatting sqref="M95:M96">
    <cfRule type="expression" dxfId="684" priority="558" stopIfTrue="1">
      <formula>"esterreur(reference)"</formula>
    </cfRule>
  </conditionalFormatting>
  <conditionalFormatting sqref="H275:H280 J275:K280">
    <cfRule type="expression" dxfId="683" priority="559" stopIfTrue="1">
      <formula>"esterreur(reference)"</formula>
    </cfRule>
  </conditionalFormatting>
  <conditionalFormatting sqref="H219:H224 J219:K224">
    <cfRule type="expression" dxfId="682" priority="560" stopIfTrue="1">
      <formula>"esterreur(reference)"</formula>
    </cfRule>
  </conditionalFormatting>
  <conditionalFormatting sqref="H141:H147 J141:K147">
    <cfRule type="expression" dxfId="681" priority="561" stopIfTrue="1">
      <formula>"esterreur(reference)"</formula>
    </cfRule>
  </conditionalFormatting>
  <conditionalFormatting sqref="H137:H139 J137:K139">
    <cfRule type="expression" dxfId="680" priority="562" stopIfTrue="1">
      <formula>"esterreur(reference)"</formula>
    </cfRule>
  </conditionalFormatting>
  <conditionalFormatting sqref="H140 J140:K140">
    <cfRule type="expression" dxfId="679" priority="563" stopIfTrue="1">
      <formula>"esterreur(reference)"</formula>
    </cfRule>
  </conditionalFormatting>
  <conditionalFormatting sqref="L82">
    <cfRule type="expression" dxfId="678" priority="504" stopIfTrue="1">
      <formula>"esterreur(reference)"</formula>
    </cfRule>
  </conditionalFormatting>
  <conditionalFormatting sqref="M311">
    <cfRule type="expression" dxfId="677" priority="565" stopIfTrue="1">
      <formula>"esterreur(reference)"</formula>
    </cfRule>
  </conditionalFormatting>
  <conditionalFormatting sqref="R311">
    <cfRule type="expression" dxfId="676" priority="566" stopIfTrue="1">
      <formula>"esterreur(reference)"</formula>
    </cfRule>
  </conditionalFormatting>
  <conditionalFormatting sqref="AH408:AJ413 AI490:AJ490 AH431:AJ431 AI465:AJ467 AI452:AJ459 AI419:AJ430 AI432:AJ450 AI460:AI464 AJ491:AJ496">
    <cfRule type="cellIs" dxfId="675" priority="567" operator="greaterThan">
      <formula>0</formula>
    </cfRule>
  </conditionalFormatting>
  <conditionalFormatting sqref="AI468:AJ479">
    <cfRule type="cellIs" dxfId="674" priority="568" operator="lessThan">
      <formula>0</formula>
    </cfRule>
  </conditionalFormatting>
  <conditionalFormatting sqref="AI491:AI496">
    <cfRule type="cellIs" dxfId="673" priority="571" operator="greaterThan">
      <formula>0</formula>
    </cfRule>
  </conditionalFormatting>
  <conditionalFormatting sqref="J281:K283">
    <cfRule type="expression" dxfId="672" priority="575" stopIfTrue="1">
      <formula>"esterreur(reference)"</formula>
    </cfRule>
  </conditionalFormatting>
  <conditionalFormatting sqref="K356 J356:J357 H356:I356 L355:L356 H358:L358">
    <cfRule type="expression" dxfId="671" priority="579" stopIfTrue="1">
      <formula>"esterreur(reference)"</formula>
    </cfRule>
  </conditionalFormatting>
  <conditionalFormatting sqref="H396">
    <cfRule type="expression" dxfId="670" priority="580" stopIfTrue="1">
      <formula>"esterreur(reference)"</formula>
    </cfRule>
  </conditionalFormatting>
  <conditionalFormatting sqref="I376:L376 H377:H392 J377:K392">
    <cfRule type="expression" dxfId="669" priority="581" stopIfTrue="1">
      <formula>"esterreur(reference)"</formula>
    </cfRule>
  </conditionalFormatting>
  <conditionalFormatting sqref="H397:L398 I396:L396 H395:L395 H393:H394 J393:K393">
    <cfRule type="expression" dxfId="668" priority="582" stopIfTrue="1">
      <formula>"esterreur(reference)"</formula>
    </cfRule>
  </conditionalFormatting>
  <conditionalFormatting sqref="H360:L362 H359 K359">
    <cfRule type="expression" dxfId="667" priority="583" stopIfTrue="1">
      <formula>"esterreur(reference)"</formula>
    </cfRule>
  </conditionalFormatting>
  <conditionalFormatting sqref="K394">
    <cfRule type="expression" dxfId="666" priority="584" stopIfTrue="1">
      <formula>"esterreur(reference)"</formula>
    </cfRule>
  </conditionalFormatting>
  <conditionalFormatting sqref="H316:L316">
    <cfRule type="expression" dxfId="665" priority="588" stopIfTrue="1">
      <formula>"esterreur(reference)"</formula>
    </cfRule>
  </conditionalFormatting>
  <conditionalFormatting sqref="H196:L196">
    <cfRule type="expression" dxfId="664" priority="589" stopIfTrue="1">
      <formula>"esterreur(reference)"</formula>
    </cfRule>
  </conditionalFormatting>
  <conditionalFormatting sqref="H55:H56 J55:K56 H71 J71:K71">
    <cfRule type="expression" dxfId="663" priority="594" stopIfTrue="1">
      <formula>"esterreur(reference)"</formula>
    </cfRule>
  </conditionalFormatting>
  <conditionalFormatting sqref="J61:K70 H61:H70">
    <cfRule type="expression" dxfId="662" priority="595" stopIfTrue="1">
      <formula>"esterreur(reference)"</formula>
    </cfRule>
  </conditionalFormatting>
  <conditionalFormatting sqref="H57:H59 J57:K59">
    <cfRule type="expression" dxfId="661" priority="596" stopIfTrue="1">
      <formula>"esterreur(reference)"</formula>
    </cfRule>
  </conditionalFormatting>
  <conditionalFormatting sqref="H60 J60:K60">
    <cfRule type="expression" dxfId="660" priority="597" stopIfTrue="1">
      <formula>"esterreur(reference)"</formula>
    </cfRule>
  </conditionalFormatting>
  <conditionalFormatting sqref="L19 L21:L23">
    <cfRule type="expression" dxfId="659" priority="553" stopIfTrue="1">
      <formula>"esterreur(reference)"</formula>
    </cfRule>
  </conditionalFormatting>
  <conditionalFormatting sqref="K98">
    <cfRule type="expression" dxfId="658" priority="599" stopIfTrue="1">
      <formula>"esterreur(reference)"</formula>
    </cfRule>
  </conditionalFormatting>
  <conditionalFormatting sqref="L331:L347">
    <cfRule type="expression" dxfId="657" priority="379" stopIfTrue="1">
      <formula>"esterreur(reference)"</formula>
    </cfRule>
  </conditionalFormatting>
  <conditionalFormatting sqref="L16:L17">
    <cfRule type="expression" dxfId="656" priority="555" stopIfTrue="1">
      <formula>"esterreur(reference)"</formula>
    </cfRule>
  </conditionalFormatting>
  <conditionalFormatting sqref="L20">
    <cfRule type="expression" dxfId="655" priority="550" stopIfTrue="1">
      <formula>"esterreur(reference)"</formula>
    </cfRule>
  </conditionalFormatting>
  <conditionalFormatting sqref="L325">
    <cfRule type="expression" dxfId="654" priority="384" stopIfTrue="1">
      <formula>"esterreur(reference)"</formula>
    </cfRule>
  </conditionalFormatting>
  <conditionalFormatting sqref="L326">
    <cfRule type="expression" dxfId="653" priority="383" stopIfTrue="1">
      <formula>"esterreur(reference)"</formula>
    </cfRule>
  </conditionalFormatting>
  <conditionalFormatting sqref="L327">
    <cfRule type="expression" dxfId="652" priority="382" stopIfTrue="1">
      <formula>"esterreur(reference)"</formula>
    </cfRule>
  </conditionalFormatting>
  <conditionalFormatting sqref="L328">
    <cfRule type="expression" dxfId="651" priority="381" stopIfTrue="1">
      <formula>"esterreur(reference)"</formula>
    </cfRule>
  </conditionalFormatting>
  <conditionalFormatting sqref="L42">
    <cfRule type="expression" dxfId="650" priority="534" stopIfTrue="1">
      <formula>"esterreur(reference)"</formula>
    </cfRule>
  </conditionalFormatting>
  <conditionalFormatting sqref="L43">
    <cfRule type="expression" dxfId="649" priority="533" stopIfTrue="1">
      <formula>"esterreur(reference)"</formula>
    </cfRule>
  </conditionalFormatting>
  <conditionalFormatting sqref="L44">
    <cfRule type="expression" dxfId="648" priority="532" stopIfTrue="1">
      <formula>"esterreur(reference)"</formula>
    </cfRule>
  </conditionalFormatting>
  <conditionalFormatting sqref="L45:L48">
    <cfRule type="expression" dxfId="647" priority="531" stopIfTrue="1">
      <formula>"esterreur(reference)"</formula>
    </cfRule>
  </conditionalFormatting>
  <conditionalFormatting sqref="L55">
    <cfRule type="expression" dxfId="646" priority="525" stopIfTrue="1">
      <formula>"esterreur(reference)"</formula>
    </cfRule>
  </conditionalFormatting>
  <conditionalFormatting sqref="L56">
    <cfRule type="expression" dxfId="645" priority="524" stopIfTrue="1">
      <formula>"esterreur(reference)"</formula>
    </cfRule>
  </conditionalFormatting>
  <conditionalFormatting sqref="L271">
    <cfRule type="expression" dxfId="644" priority="399" stopIfTrue="1">
      <formula>"esterreur(reference)"</formula>
    </cfRule>
  </conditionalFormatting>
  <conditionalFormatting sqref="L58">
    <cfRule type="expression" dxfId="643" priority="522" stopIfTrue="1">
      <formula>"esterreur(reference)"</formula>
    </cfRule>
  </conditionalFormatting>
  <conditionalFormatting sqref="L61">
    <cfRule type="expression" dxfId="642" priority="519" stopIfTrue="1">
      <formula>"esterreur(reference)"</formula>
    </cfRule>
  </conditionalFormatting>
  <conditionalFormatting sqref="L274">
    <cfRule type="expression" dxfId="641" priority="397" stopIfTrue="1">
      <formula>"esterreur(reference)"</formula>
    </cfRule>
  </conditionalFormatting>
  <conditionalFormatting sqref="L63">
    <cfRule type="expression" dxfId="640" priority="518" stopIfTrue="1">
      <formula>"esterreur(reference)"</formula>
    </cfRule>
  </conditionalFormatting>
  <conditionalFormatting sqref="L62">
    <cfRule type="expression" dxfId="639" priority="517" stopIfTrue="1">
      <formula>"esterreur(reference)"</formula>
    </cfRule>
  </conditionalFormatting>
  <conditionalFormatting sqref="L64">
    <cfRule type="expression" dxfId="638" priority="516" stopIfTrue="1">
      <formula>"esterreur(reference)"</formula>
    </cfRule>
  </conditionalFormatting>
  <conditionalFormatting sqref="L65">
    <cfRule type="expression" dxfId="637" priority="515" stopIfTrue="1">
      <formula>"esterreur(reference)"</formula>
    </cfRule>
  </conditionalFormatting>
  <conditionalFormatting sqref="L69 L66:L67">
    <cfRule type="expression" dxfId="636" priority="514" stopIfTrue="1">
      <formula>"esterreur(reference)"</formula>
    </cfRule>
  </conditionalFormatting>
  <conditionalFormatting sqref="L70">
    <cfRule type="expression" dxfId="635" priority="513" stopIfTrue="1">
      <formula>"esterreur(reference)"</formula>
    </cfRule>
  </conditionalFormatting>
  <conditionalFormatting sqref="L76:L77">
    <cfRule type="expression" dxfId="634" priority="509" stopIfTrue="1">
      <formula>"esterreur(reference)"</formula>
    </cfRule>
  </conditionalFormatting>
  <conditionalFormatting sqref="L78:L81">
    <cfRule type="expression" dxfId="633" priority="508" stopIfTrue="1">
      <formula>"esterreur(reference)"</formula>
    </cfRule>
  </conditionalFormatting>
  <conditionalFormatting sqref="L57">
    <cfRule type="expression" dxfId="632" priority="499" stopIfTrue="1">
      <formula>"esterreur(reference)"</formula>
    </cfRule>
  </conditionalFormatting>
  <conditionalFormatting sqref="L94:L95">
    <cfRule type="expression" dxfId="631" priority="497" stopIfTrue="1">
      <formula>"esterreur(reference)"</formula>
    </cfRule>
  </conditionalFormatting>
  <conditionalFormatting sqref="L98">
    <cfRule type="expression" dxfId="630" priority="496" stopIfTrue="1">
      <formula>"esterreur(reference)"</formula>
    </cfRule>
  </conditionalFormatting>
  <conditionalFormatting sqref="L99">
    <cfRule type="expression" dxfId="629" priority="495" stopIfTrue="1">
      <formula>"esterreur(reference)"</formula>
    </cfRule>
  </conditionalFormatting>
  <conditionalFormatting sqref="L101">
    <cfRule type="expression" dxfId="628" priority="494" stopIfTrue="1">
      <formula>"esterreur(reference)"</formula>
    </cfRule>
  </conditionalFormatting>
  <conditionalFormatting sqref="L102">
    <cfRule type="expression" dxfId="627" priority="493" stopIfTrue="1">
      <formula>"esterreur(reference)"</formula>
    </cfRule>
  </conditionalFormatting>
  <conditionalFormatting sqref="L103">
    <cfRule type="expression" dxfId="626" priority="491" stopIfTrue="1">
      <formula>"esterreur(reference)"</formula>
    </cfRule>
  </conditionalFormatting>
  <conditionalFormatting sqref="L111">
    <cfRule type="expression" dxfId="625" priority="490" stopIfTrue="1">
      <formula>"esterreur(reference)"</formula>
    </cfRule>
  </conditionalFormatting>
  <conditionalFormatting sqref="L112">
    <cfRule type="expression" dxfId="624" priority="489" stopIfTrue="1">
      <formula>"esterreur(reference)"</formula>
    </cfRule>
  </conditionalFormatting>
  <conditionalFormatting sqref="L207">
    <cfRule type="expression" dxfId="623" priority="425" stopIfTrue="1">
      <formula>"esterreur(reference)"</formula>
    </cfRule>
  </conditionalFormatting>
  <conditionalFormatting sqref="L114">
    <cfRule type="expression" dxfId="622" priority="487" stopIfTrue="1">
      <formula>"esterreur(reference)"</formula>
    </cfRule>
  </conditionalFormatting>
  <conditionalFormatting sqref="L227">
    <cfRule type="expression" dxfId="621" priority="421" stopIfTrue="1">
      <formula>"esterreur(reference)"</formula>
    </cfRule>
  </conditionalFormatting>
  <conditionalFormatting sqref="L116:L119">
    <cfRule type="expression" dxfId="620" priority="485" stopIfTrue="1">
      <formula>"esterreur(reference)"</formula>
    </cfRule>
  </conditionalFormatting>
  <conditionalFormatting sqref="L120">
    <cfRule type="expression" dxfId="619" priority="484" stopIfTrue="1">
      <formula>"esterreur(reference)"</formula>
    </cfRule>
  </conditionalFormatting>
  <conditionalFormatting sqref="L130">
    <cfRule type="expression" dxfId="618" priority="472" stopIfTrue="1">
      <formula>"esterreur(reference)"</formula>
    </cfRule>
  </conditionalFormatting>
  <conditionalFormatting sqref="L124">
    <cfRule type="expression" dxfId="617" priority="479" stopIfTrue="1">
      <formula>"esterreur(reference)"</formula>
    </cfRule>
  </conditionalFormatting>
  <conditionalFormatting sqref="L123">
    <cfRule type="expression" dxfId="616" priority="477" stopIfTrue="1">
      <formula>"esterreur(reference)"</formula>
    </cfRule>
  </conditionalFormatting>
  <conditionalFormatting sqref="L138">
    <cfRule type="expression" dxfId="615" priority="465" stopIfTrue="1">
      <formula>"esterreur(reference)"</formula>
    </cfRule>
  </conditionalFormatting>
  <conditionalFormatting sqref="L131">
    <cfRule type="expression" dxfId="614" priority="471" stopIfTrue="1">
      <formula>"esterreur(reference)"</formula>
    </cfRule>
  </conditionalFormatting>
  <conditionalFormatting sqref="L132">
    <cfRule type="expression" dxfId="613" priority="470" stopIfTrue="1">
      <formula>"esterreur(reference)"</formula>
    </cfRule>
  </conditionalFormatting>
  <conditionalFormatting sqref="L133">
    <cfRule type="expression" dxfId="612" priority="469" stopIfTrue="1">
      <formula>"esterreur(reference)"</formula>
    </cfRule>
  </conditionalFormatting>
  <conditionalFormatting sqref="L139">
    <cfRule type="expression" dxfId="611" priority="464" stopIfTrue="1">
      <formula>"esterreur(reference)"</formula>
    </cfRule>
  </conditionalFormatting>
  <conditionalFormatting sqref="L136">
    <cfRule type="expression" dxfId="610" priority="467" stopIfTrue="1">
      <formula>"esterreur(reference)"</formula>
    </cfRule>
  </conditionalFormatting>
  <conditionalFormatting sqref="L137">
    <cfRule type="expression" dxfId="609" priority="466" stopIfTrue="1">
      <formula>"esterreur(reference)"</formula>
    </cfRule>
  </conditionalFormatting>
  <conditionalFormatting sqref="L140">
    <cfRule type="expression" dxfId="608" priority="463" stopIfTrue="1">
      <formula>"esterreur(reference)"</formula>
    </cfRule>
  </conditionalFormatting>
  <conditionalFormatting sqref="L141">
    <cfRule type="expression" dxfId="607" priority="462" stopIfTrue="1">
      <formula>"esterreur(reference)"</formula>
    </cfRule>
  </conditionalFormatting>
  <conditionalFormatting sqref="L142">
    <cfRule type="expression" dxfId="606" priority="461" stopIfTrue="1">
      <formula>"esterreur(reference)"</formula>
    </cfRule>
  </conditionalFormatting>
  <conditionalFormatting sqref="L143">
    <cfRule type="expression" dxfId="605" priority="460" stopIfTrue="1">
      <formula>"esterreur(reference)"</formula>
    </cfRule>
  </conditionalFormatting>
  <conditionalFormatting sqref="L144">
    <cfRule type="expression" dxfId="604" priority="459" stopIfTrue="1">
      <formula>"esterreur(reference)"</formula>
    </cfRule>
  </conditionalFormatting>
  <conditionalFormatting sqref="L145">
    <cfRule type="expression" dxfId="603" priority="458" stopIfTrue="1">
      <formula>"esterreur(reference)"</formula>
    </cfRule>
  </conditionalFormatting>
  <conditionalFormatting sqref="L146">
    <cfRule type="expression" dxfId="602" priority="457" stopIfTrue="1">
      <formula>"esterreur(reference)"</formula>
    </cfRule>
  </conditionalFormatting>
  <conditionalFormatting sqref="L147">
    <cfRule type="expression" dxfId="601" priority="456" stopIfTrue="1">
      <formula>"esterreur(reference)"</formula>
    </cfRule>
  </conditionalFormatting>
  <conditionalFormatting sqref="L155">
    <cfRule type="expression" dxfId="600" priority="451" stopIfTrue="1">
      <formula>"esterreur(reference)"</formula>
    </cfRule>
  </conditionalFormatting>
  <conditionalFormatting sqref="L157">
    <cfRule type="expression" dxfId="599" priority="449" stopIfTrue="1">
      <formula>"esterreur(reference)"</formula>
    </cfRule>
  </conditionalFormatting>
  <conditionalFormatting sqref="L156">
    <cfRule type="expression" dxfId="598" priority="450" stopIfTrue="1">
      <formula>"esterreur(reference)"</formula>
    </cfRule>
  </conditionalFormatting>
  <conditionalFormatting sqref="L115">
    <cfRule type="expression" dxfId="597" priority="442" stopIfTrue="1">
      <formula>"esterreur(reference)"</formula>
    </cfRule>
  </conditionalFormatting>
  <conditionalFormatting sqref="L113">
    <cfRule type="expression" dxfId="596" priority="441" stopIfTrue="1">
      <formula>"esterreur(reference)"</formula>
    </cfRule>
  </conditionalFormatting>
  <conditionalFormatting sqref="L171">
    <cfRule type="expression" dxfId="595" priority="440" stopIfTrue="1">
      <formula>"esterreur(reference)"</formula>
    </cfRule>
  </conditionalFormatting>
  <conditionalFormatting sqref="L174">
    <cfRule type="expression" dxfId="594" priority="439" stopIfTrue="1">
      <formula>"esterreur(reference)"</formula>
    </cfRule>
  </conditionalFormatting>
  <conditionalFormatting sqref="L177">
    <cfRule type="expression" dxfId="593" priority="438" stopIfTrue="1">
      <formula>"esterreur(reference)"</formula>
    </cfRule>
  </conditionalFormatting>
  <conditionalFormatting sqref="L187">
    <cfRule type="expression" dxfId="591" priority="435" stopIfTrue="1">
      <formula>"esterreur(reference)"</formula>
    </cfRule>
  </conditionalFormatting>
  <conditionalFormatting sqref="L197">
    <cfRule type="expression" dxfId="590" priority="434" stopIfTrue="1">
      <formula>"esterreur(reference)"</formula>
    </cfRule>
  </conditionalFormatting>
  <conditionalFormatting sqref="L199">
    <cfRule type="expression" dxfId="589" priority="433" stopIfTrue="1">
      <formula>"esterreur(reference)"</formula>
    </cfRule>
  </conditionalFormatting>
  <conditionalFormatting sqref="L198">
    <cfRule type="expression" dxfId="588" priority="432" stopIfTrue="1">
      <formula>"esterreur(reference)"</formula>
    </cfRule>
  </conditionalFormatting>
  <conditionalFormatting sqref="L200">
    <cfRule type="expression" dxfId="587" priority="431" stopIfTrue="1">
      <formula>"esterreur(reference)"</formula>
    </cfRule>
  </conditionalFormatting>
  <conditionalFormatting sqref="L201">
    <cfRule type="expression" dxfId="586" priority="430" stopIfTrue="1">
      <formula>"esterreur(reference)"</formula>
    </cfRule>
  </conditionalFormatting>
  <conditionalFormatting sqref="L202:L204">
    <cfRule type="expression" dxfId="585" priority="429" stopIfTrue="1">
      <formula>"esterreur(reference)"</formula>
    </cfRule>
  </conditionalFormatting>
  <conditionalFormatting sqref="L206">
    <cfRule type="expression" dxfId="584" priority="426" stopIfTrue="1">
      <formula>"esterreur(reference)"</formula>
    </cfRule>
  </conditionalFormatting>
  <conditionalFormatting sqref="L205">
    <cfRule type="expression" dxfId="583" priority="427" stopIfTrue="1">
      <formula>"esterreur(reference)"</formula>
    </cfRule>
  </conditionalFormatting>
  <conditionalFormatting sqref="L208">
    <cfRule type="expression" dxfId="582" priority="424" stopIfTrue="1">
      <formula>"esterreur(reference)"</formula>
    </cfRule>
  </conditionalFormatting>
  <conditionalFormatting sqref="L211:L224">
    <cfRule type="expression" dxfId="581" priority="423" stopIfTrue="1">
      <formula>"esterreur(reference)"</formula>
    </cfRule>
  </conditionalFormatting>
  <conditionalFormatting sqref="L225:L226">
    <cfRule type="expression" dxfId="580" priority="422" stopIfTrue="1">
      <formula>"esterreur(reference)"</formula>
    </cfRule>
  </conditionalFormatting>
  <conditionalFormatting sqref="L180">
    <cfRule type="expression" dxfId="579" priority="419" stopIfTrue="1">
      <formula>"esterreur(reference)"</formula>
    </cfRule>
  </conditionalFormatting>
  <conditionalFormatting sqref="L243">
    <cfRule type="expression" dxfId="578" priority="417" stopIfTrue="1">
      <formula>"esterreur(reference)"</formula>
    </cfRule>
  </conditionalFormatting>
  <conditionalFormatting sqref="L246">
    <cfRule type="expression" dxfId="577" priority="416" stopIfTrue="1">
      <formula>"esterreur(reference)"</formula>
    </cfRule>
  </conditionalFormatting>
  <conditionalFormatting sqref="L253">
    <cfRule type="expression" dxfId="576" priority="415" stopIfTrue="1">
      <formula>"esterreur(reference)"</formula>
    </cfRule>
  </conditionalFormatting>
  <conditionalFormatting sqref="L254">
    <cfRule type="expression" dxfId="575" priority="414" stopIfTrue="1">
      <formula>"esterreur(reference)"</formula>
    </cfRule>
  </conditionalFormatting>
  <conditionalFormatting sqref="L255">
    <cfRule type="expression" dxfId="574" priority="413" stopIfTrue="1">
      <formula>"esterreur(reference)"</formula>
    </cfRule>
  </conditionalFormatting>
  <conditionalFormatting sqref="L256">
    <cfRule type="expression" dxfId="573" priority="412" stopIfTrue="1">
      <formula>"esterreur(reference)"</formula>
    </cfRule>
  </conditionalFormatting>
  <conditionalFormatting sqref="L257">
    <cfRule type="expression" dxfId="572" priority="411" stopIfTrue="1">
      <formula>"esterreur(reference)"</formula>
    </cfRule>
  </conditionalFormatting>
  <conditionalFormatting sqref="L258">
    <cfRule type="expression" dxfId="571" priority="410" stopIfTrue="1">
      <formula>"esterreur(reference)"</formula>
    </cfRule>
  </conditionalFormatting>
  <conditionalFormatting sqref="L259">
    <cfRule type="expression" dxfId="570" priority="409" stopIfTrue="1">
      <formula>"esterreur(reference)"</formula>
    </cfRule>
  </conditionalFormatting>
  <conditionalFormatting sqref="L260">
    <cfRule type="expression" dxfId="569" priority="408" stopIfTrue="1">
      <formula>"esterreur(reference)"</formula>
    </cfRule>
  </conditionalFormatting>
  <conditionalFormatting sqref="L261">
    <cfRule type="expression" dxfId="568" priority="407" stopIfTrue="1">
      <formula>"esterreur(reference)"</formula>
    </cfRule>
  </conditionalFormatting>
  <conditionalFormatting sqref="L262">
    <cfRule type="expression" dxfId="567" priority="406" stopIfTrue="1">
      <formula>"esterreur(reference)"</formula>
    </cfRule>
  </conditionalFormatting>
  <conditionalFormatting sqref="L263:L264">
    <cfRule type="expression" dxfId="566" priority="405" stopIfTrue="1">
      <formula>"esterreur(reference)"</formula>
    </cfRule>
  </conditionalFormatting>
  <conditionalFormatting sqref="L268">
    <cfRule type="expression" dxfId="565" priority="402" stopIfTrue="1">
      <formula>"esterreur(reference)"</formula>
    </cfRule>
  </conditionalFormatting>
  <conditionalFormatting sqref="L267">
    <cfRule type="expression" dxfId="564" priority="403" stopIfTrue="1">
      <formula>"esterreur(reference)"</formula>
    </cfRule>
  </conditionalFormatting>
  <conditionalFormatting sqref="L269">
    <cfRule type="expression" dxfId="563" priority="401" stopIfTrue="1">
      <formula>"esterreur(reference)"</formula>
    </cfRule>
  </conditionalFormatting>
  <conditionalFormatting sqref="L270">
    <cfRule type="expression" dxfId="562" priority="400" stopIfTrue="1">
      <formula>"esterreur(reference)"</formula>
    </cfRule>
  </conditionalFormatting>
  <conditionalFormatting sqref="L272:L273">
    <cfRule type="expression" dxfId="561" priority="398" stopIfTrue="1">
      <formula>"esterreur(reference)"</formula>
    </cfRule>
  </conditionalFormatting>
  <conditionalFormatting sqref="L294:L300">
    <cfRule type="expression" dxfId="560" priority="393" stopIfTrue="1">
      <formula>"esterreur(reference)"</formula>
    </cfRule>
  </conditionalFormatting>
  <conditionalFormatting sqref="L301">
    <cfRule type="expression" dxfId="559" priority="392" stopIfTrue="1">
      <formula>"esterreur(reference)"</formula>
    </cfRule>
  </conditionalFormatting>
  <conditionalFormatting sqref="L302">
    <cfRule type="expression" dxfId="558" priority="391" stopIfTrue="1">
      <formula>"esterreur(reference)"</formula>
    </cfRule>
  </conditionalFormatting>
  <conditionalFormatting sqref="L306">
    <cfRule type="expression" dxfId="557" priority="390" stopIfTrue="1">
      <formula>"esterreur(reference)"</formula>
    </cfRule>
  </conditionalFormatting>
  <conditionalFormatting sqref="L307">
    <cfRule type="expression" dxfId="556" priority="389" stopIfTrue="1">
      <formula>"esterreur(reference)"</formula>
    </cfRule>
  </conditionalFormatting>
  <conditionalFormatting sqref="L311">
    <cfRule type="expression" dxfId="555" priority="388" stopIfTrue="1">
      <formula>"esterreur(reference)"</formula>
    </cfRule>
  </conditionalFormatting>
  <conditionalFormatting sqref="L317">
    <cfRule type="expression" dxfId="554" priority="387" stopIfTrue="1">
      <formula>"esterreur(reference)"</formula>
    </cfRule>
  </conditionalFormatting>
  <conditionalFormatting sqref="L318">
    <cfRule type="expression" dxfId="553" priority="386" stopIfTrue="1">
      <formula>"esterreur(reference)"</formula>
    </cfRule>
  </conditionalFormatting>
  <conditionalFormatting sqref="K5">
    <cfRule type="expression" dxfId="552" priority="377" stopIfTrue="1">
      <formula>"esterreur(reference)"</formula>
    </cfRule>
  </conditionalFormatting>
  <conditionalFormatting sqref="L5">
    <cfRule type="expression" dxfId="551" priority="375" stopIfTrue="1">
      <formula>"esterreur(reference)"</formula>
    </cfRule>
  </conditionalFormatting>
  <conditionalFormatting sqref="K182">
    <cfRule type="expression" dxfId="550" priority="366" stopIfTrue="1">
      <formula>"esterreur(reference)"</formula>
    </cfRule>
  </conditionalFormatting>
  <conditionalFormatting sqref="L93">
    <cfRule type="expression" dxfId="549" priority="347" stopIfTrue="1">
      <formula>"esterreur(reference)"</formula>
    </cfRule>
  </conditionalFormatting>
  <conditionalFormatting sqref="K171">
    <cfRule type="expression" dxfId="548" priority="345" stopIfTrue="1">
      <formula>"esterreur(reference)"</formula>
    </cfRule>
  </conditionalFormatting>
  <conditionalFormatting sqref="K174">
    <cfRule type="expression" dxfId="547" priority="344" stopIfTrue="1">
      <formula>"esterreur(reference)"</formula>
    </cfRule>
  </conditionalFormatting>
  <conditionalFormatting sqref="K177">
    <cfRule type="expression" dxfId="546" priority="343" stopIfTrue="1">
      <formula>"esterreur(reference)"</formula>
    </cfRule>
  </conditionalFormatting>
  <conditionalFormatting sqref="K180">
    <cfRule type="expression" dxfId="545" priority="341" stopIfTrue="1">
      <formula>"esterreur(reference)"</formula>
    </cfRule>
  </conditionalFormatting>
  <conditionalFormatting sqref="K240">
    <cfRule type="expression" dxfId="544" priority="337" stopIfTrue="1">
      <formula>"esterreur(reference)"</formula>
    </cfRule>
  </conditionalFormatting>
  <conditionalFormatting sqref="K243">
    <cfRule type="expression" dxfId="543" priority="336" stopIfTrue="1">
      <formula>"esterreur(reference)"</formula>
    </cfRule>
  </conditionalFormatting>
  <conditionalFormatting sqref="K246">
    <cfRule type="expression" dxfId="542" priority="334" stopIfTrue="1">
      <formula>"esterreur(reference)"</formula>
    </cfRule>
  </conditionalFormatting>
  <conditionalFormatting sqref="J306:J307">
    <cfRule type="expression" dxfId="541" priority="332" stopIfTrue="1">
      <formula>"esterreur(reference)"</formula>
    </cfRule>
  </conditionalFormatting>
  <conditionalFormatting sqref="K187">
    <cfRule type="expression" dxfId="540" priority="328" stopIfTrue="1">
      <formula>"esterreur(reference)"</formula>
    </cfRule>
  </conditionalFormatting>
  <conditionalFormatting sqref="K190">
    <cfRule type="expression" dxfId="539" priority="326" stopIfTrue="1">
      <formula>"esterreur(reference)"</formula>
    </cfRule>
  </conditionalFormatting>
  <conditionalFormatting sqref="J311">
    <cfRule type="expression" dxfId="538" priority="325" stopIfTrue="1">
      <formula>"esterreur(reference)"</formula>
    </cfRule>
  </conditionalFormatting>
  <conditionalFormatting sqref="L364:L375">
    <cfRule type="expression" dxfId="537" priority="319" stopIfTrue="1">
      <formula>"esterreur(reference)"</formula>
    </cfRule>
  </conditionalFormatting>
  <conditionalFormatting sqref="L377:L393">
    <cfRule type="expression" dxfId="536" priority="317" stopIfTrue="1">
      <formula>"esterreur(reference)"</formula>
    </cfRule>
  </conditionalFormatting>
  <conditionalFormatting sqref="K93">
    <cfRule type="expression" dxfId="535" priority="316" stopIfTrue="1">
      <formula>"esterreur(reference)"</formula>
    </cfRule>
  </conditionalFormatting>
  <conditionalFormatting sqref="L240">
    <cfRule type="expression" dxfId="534" priority="313" stopIfTrue="1">
      <formula>"esterreur(reference)"</formula>
    </cfRule>
  </conditionalFormatting>
  <conditionalFormatting sqref="K239">
    <cfRule type="expression" dxfId="533" priority="310" stopIfTrue="1">
      <formula>"esterreur(reference)"</formula>
    </cfRule>
  </conditionalFormatting>
  <conditionalFormatting sqref="L239">
    <cfRule type="expression" dxfId="532" priority="308" stopIfTrue="1">
      <formula>"esterreur(reference)"</formula>
    </cfRule>
  </conditionalFormatting>
  <conditionalFormatting sqref="F183">
    <cfRule type="expression" dxfId="531" priority="307" stopIfTrue="1">
      <formula>"esterreur(reference)"</formula>
    </cfRule>
  </conditionalFormatting>
  <conditionalFormatting sqref="J359">
    <cfRule type="expression" dxfId="530" priority="305" stopIfTrue="1">
      <formula>"esterreur(reference)"</formula>
    </cfRule>
  </conditionalFormatting>
  <conditionalFormatting sqref="L359">
    <cfRule type="expression" dxfId="529" priority="303" stopIfTrue="1">
      <formula>"esterreur(reference)"</formula>
    </cfRule>
  </conditionalFormatting>
  <conditionalFormatting sqref="S185">
    <cfRule type="expression" dxfId="528" priority="301" stopIfTrue="1">
      <formula>"esterreur(reference)"</formula>
    </cfRule>
  </conditionalFormatting>
  <conditionalFormatting sqref="K286">
    <cfRule type="expression" dxfId="527" priority="295" stopIfTrue="1">
      <formula>"esterreur(reference)"</formula>
    </cfRule>
  </conditionalFormatting>
  <conditionalFormatting sqref="AP408:AP413">
    <cfRule type="cellIs" dxfId="526" priority="247" operator="greaterThan">
      <formula>0</formula>
    </cfRule>
  </conditionalFormatting>
  <conditionalFormatting sqref="L71">
    <cfRule type="expression" dxfId="525" priority="246" stopIfTrue="1">
      <formula>"esterreur(reference)"</formula>
    </cfRule>
  </conditionalFormatting>
  <conditionalFormatting sqref="L210">
    <cfRule type="expression" dxfId="524" priority="240" stopIfTrue="1">
      <formula>"esterreur(reference)"</formula>
    </cfRule>
  </conditionalFormatting>
  <conditionalFormatting sqref="L122">
    <cfRule type="expression" dxfId="523" priority="244" stopIfTrue="1">
      <formula>"esterreur(reference)"</formula>
    </cfRule>
  </conditionalFormatting>
  <conditionalFormatting sqref="L266">
    <cfRule type="expression" dxfId="522" priority="238" stopIfTrue="1">
      <formula>"esterreur(reference)"</formula>
    </cfRule>
  </conditionalFormatting>
  <conditionalFormatting sqref="L135">
    <cfRule type="expression" dxfId="521" priority="242" stopIfTrue="1">
      <formula>"esterreur(reference)"</formula>
    </cfRule>
  </conditionalFormatting>
  <conditionalFormatting sqref="L330">
    <cfRule type="expression" dxfId="520" priority="236" stopIfTrue="1">
      <formula>"esterreur(reference)"</formula>
    </cfRule>
  </conditionalFormatting>
  <conditionalFormatting sqref="L75">
    <cfRule type="expression" dxfId="519" priority="234" stopIfTrue="1">
      <formula>"esterreur(reference)"</formula>
    </cfRule>
  </conditionalFormatting>
  <conditionalFormatting sqref="L60">
    <cfRule type="expression" dxfId="518" priority="232" stopIfTrue="1">
      <formula>"esterreur(reference)"</formula>
    </cfRule>
  </conditionalFormatting>
  <conditionalFormatting sqref="L59">
    <cfRule type="expression" dxfId="517" priority="233" stopIfTrue="1">
      <formula>"esterreur(reference)"</formula>
    </cfRule>
  </conditionalFormatting>
  <conditionalFormatting sqref="F5">
    <cfRule type="expression" dxfId="516" priority="231" stopIfTrue="1">
      <formula>"esterreur(reference)"</formula>
    </cfRule>
  </conditionalFormatting>
  <conditionalFormatting sqref="O25:Q30 Q18 O83:Q85 O41:Q41 O72:Q72 Q24 O13:O14 O16 O18:O24 O49:Q54 Q6:Q14 O31:P40 O42:P48">
    <cfRule type="expression" dxfId="515" priority="226" stopIfTrue="1">
      <formula>"esterreur(reference)"</formula>
    </cfRule>
  </conditionalFormatting>
  <conditionalFormatting sqref="P5">
    <cfRule type="expression" dxfId="514" priority="200" stopIfTrue="1">
      <formula>"esterreur(reference)"</formula>
    </cfRule>
  </conditionalFormatting>
  <conditionalFormatting sqref="Q32">
    <cfRule type="expression" dxfId="513" priority="221" stopIfTrue="1">
      <formula>"esterreur(reference)"</formula>
    </cfRule>
  </conditionalFormatting>
  <conditionalFormatting sqref="Q35">
    <cfRule type="expression" dxfId="512" priority="220" stopIfTrue="1">
      <formula>"esterreur(reference)"</formula>
    </cfRule>
  </conditionalFormatting>
  <conditionalFormatting sqref="O55:P56 O71:P71">
    <cfRule type="expression" dxfId="511" priority="227" stopIfTrue="1">
      <formula>"esterreur(reference)"</formula>
    </cfRule>
  </conditionalFormatting>
  <conditionalFormatting sqref="O61:P70">
    <cfRule type="expression" dxfId="510" priority="228" stopIfTrue="1">
      <formula>"esterreur(reference)"</formula>
    </cfRule>
  </conditionalFormatting>
  <conditionalFormatting sqref="O57:P59">
    <cfRule type="expression" dxfId="509" priority="229" stopIfTrue="1">
      <formula>"esterreur(reference)"</formula>
    </cfRule>
  </conditionalFormatting>
  <conditionalFormatting sqref="O60:P60">
    <cfRule type="expression" dxfId="508" priority="230" stopIfTrue="1">
      <formula>"esterreur(reference)"</formula>
    </cfRule>
  </conditionalFormatting>
  <conditionalFormatting sqref="Q19 Q21:Q23">
    <cfRule type="expression" dxfId="507" priority="224" stopIfTrue="1">
      <formula>"esterreur(reference)"</formula>
    </cfRule>
  </conditionalFormatting>
  <conditionalFormatting sqref="Q16:Q17">
    <cfRule type="expression" dxfId="506" priority="225" stopIfTrue="1">
      <formula>"esterreur(reference)"</formula>
    </cfRule>
  </conditionalFormatting>
  <conditionalFormatting sqref="Q20">
    <cfRule type="expression" dxfId="505" priority="223" stopIfTrue="1">
      <formula>"esterreur(reference)"</formula>
    </cfRule>
  </conditionalFormatting>
  <conditionalFormatting sqref="Q31 Q33:Q34">
    <cfRule type="expression" dxfId="504" priority="222" stopIfTrue="1">
      <formula>"esterreur(reference)"</formula>
    </cfRule>
  </conditionalFormatting>
  <conditionalFormatting sqref="Q42">
    <cfRule type="expression" dxfId="503" priority="218" stopIfTrue="1">
      <formula>"esterreur(reference)"</formula>
    </cfRule>
  </conditionalFormatting>
  <conditionalFormatting sqref="Q43">
    <cfRule type="expression" dxfId="502" priority="217" stopIfTrue="1">
      <formula>"esterreur(reference)"</formula>
    </cfRule>
  </conditionalFormatting>
  <conditionalFormatting sqref="Q44">
    <cfRule type="expression" dxfId="501" priority="216" stopIfTrue="1">
      <formula>"esterreur(reference)"</formula>
    </cfRule>
  </conditionalFormatting>
  <conditionalFormatting sqref="Q45:Q48">
    <cfRule type="expression" dxfId="500" priority="215" stopIfTrue="1">
      <formula>"esterreur(reference)"</formula>
    </cfRule>
  </conditionalFormatting>
  <conditionalFormatting sqref="Q55">
    <cfRule type="expression" dxfId="499" priority="214" stopIfTrue="1">
      <formula>"esterreur(reference)"</formula>
    </cfRule>
  </conditionalFormatting>
  <conditionalFormatting sqref="Q56">
    <cfRule type="expression" dxfId="498" priority="213" stopIfTrue="1">
      <formula>"esterreur(reference)"</formula>
    </cfRule>
  </conditionalFormatting>
  <conditionalFormatting sqref="Q58">
    <cfRule type="expression" dxfId="497" priority="212" stopIfTrue="1">
      <formula>"esterreur(reference)"</formula>
    </cfRule>
  </conditionalFormatting>
  <conditionalFormatting sqref="Q61">
    <cfRule type="expression" dxfId="496" priority="211" stopIfTrue="1">
      <formula>"esterreur(reference)"</formula>
    </cfRule>
  </conditionalFormatting>
  <conditionalFormatting sqref="Q63">
    <cfRule type="expression" dxfId="495" priority="210" stopIfTrue="1">
      <formula>"esterreur(reference)"</formula>
    </cfRule>
  </conditionalFormatting>
  <conditionalFormatting sqref="Q62">
    <cfRule type="expression" dxfId="494" priority="209" stopIfTrue="1">
      <formula>"esterreur(reference)"</formula>
    </cfRule>
  </conditionalFormatting>
  <conditionalFormatting sqref="Q64">
    <cfRule type="expression" dxfId="493" priority="208" stopIfTrue="1">
      <formula>"esterreur(reference)"</formula>
    </cfRule>
  </conditionalFormatting>
  <conditionalFormatting sqref="Q65">
    <cfRule type="expression" dxfId="492" priority="207" stopIfTrue="1">
      <formula>"esterreur(reference)"</formula>
    </cfRule>
  </conditionalFormatting>
  <conditionalFormatting sqref="Q66:Q69">
    <cfRule type="expression" dxfId="491" priority="206" stopIfTrue="1">
      <formula>"esterreur(reference)"</formula>
    </cfRule>
  </conditionalFormatting>
  <conditionalFormatting sqref="Q70">
    <cfRule type="expression" dxfId="490" priority="205" stopIfTrue="1">
      <formula>"esterreur(reference)"</formula>
    </cfRule>
  </conditionalFormatting>
  <conditionalFormatting sqref="Q75:Q82">
    <cfRule type="expression" dxfId="489" priority="204" stopIfTrue="1">
      <formula>"esterreur(reference)"</formula>
    </cfRule>
  </conditionalFormatting>
  <conditionalFormatting sqref="Q57">
    <cfRule type="expression" dxfId="488" priority="201" stopIfTrue="1">
      <formula>"esterreur(reference)"</formula>
    </cfRule>
  </conditionalFormatting>
  <conditionalFormatting sqref="Q5">
    <cfRule type="expression" dxfId="487" priority="199" stopIfTrue="1">
      <formula>"esterreur(reference)"</formula>
    </cfRule>
  </conditionalFormatting>
  <conditionalFormatting sqref="Q71">
    <cfRule type="expression" dxfId="486" priority="198" stopIfTrue="1">
      <formula>"esterreur(reference)"</formula>
    </cfRule>
  </conditionalFormatting>
  <conditionalFormatting sqref="Q60">
    <cfRule type="expression" dxfId="485" priority="195" stopIfTrue="1">
      <formula>"esterreur(reference)"</formula>
    </cfRule>
  </conditionalFormatting>
  <conditionalFormatting sqref="P98">
    <cfRule type="expression" dxfId="484" priority="194" stopIfTrue="1">
      <formula>"esterreur(reference)"</formula>
    </cfRule>
  </conditionalFormatting>
  <conditionalFormatting sqref="Q59">
    <cfRule type="expression" dxfId="483" priority="196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2" priority="190" stopIfTrue="1">
      <formula>"esterreur(reference)"</formula>
    </cfRule>
  </conditionalFormatting>
  <conditionalFormatting sqref="O141:P147">
    <cfRule type="expression" dxfId="481" priority="191" stopIfTrue="1">
      <formula>"esterreur(reference)"</formula>
    </cfRule>
  </conditionalFormatting>
  <conditionalFormatting sqref="O137:P139">
    <cfRule type="expression" dxfId="480" priority="192" stopIfTrue="1">
      <formula>"esterreur(reference)"</formula>
    </cfRule>
  </conditionalFormatting>
  <conditionalFormatting sqref="O140:P140">
    <cfRule type="expression" dxfId="479" priority="193" stopIfTrue="1">
      <formula>"esterreur(reference)"</formula>
    </cfRule>
  </conditionalFormatting>
  <conditionalFormatting sqref="Q94:Q95">
    <cfRule type="expression" dxfId="478" priority="189" stopIfTrue="1">
      <formula>"esterreur(reference)"</formula>
    </cfRule>
  </conditionalFormatting>
  <conditionalFormatting sqref="Q98">
    <cfRule type="expression" dxfId="477" priority="188" stopIfTrue="1">
      <formula>"esterreur(reference)"</formula>
    </cfRule>
  </conditionalFormatting>
  <conditionalFormatting sqref="Q99">
    <cfRule type="expression" dxfId="476" priority="187" stopIfTrue="1">
      <formula>"esterreur(reference)"</formula>
    </cfRule>
  </conditionalFormatting>
  <conditionalFormatting sqref="Q101">
    <cfRule type="expression" dxfId="475" priority="186" stopIfTrue="1">
      <formula>"esterreur(reference)"</formula>
    </cfRule>
  </conditionalFormatting>
  <conditionalFormatting sqref="Q102">
    <cfRule type="expression" dxfId="474" priority="185" stopIfTrue="1">
      <formula>"esterreur(reference)"</formula>
    </cfRule>
  </conditionalFormatting>
  <conditionalFormatting sqref="Q103">
    <cfRule type="expression" dxfId="473" priority="184" stopIfTrue="1">
      <formula>"esterreur(reference)"</formula>
    </cfRule>
  </conditionalFormatting>
  <conditionalFormatting sqref="Q111">
    <cfRule type="expression" dxfId="472" priority="183" stopIfTrue="1">
      <formula>"esterreur(reference)"</formula>
    </cfRule>
  </conditionalFormatting>
  <conditionalFormatting sqref="Q112">
    <cfRule type="expression" dxfId="471" priority="182" stopIfTrue="1">
      <formula>"esterreur(reference)"</formula>
    </cfRule>
  </conditionalFormatting>
  <conditionalFormatting sqref="Q114">
    <cfRule type="expression" dxfId="470" priority="181" stopIfTrue="1">
      <formula>"esterreur(reference)"</formula>
    </cfRule>
  </conditionalFormatting>
  <conditionalFormatting sqref="Q116:Q119">
    <cfRule type="expression" dxfId="469" priority="180" stopIfTrue="1">
      <formula>"esterreur(reference)"</formula>
    </cfRule>
  </conditionalFormatting>
  <conditionalFormatting sqref="Q120">
    <cfRule type="expression" dxfId="468" priority="179" stopIfTrue="1">
      <formula>"esterreur(reference)"</formula>
    </cfRule>
  </conditionalFormatting>
  <conditionalFormatting sqref="Q130">
    <cfRule type="expression" dxfId="467" priority="174" stopIfTrue="1">
      <formula>"esterreur(reference)"</formula>
    </cfRule>
  </conditionalFormatting>
  <conditionalFormatting sqref="Q124">
    <cfRule type="expression" dxfId="466" priority="178" stopIfTrue="1">
      <formula>"esterreur(reference)"</formula>
    </cfRule>
  </conditionalFormatting>
  <conditionalFormatting sqref="Q123">
    <cfRule type="expression" dxfId="465" priority="176" stopIfTrue="1">
      <formula>"esterreur(reference)"</formula>
    </cfRule>
  </conditionalFormatting>
  <conditionalFormatting sqref="Q139">
    <cfRule type="expression" dxfId="464" priority="167" stopIfTrue="1">
      <formula>"esterreur(reference)"</formula>
    </cfRule>
  </conditionalFormatting>
  <conditionalFormatting sqref="Q131">
    <cfRule type="expression" dxfId="463" priority="173" stopIfTrue="1">
      <formula>"esterreur(reference)"</formula>
    </cfRule>
  </conditionalFormatting>
  <conditionalFormatting sqref="Q132">
    <cfRule type="expression" dxfId="462" priority="172" stopIfTrue="1">
      <formula>"esterreur(reference)"</formula>
    </cfRule>
  </conditionalFormatting>
  <conditionalFormatting sqref="Q133">
    <cfRule type="expression" dxfId="461" priority="171" stopIfTrue="1">
      <formula>"esterreur(reference)"</formula>
    </cfRule>
  </conditionalFormatting>
  <conditionalFormatting sqref="Q141">
    <cfRule type="expression" dxfId="460" priority="165" stopIfTrue="1">
      <formula>"esterreur(reference)"</formula>
    </cfRule>
  </conditionalFormatting>
  <conditionalFormatting sqref="Q136">
    <cfRule type="expression" dxfId="459" priority="170" stopIfTrue="1">
      <formula>"esterreur(reference)"</formula>
    </cfRule>
  </conditionalFormatting>
  <conditionalFormatting sqref="Q137">
    <cfRule type="expression" dxfId="458" priority="169" stopIfTrue="1">
      <formula>"esterreur(reference)"</formula>
    </cfRule>
  </conditionalFormatting>
  <conditionalFormatting sqref="Q138">
    <cfRule type="expression" dxfId="457" priority="168" stopIfTrue="1">
      <formula>"esterreur(reference)"</formula>
    </cfRule>
  </conditionalFormatting>
  <conditionalFormatting sqref="Q143">
    <cfRule type="expression" dxfId="456" priority="163" stopIfTrue="1">
      <formula>"esterreur(reference)"</formula>
    </cfRule>
  </conditionalFormatting>
  <conditionalFormatting sqref="Q140">
    <cfRule type="expression" dxfId="455" priority="166" stopIfTrue="1">
      <formula>"esterreur(reference)"</formula>
    </cfRule>
  </conditionalFormatting>
  <conditionalFormatting sqref="Q142">
    <cfRule type="expression" dxfId="454" priority="164" stopIfTrue="1">
      <formula>"esterreur(reference)"</formula>
    </cfRule>
  </conditionalFormatting>
  <conditionalFormatting sqref="Q144">
    <cfRule type="expression" dxfId="453" priority="162" stopIfTrue="1">
      <formula>"esterreur(reference)"</formula>
    </cfRule>
  </conditionalFormatting>
  <conditionalFormatting sqref="Q145">
    <cfRule type="expression" dxfId="452" priority="161" stopIfTrue="1">
      <formula>"esterreur(reference)"</formula>
    </cfRule>
  </conditionalFormatting>
  <conditionalFormatting sqref="Q146">
    <cfRule type="expression" dxfId="451" priority="160" stopIfTrue="1">
      <formula>"esterreur(reference)"</formula>
    </cfRule>
  </conditionalFormatting>
  <conditionalFormatting sqref="Q147">
    <cfRule type="expression" dxfId="450" priority="159" stopIfTrue="1">
      <formula>"esterreur(reference)"</formula>
    </cfRule>
  </conditionalFormatting>
  <conditionalFormatting sqref="Q113">
    <cfRule type="expression" dxfId="449" priority="152" stopIfTrue="1">
      <formula>"esterreur(reference)"</formula>
    </cfRule>
  </conditionalFormatting>
  <conditionalFormatting sqref="Q155:Q161">
    <cfRule type="expression" dxfId="448" priority="156" stopIfTrue="1">
      <formula>"esterreur(reference)"</formula>
    </cfRule>
  </conditionalFormatting>
  <conditionalFormatting sqref="Q93">
    <cfRule type="expression" dxfId="447" priority="151" stopIfTrue="1">
      <formula>"esterreur(reference)"</formula>
    </cfRule>
  </conditionalFormatting>
  <conditionalFormatting sqref="Q115">
    <cfRule type="expression" dxfId="446" priority="153" stopIfTrue="1">
      <formula>"esterreur(reference)"</formula>
    </cfRule>
  </conditionalFormatting>
  <conditionalFormatting sqref="P93">
    <cfRule type="expression" dxfId="445" priority="150" stopIfTrue="1">
      <formula>"esterreur(reference)"</formula>
    </cfRule>
  </conditionalFormatting>
  <conditionalFormatting sqref="Q122">
    <cfRule type="expression" dxfId="444" priority="149" stopIfTrue="1">
      <formula>"esterreur(reference)"</formula>
    </cfRule>
  </conditionalFormatting>
  <conditionalFormatting sqref="Q135">
    <cfRule type="expression" dxfId="443" priority="14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2" priority="114" stopIfTrue="1">
      <formula>"esterreur(reference)"</formula>
    </cfRule>
  </conditionalFormatting>
  <conditionalFormatting sqref="O219:P224">
    <cfRule type="expression" dxfId="441" priority="115" stopIfTrue="1">
      <formula>"esterreur(reference)"</formula>
    </cfRule>
  </conditionalFormatting>
  <conditionalFormatting sqref="O196:Q196">
    <cfRule type="expression" dxfId="440" priority="116" stopIfTrue="1">
      <formula>"esterreur(reference)"</formula>
    </cfRule>
  </conditionalFormatting>
  <conditionalFormatting sqref="Q207">
    <cfRule type="expression" dxfId="439" priority="99" stopIfTrue="1">
      <formula>"esterreur(reference)"</formula>
    </cfRule>
  </conditionalFormatting>
  <conditionalFormatting sqref="Q227">
    <cfRule type="expression" dxfId="438" priority="95" stopIfTrue="1">
      <formula>"esterreur(reference)"</formula>
    </cfRule>
  </conditionalFormatting>
  <conditionalFormatting sqref="Q171">
    <cfRule type="expression" dxfId="437" priority="113" stopIfTrue="1">
      <formula>"esterreur(reference)"</formula>
    </cfRule>
  </conditionalFormatting>
  <conditionalFormatting sqref="Q174">
    <cfRule type="expression" dxfId="436" priority="112" stopIfTrue="1">
      <formula>"esterreur(reference)"</formula>
    </cfRule>
  </conditionalFormatting>
  <conditionalFormatting sqref="Q177">
    <cfRule type="expression" dxfId="435" priority="111" stopIfTrue="1">
      <formula>"esterreur(reference)"</formula>
    </cfRule>
  </conditionalFormatting>
  <conditionalFormatting sqref="Q183">
    <cfRule type="expression" dxfId="434" priority="110" stopIfTrue="1">
      <formula>"esterreur(reference)"</formula>
    </cfRule>
  </conditionalFormatting>
  <conditionalFormatting sqref="Q187">
    <cfRule type="expression" dxfId="433" priority="109" stopIfTrue="1">
      <formula>"esterreur(reference)"</formula>
    </cfRule>
  </conditionalFormatting>
  <conditionalFormatting sqref="Q197">
    <cfRule type="expression" dxfId="432" priority="108" stopIfTrue="1">
      <formula>"esterreur(reference)"</formula>
    </cfRule>
  </conditionalFormatting>
  <conditionalFormatting sqref="Q199">
    <cfRule type="expression" dxfId="431" priority="107" stopIfTrue="1">
      <formula>"esterreur(reference)"</formula>
    </cfRule>
  </conditionalFormatting>
  <conditionalFormatting sqref="Q198">
    <cfRule type="expression" dxfId="430" priority="106" stopIfTrue="1">
      <formula>"esterreur(reference)"</formula>
    </cfRule>
  </conditionalFormatting>
  <conditionalFormatting sqref="Q200">
    <cfRule type="expression" dxfId="429" priority="105" stopIfTrue="1">
      <formula>"esterreur(reference)"</formula>
    </cfRule>
  </conditionalFormatting>
  <conditionalFormatting sqref="Q201">
    <cfRule type="expression" dxfId="428" priority="104" stopIfTrue="1">
      <formula>"esterreur(reference)"</formula>
    </cfRule>
  </conditionalFormatting>
  <conditionalFormatting sqref="Q202:Q204">
    <cfRule type="expression" dxfId="427" priority="103" stopIfTrue="1">
      <formula>"esterreur(reference)"</formula>
    </cfRule>
  </conditionalFormatting>
  <conditionalFormatting sqref="Q206">
    <cfRule type="expression" dxfId="426" priority="100" stopIfTrue="1">
      <formula>"esterreur(reference)"</formula>
    </cfRule>
  </conditionalFormatting>
  <conditionalFormatting sqref="Q205">
    <cfRule type="expression" dxfId="425" priority="101" stopIfTrue="1">
      <formula>"esterreur(reference)"</formula>
    </cfRule>
  </conditionalFormatting>
  <conditionalFormatting sqref="Q208">
    <cfRule type="expression" dxfId="424" priority="98" stopIfTrue="1">
      <formula>"esterreur(reference)"</formula>
    </cfRule>
  </conditionalFormatting>
  <conditionalFormatting sqref="Q211:Q224">
    <cfRule type="expression" dxfId="423" priority="97" stopIfTrue="1">
      <formula>"esterreur(reference)"</formula>
    </cfRule>
  </conditionalFormatting>
  <conditionalFormatting sqref="Q225:Q226">
    <cfRule type="expression" dxfId="422" priority="96" stopIfTrue="1">
      <formula>"esterreur(reference)"</formula>
    </cfRule>
  </conditionalFormatting>
  <conditionalFormatting sqref="Q180">
    <cfRule type="expression" dxfId="421" priority="94" stopIfTrue="1">
      <formula>"esterreur(reference)"</formula>
    </cfRule>
  </conditionalFormatting>
  <conditionalFormatting sqref="P182">
    <cfRule type="expression" dxfId="420" priority="93" stopIfTrue="1">
      <formula>"esterreur(reference)"</formula>
    </cfRule>
  </conditionalFormatting>
  <conditionalFormatting sqref="P171">
    <cfRule type="expression" dxfId="419" priority="92" stopIfTrue="1">
      <formula>"esterreur(reference)"</formula>
    </cfRule>
  </conditionalFormatting>
  <conditionalFormatting sqref="P174">
    <cfRule type="expression" dxfId="418" priority="91" stopIfTrue="1">
      <formula>"esterreur(reference)"</formula>
    </cfRule>
  </conditionalFormatting>
  <conditionalFormatting sqref="P177">
    <cfRule type="expression" dxfId="417" priority="90" stopIfTrue="1">
      <formula>"esterreur(reference)"</formula>
    </cfRule>
  </conditionalFormatting>
  <conditionalFormatting sqref="P180">
    <cfRule type="expression" dxfId="416" priority="89" stopIfTrue="1">
      <formula>"esterreur(reference)"</formula>
    </cfRule>
  </conditionalFormatting>
  <conditionalFormatting sqref="P187">
    <cfRule type="expression" dxfId="415" priority="88" stopIfTrue="1">
      <formula>"esterreur(reference)"</formula>
    </cfRule>
  </conditionalFormatting>
  <conditionalFormatting sqref="P190">
    <cfRule type="expression" dxfId="414" priority="87" stopIfTrue="1">
      <formula>"esterreur(reference)"</formula>
    </cfRule>
  </conditionalFormatting>
  <conditionalFormatting sqref="Q210">
    <cfRule type="expression" dxfId="413" priority="86" stopIfTrue="1">
      <formula>"esterreur(reference)"</formula>
    </cfRule>
  </conditionalFormatting>
  <conditionalFormatting sqref="O287:Q287 O288:P288 O242:Q242 O251:Q252 O284:Q284 Q275:Q283 O253:P274">
    <cfRule type="expression" dxfId="412" priority="83" stopIfTrue="1">
      <formula>"esterreur(reference)"</formula>
    </cfRule>
  </conditionalFormatting>
  <conditionalFormatting sqref="O275:P280">
    <cfRule type="expression" dxfId="411" priority="84" stopIfTrue="1">
      <formula>"esterreur(reference)"</formula>
    </cfRule>
  </conditionalFormatting>
  <conditionalFormatting sqref="O281:P283">
    <cfRule type="expression" dxfId="410" priority="85" stopIfTrue="1">
      <formula>"esterreur(reference)"</formula>
    </cfRule>
  </conditionalFormatting>
  <conditionalFormatting sqref="Q271">
    <cfRule type="expression" dxfId="409" priority="65" stopIfTrue="1">
      <formula>"esterreur(reference)"</formula>
    </cfRule>
  </conditionalFormatting>
  <conditionalFormatting sqref="Q274">
    <cfRule type="expression" dxfId="408" priority="63" stopIfTrue="1">
      <formula>"esterreur(reference)"</formula>
    </cfRule>
  </conditionalFormatting>
  <conditionalFormatting sqref="Q243">
    <cfRule type="expression" dxfId="407" priority="82" stopIfTrue="1">
      <formula>"esterreur(reference)"</formula>
    </cfRule>
  </conditionalFormatting>
  <conditionalFormatting sqref="Q246">
    <cfRule type="expression" dxfId="406" priority="81" stopIfTrue="1">
      <formula>"esterreur(reference)"</formula>
    </cfRule>
  </conditionalFormatting>
  <conditionalFormatting sqref="Q253">
    <cfRule type="expression" dxfId="405" priority="80" stopIfTrue="1">
      <formula>"esterreur(reference)"</formula>
    </cfRule>
  </conditionalFormatting>
  <conditionalFormatting sqref="Q254">
    <cfRule type="expression" dxfId="404" priority="79" stopIfTrue="1">
      <formula>"esterreur(reference)"</formula>
    </cfRule>
  </conditionalFormatting>
  <conditionalFormatting sqref="Q255">
    <cfRule type="expression" dxfId="403" priority="78" stopIfTrue="1">
      <formula>"esterreur(reference)"</formula>
    </cfRule>
  </conditionalFormatting>
  <conditionalFormatting sqref="Q256">
    <cfRule type="expression" dxfId="402" priority="77" stopIfTrue="1">
      <formula>"esterreur(reference)"</formula>
    </cfRule>
  </conditionalFormatting>
  <conditionalFormatting sqref="Q257">
    <cfRule type="expression" dxfId="401" priority="76" stopIfTrue="1">
      <formula>"esterreur(reference)"</formula>
    </cfRule>
  </conditionalFormatting>
  <conditionalFormatting sqref="Q258">
    <cfRule type="expression" dxfId="400" priority="75" stopIfTrue="1">
      <formula>"esterreur(reference)"</formula>
    </cfRule>
  </conditionalFormatting>
  <conditionalFormatting sqref="Q259">
    <cfRule type="expression" dxfId="399" priority="74" stopIfTrue="1">
      <formula>"esterreur(reference)"</formula>
    </cfRule>
  </conditionalFormatting>
  <conditionalFormatting sqref="Q260">
    <cfRule type="expression" dxfId="398" priority="73" stopIfTrue="1">
      <formula>"esterreur(reference)"</formula>
    </cfRule>
  </conditionalFormatting>
  <conditionalFormatting sqref="Q261">
    <cfRule type="expression" dxfId="397" priority="72" stopIfTrue="1">
      <formula>"esterreur(reference)"</formula>
    </cfRule>
  </conditionalFormatting>
  <conditionalFormatting sqref="Q262">
    <cfRule type="expression" dxfId="396" priority="71" stopIfTrue="1">
      <formula>"esterreur(reference)"</formula>
    </cfRule>
  </conditionalFormatting>
  <conditionalFormatting sqref="Q263:Q264">
    <cfRule type="expression" dxfId="395" priority="70" stopIfTrue="1">
      <formula>"esterreur(reference)"</formula>
    </cfRule>
  </conditionalFormatting>
  <conditionalFormatting sqref="Q268">
    <cfRule type="expression" dxfId="394" priority="68" stopIfTrue="1">
      <formula>"esterreur(reference)"</formula>
    </cfRule>
  </conditionalFormatting>
  <conditionalFormatting sqref="Q267">
    <cfRule type="expression" dxfId="393" priority="69" stopIfTrue="1">
      <formula>"esterreur(reference)"</formula>
    </cfRule>
  </conditionalFormatting>
  <conditionalFormatting sqref="Q269">
    <cfRule type="expression" dxfId="392" priority="67" stopIfTrue="1">
      <formula>"esterreur(reference)"</formula>
    </cfRule>
  </conditionalFormatting>
  <conditionalFormatting sqref="Q270">
    <cfRule type="expression" dxfId="391" priority="66" stopIfTrue="1">
      <formula>"esterreur(reference)"</formula>
    </cfRule>
  </conditionalFormatting>
  <conditionalFormatting sqref="Q272:Q273">
    <cfRule type="expression" dxfId="390" priority="64" stopIfTrue="1">
      <formula>"esterreur(reference)"</formula>
    </cfRule>
  </conditionalFormatting>
  <conditionalFormatting sqref="P240">
    <cfRule type="expression" dxfId="389" priority="62" stopIfTrue="1">
      <formula>"esterreur(reference)"</formula>
    </cfRule>
  </conditionalFormatting>
  <conditionalFormatting sqref="P243">
    <cfRule type="expression" dxfId="388" priority="61" stopIfTrue="1">
      <formula>"esterreur(reference)"</formula>
    </cfRule>
  </conditionalFormatting>
  <conditionalFormatting sqref="P246">
    <cfRule type="expression" dxfId="387" priority="60" stopIfTrue="1">
      <formula>"esterreur(reference)"</formula>
    </cfRule>
  </conditionalFormatting>
  <conditionalFormatting sqref="Q240">
    <cfRule type="expression" dxfId="386" priority="59" stopIfTrue="1">
      <formula>"esterreur(reference)"</formula>
    </cfRule>
  </conditionalFormatting>
  <conditionalFormatting sqref="P286">
    <cfRule type="expression" dxfId="385" priority="58" stopIfTrue="1">
      <formula>"esterreur(reference)"</formula>
    </cfRule>
  </conditionalFormatting>
  <conditionalFormatting sqref="Q266">
    <cfRule type="expression" dxfId="384" priority="57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3" priority="55" stopIfTrue="1">
      <formula>"esterreur(reference)"</formula>
    </cfRule>
  </conditionalFormatting>
  <conditionalFormatting sqref="O316:Q316">
    <cfRule type="expression" dxfId="382" priority="56" stopIfTrue="1">
      <formula>"esterreur(reference)"</formula>
    </cfRule>
  </conditionalFormatting>
  <conditionalFormatting sqref="Q331:Q347">
    <cfRule type="expression" dxfId="381" priority="42" stopIfTrue="1">
      <formula>"esterreur(reference)"</formula>
    </cfRule>
  </conditionalFormatting>
  <conditionalFormatting sqref="Q325">
    <cfRule type="expression" dxfId="380" priority="46" stopIfTrue="1">
      <formula>"esterreur(reference)"</formula>
    </cfRule>
  </conditionalFormatting>
  <conditionalFormatting sqref="Q326">
    <cfRule type="expression" dxfId="379" priority="45" stopIfTrue="1">
      <formula>"esterreur(reference)"</formula>
    </cfRule>
  </conditionalFormatting>
  <conditionalFormatting sqref="Q327">
    <cfRule type="expression" dxfId="378" priority="44" stopIfTrue="1">
      <formula>"esterreur(reference)"</formula>
    </cfRule>
  </conditionalFormatting>
  <conditionalFormatting sqref="Q328">
    <cfRule type="expression" dxfId="377" priority="43" stopIfTrue="1">
      <formula>"esterreur(reference)"</formula>
    </cfRule>
  </conditionalFormatting>
  <conditionalFormatting sqref="Q294:Q300">
    <cfRule type="expression" dxfId="376" priority="54" stopIfTrue="1">
      <formula>"esterreur(reference)"</formula>
    </cfRule>
  </conditionalFormatting>
  <conditionalFormatting sqref="Q301">
    <cfRule type="expression" dxfId="375" priority="53" stopIfTrue="1">
      <formula>"esterreur(reference)"</formula>
    </cfRule>
  </conditionalFormatting>
  <conditionalFormatting sqref="Q302">
    <cfRule type="expression" dxfId="374" priority="52" stopIfTrue="1">
      <formula>"esterreur(reference)"</formula>
    </cfRule>
  </conditionalFormatting>
  <conditionalFormatting sqref="Q306">
    <cfRule type="expression" dxfId="373" priority="51" stopIfTrue="1">
      <formula>"esterreur(reference)"</formula>
    </cfRule>
  </conditionalFormatting>
  <conditionalFormatting sqref="Q307">
    <cfRule type="expression" dxfId="372" priority="50" stopIfTrue="1">
      <formula>"esterreur(reference)"</formula>
    </cfRule>
  </conditionalFormatting>
  <conditionalFormatting sqref="Q311">
    <cfRule type="expression" dxfId="371" priority="49" stopIfTrue="1">
      <formula>"esterreur(reference)"</formula>
    </cfRule>
  </conditionalFormatting>
  <conditionalFormatting sqref="Q317">
    <cfRule type="expression" dxfId="370" priority="48" stopIfTrue="1">
      <formula>"esterreur(reference)"</formula>
    </cfRule>
  </conditionalFormatting>
  <conditionalFormatting sqref="Q318">
    <cfRule type="expression" dxfId="369" priority="47" stopIfTrue="1">
      <formula>"esterreur(reference)"</formula>
    </cfRule>
  </conditionalFormatting>
  <conditionalFormatting sqref="O306:O307">
    <cfRule type="expression" dxfId="368" priority="41" stopIfTrue="1">
      <formula>"esterreur(reference)"</formula>
    </cfRule>
  </conditionalFormatting>
  <conditionalFormatting sqref="O311">
    <cfRule type="expression" dxfId="367" priority="40" stopIfTrue="1">
      <formula>"esterreur(reference)"</formula>
    </cfRule>
  </conditionalFormatting>
  <conditionalFormatting sqref="Q330">
    <cfRule type="expression" dxfId="366" priority="39" stopIfTrue="1">
      <formula>"esterreur(reference)"</formula>
    </cfRule>
  </conditionalFormatting>
  <conditionalFormatting sqref="O363:Q363 O364:P375">
    <cfRule type="expression" dxfId="365" priority="33" stopIfTrue="1">
      <formula>"esterreur(reference)"</formula>
    </cfRule>
  </conditionalFormatting>
  <conditionalFormatting sqref="O358:Q358">
    <cfRule type="expression" dxfId="364" priority="34" stopIfTrue="1">
      <formula>"esterreur(reference)"</formula>
    </cfRule>
  </conditionalFormatting>
  <conditionalFormatting sqref="O376:Q376 O377:P392">
    <cfRule type="expression" dxfId="363" priority="35" stopIfTrue="1">
      <formula>"esterreur(reference)"</formula>
    </cfRule>
  </conditionalFormatting>
  <conditionalFormatting sqref="O395:Q398 O393:P393">
    <cfRule type="expression" dxfId="362" priority="36" stopIfTrue="1">
      <formula>"esterreur(reference)"</formula>
    </cfRule>
  </conditionalFormatting>
  <conditionalFormatting sqref="O360:Q362 P359">
    <cfRule type="expression" dxfId="361" priority="37" stopIfTrue="1">
      <formula>"esterreur(reference)"</formula>
    </cfRule>
  </conditionalFormatting>
  <conditionalFormatting sqref="P394">
    <cfRule type="expression" dxfId="360" priority="38" stopIfTrue="1">
      <formula>"esterreur(reference)"</formula>
    </cfRule>
  </conditionalFormatting>
  <conditionalFormatting sqref="Q364:Q375">
    <cfRule type="expression" dxfId="359" priority="32" stopIfTrue="1">
      <formula>"esterreur(reference)"</formula>
    </cfRule>
  </conditionalFormatting>
  <conditionalFormatting sqref="Q377:Q393">
    <cfRule type="expression" dxfId="358" priority="31" stopIfTrue="1">
      <formula>"esterreur(reference)"</formula>
    </cfRule>
  </conditionalFormatting>
  <conditionalFormatting sqref="O359">
    <cfRule type="expression" dxfId="357" priority="30" stopIfTrue="1">
      <formula>"esterreur(reference)"</formula>
    </cfRule>
  </conditionalFormatting>
  <conditionalFormatting sqref="Q359">
    <cfRule type="expression" dxfId="356" priority="29" stopIfTrue="1">
      <formula>"esterreur(reference)"</formula>
    </cfRule>
  </conditionalFormatting>
  <conditionalFormatting sqref="Q36:Q40">
    <cfRule type="expression" dxfId="355" priority="28" stopIfTrue="1">
      <formula>"esterreur(reference)"</formula>
    </cfRule>
  </conditionalFormatting>
  <conditionalFormatting sqref="L68">
    <cfRule type="expression" dxfId="354" priority="27" stopIfTrue="1">
      <formula>"esterreur(reference)"</formula>
    </cfRule>
  </conditionalFormatting>
  <conditionalFormatting sqref="Q149:Q151">
    <cfRule type="expression" dxfId="353" priority="18" stopIfTrue="1">
      <formula>"esterreur(reference)"</formula>
    </cfRule>
  </conditionalFormatting>
  <conditionalFormatting sqref="H148 J148:K148">
    <cfRule type="expression" dxfId="352" priority="25" stopIfTrue="1">
      <formula>"esterreur(reference)"</formula>
    </cfRule>
  </conditionalFormatting>
  <conditionalFormatting sqref="L148">
    <cfRule type="expression" dxfId="351" priority="24" stopIfTrue="1">
      <formula>"esterreur(reference)"</formula>
    </cfRule>
  </conditionalFormatting>
  <conditionalFormatting sqref="O148:P148">
    <cfRule type="expression" dxfId="350" priority="23" stopIfTrue="1">
      <formula>"esterreur(reference)"</formula>
    </cfRule>
  </conditionalFormatting>
  <conditionalFormatting sqref="Q148">
    <cfRule type="expression" dxfId="349" priority="22" stopIfTrue="1">
      <formula>"esterreur(reference)"</formula>
    </cfRule>
  </conditionalFormatting>
  <conditionalFormatting sqref="H149:H151 J149:K151">
    <cfRule type="expression" dxfId="348" priority="21" stopIfTrue="1">
      <formula>"esterreur(reference)"</formula>
    </cfRule>
  </conditionalFormatting>
  <conditionalFormatting sqref="L149:L151">
    <cfRule type="expression" dxfId="347" priority="20" stopIfTrue="1">
      <formula>"esterreur(reference)"</formula>
    </cfRule>
  </conditionalFormatting>
  <conditionalFormatting sqref="O149:P151">
    <cfRule type="expression" dxfId="346" priority="19" stopIfTrue="1">
      <formula>"esterreur(reference)"</formula>
    </cfRule>
  </conditionalFormatting>
  <conditionalFormatting sqref="L158:L161">
    <cfRule type="expression" dxfId="345" priority="17" stopIfTrue="1">
      <formula>"esterreur(reference)"</formula>
    </cfRule>
  </conditionalFormatting>
  <conditionalFormatting sqref="AH414:AJ417">
    <cfRule type="cellIs" dxfId="344" priority="15" operator="greaterThan">
      <formula>0</formula>
    </cfRule>
  </conditionalFormatting>
  <conditionalFormatting sqref="AP414:AP417">
    <cfRule type="cellIs" dxfId="343" priority="14" operator="greaterThan">
      <formula>0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G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874C-0BF1-4C12-B450-44B66FC6335E}">
  <dimension ref="A1:BJ697"/>
  <sheetViews>
    <sheetView view="pageBreakPreview" zoomScale="55" zoomScaleNormal="55" zoomScaleSheetLayoutView="55" workbookViewId="0">
      <selection activeCell="A21" sqref="A21"/>
    </sheetView>
  </sheetViews>
  <sheetFormatPr baseColWidth="10" defaultColWidth="12.625" defaultRowHeight="15" customHeight="1"/>
  <cols>
    <col min="1" max="1" width="24.125" style="600" customWidth="1"/>
    <col min="2" max="2" width="21.625" style="600" customWidth="1"/>
    <col min="3" max="3" width="34.625" style="600" customWidth="1"/>
    <col min="4" max="4" width="16.375" style="600" customWidth="1"/>
    <col min="5" max="5" width="15.625" style="600" customWidth="1"/>
    <col min="6" max="6" width="16.875" style="600" customWidth="1"/>
    <col min="7" max="7" width="17.75" style="600" customWidth="1"/>
    <col min="8" max="8" width="15.625" style="600" customWidth="1"/>
    <col min="9" max="9" width="15.875" style="600" customWidth="1"/>
    <col min="10" max="10" width="16.75" style="600" customWidth="1"/>
    <col min="11" max="11" width="14.5" style="600" customWidth="1"/>
    <col min="12" max="12" width="15.875" style="600" customWidth="1"/>
    <col min="13" max="13" width="12" style="600" customWidth="1"/>
    <col min="14" max="14" width="18.625" style="600" customWidth="1"/>
    <col min="15" max="15" width="16.375" style="600" customWidth="1"/>
    <col min="16" max="16" width="15.625" style="600" customWidth="1"/>
    <col min="17" max="17" width="16.375" style="600" customWidth="1"/>
    <col min="18" max="18" width="13.875" style="600" customWidth="1"/>
    <col min="19" max="19" width="18.625" style="600" customWidth="1"/>
    <col min="20" max="20" width="3" style="600" customWidth="1"/>
    <col min="21" max="21" width="4" style="600" customWidth="1"/>
    <col min="22" max="22" width="28.75" style="600" customWidth="1"/>
    <col min="23" max="23" width="12.25" style="600" customWidth="1"/>
    <col min="24" max="24" width="10.875" style="600" customWidth="1"/>
    <col min="25" max="25" width="10" style="600" customWidth="1"/>
    <col min="26" max="26" width="17.375" style="600" customWidth="1"/>
    <col min="27" max="27" width="10.875" style="600" customWidth="1"/>
    <col min="28" max="28" width="10" style="600" customWidth="1"/>
    <col min="29" max="29" width="17.5" style="600" customWidth="1"/>
    <col min="30" max="30" width="10.875" style="600" customWidth="1"/>
    <col min="31" max="31" width="12" style="600" customWidth="1"/>
    <col min="32" max="32" width="18.875" style="600" customWidth="1"/>
    <col min="33" max="33" width="10.875" style="600" customWidth="1"/>
    <col min="34" max="34" width="16.25" style="600" customWidth="1"/>
    <col min="35" max="35" width="12.375" style="600" customWidth="1"/>
    <col min="36" max="36" width="10.875" style="600" customWidth="1"/>
    <col min="37" max="37" width="10" style="600" customWidth="1"/>
    <col min="38" max="38" width="17.5" style="600" customWidth="1"/>
    <col min="39" max="39" width="10.875" style="600" customWidth="1"/>
    <col min="40" max="40" width="16" style="600" customWidth="1"/>
    <col min="41" max="41" width="12.375" style="600" customWidth="1"/>
    <col min="42" max="62" width="11" style="600" customWidth="1"/>
    <col min="63" max="16384" width="12.625" style="60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70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600" t="s">
        <v>1946</v>
      </c>
      <c r="AC2" s="600" t="s">
        <v>1946</v>
      </c>
    </row>
    <row r="3" spans="1:54" ht="21" thickTop="1">
      <c r="B3" s="24"/>
      <c r="C3" s="280"/>
      <c r="D3" s="1105" t="s">
        <v>77</v>
      </c>
      <c r="E3" s="1106"/>
      <c r="F3" s="1107"/>
      <c r="G3" s="1108" t="s">
        <v>78</v>
      </c>
      <c r="H3" s="1106"/>
      <c r="I3" s="1107"/>
      <c r="J3" s="1108" t="s">
        <v>79</v>
      </c>
      <c r="K3" s="1106"/>
      <c r="L3" s="1107"/>
      <c r="M3" s="1108" t="s">
        <v>80</v>
      </c>
      <c r="N3" s="1107"/>
      <c r="O3" s="1105" t="s">
        <v>81</v>
      </c>
      <c r="P3" s="1106"/>
      <c r="Q3" s="1107"/>
      <c r="R3" s="1108" t="s">
        <v>82</v>
      </c>
      <c r="S3" s="1109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531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+SUMPRODUCT(('Budget original'!$A$8:$A$496=$A5)*('Budget original'!$C$3:$AO$3=F$2),'Budget original'!$C$8:$AO$496)</f>
        <v>1882577.9033123129</v>
      </c>
      <c r="G5" s="327"/>
      <c r="H5" s="439"/>
      <c r="I5" s="660">
        <f>+SUMPRODUCT(('Budget révisé'!$A$8:$A$496=$A5)*('Budget révisé'!$C$3:$AO$3=I$2),'Budget révisé'!$C$8:$AO$496)</f>
        <v>1882577.9033123129</v>
      </c>
      <c r="J5" s="327"/>
      <c r="K5" s="201"/>
      <c r="L5" s="194">
        <f>-SUMIFS(BV_Data_An_Cour!$P:$P,BV_Data_An_Cour!$X:$X,"Oui",BV_Data_An_Cour!$U:$U,$B5)</f>
        <v>1000809.9600000001</v>
      </c>
      <c r="M5" s="440"/>
      <c r="N5" s="441"/>
      <c r="O5" s="327"/>
      <c r="P5" s="201"/>
      <c r="Q5" s="194">
        <f>-SUMIFS(BV_Data_An_Prec!$P:$P,BV_Data_An_Prec!$X:$X,"Oui",BV_Data_An_Prec!$U:$U,$B5)</f>
        <v>2192034.1999999997</v>
      </c>
      <c r="R5" s="440"/>
      <c r="S5" s="442"/>
      <c r="T5" s="239"/>
      <c r="U5" s="239"/>
      <c r="V5" s="531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+SUMPRODUCT(('Budget original'!$A$8:$A$496=$A6)*('Budget original'!$C$3:$AO$3=D$2),'Budget original'!$C$8:$AO$496)</f>
        <v>23.607095531789504</v>
      </c>
      <c r="E6" s="196">
        <f>IF(D6=0,0,F6/D6)</f>
        <v>604.29042904290429</v>
      </c>
      <c r="F6" s="196">
        <f>+SUMPRODUCT(('Budget original'!$A$8:$A$496=$A6)*('Budget original'!$C$3:$AO$3=F$2),'Budget original'!$C$8:$AO$496)</f>
        <v>14265.541887361909</v>
      </c>
      <c r="G6" s="199">
        <f>+SUMPRODUCT(('Budget révisé'!$A$8:$A$496=$A6)*('Budget révisé'!$C$3:$AO$3=G$2),'Budget révisé'!$C$8:$AO$496)</f>
        <v>23.607095531789504</v>
      </c>
      <c r="H6" s="196">
        <f>IF(G6=0,0,I6/G6)</f>
        <v>604.29042904290429</v>
      </c>
      <c r="I6" s="196">
        <f>+SUMPRODUCT(('Budget révisé'!$A$8:$A$496=$A6)*('Budget révisé'!$C$3:$AO$3=I$2),'Budget révisé'!$C$8:$AO$496)</f>
        <v>14265.541887361909</v>
      </c>
      <c r="J6" s="199">
        <f>-SUMIFS(BV_Data_An_Cour!$P:$P,BV_Data_An_Cour!$U:$U,$B6,BV_Data_An_Cour!$V:$V,$C6,BV_Data_An_Cour!$W:$W,J$2)</f>
        <v>7</v>
      </c>
      <c r="K6" s="196">
        <f>IF(J6=0,0,L6/J6)</f>
        <v>590.46000000000072</v>
      </c>
      <c r="L6" s="572">
        <f>-SUMIFS(BV_Data_An_Cour!$P:$P,BV_Data_An_Cour!$U:$U,$B6,BV_Data_An_Cour!$V:$V,$C6,BV_Data_An_Cour!$W:$W,L$2)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-SUMIFS(BV_Data_An_Prec!$P:$P,BV_Data_An_Prec!$U:$U,$B6,BV_Data_An_Prec!$V:$V,$C6,BV_Data_An_Prec!$W:$W,O$2)</f>
        <v>43</v>
      </c>
      <c r="P6" s="196">
        <f>IF(O6=0,0,Q6/O6)</f>
        <v>741.05116279070273</v>
      </c>
      <c r="Q6" s="572">
        <f>-SUMIFS(BV_Data_An_Prec!$P:$P,BV_Data_An_Prec!$U:$U,$B6,BV_Data_An_Prec!$V:$V,$C6,BV_Data_An_Prec!$W:$W,Q$2)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531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+SUMPRODUCT(('Budget original'!$A$8:$A$496=$A7)*('Budget original'!$C$3:$AO$3=D$2),'Budget original'!$C$8:$AO$496)</f>
        <v>31.709860994845965</v>
      </c>
      <c r="E7" s="196">
        <f t="shared" ref="E7:E12" si="6">IF(D7=0,0,F7/D7)</f>
        <v>1315.4791154791155</v>
      </c>
      <c r="F7" s="196">
        <f>+SUMPRODUCT(('Budget original'!$A$8:$A$496=$A7)*('Budget original'!$C$3:$AO$3=F$2),'Budget original'!$C$8:$AO$496)</f>
        <v>41713.659893465679</v>
      </c>
      <c r="G7" s="199">
        <f>+SUMPRODUCT(('Budget révisé'!$A$8:$A$496=$A7)*('Budget révisé'!$C$3:$AO$3=G$2),'Budget révisé'!$C$8:$AO$496)</f>
        <v>31.709860994845965</v>
      </c>
      <c r="H7" s="196">
        <f t="shared" ref="H7:H12" si="7">IF(G7=0,0,I7/G7)</f>
        <v>1315.4791154791155</v>
      </c>
      <c r="I7" s="196">
        <f>+SUMPRODUCT(('Budget révisé'!$A$8:$A$496=$A7)*('Budget révisé'!$C$3:$AO$3=I$2),'Budget révisé'!$C$8:$AO$496)</f>
        <v>41713.659893465679</v>
      </c>
      <c r="J7" s="199">
        <f>-SUMIFS(BV_Data_An_Cour!$P:$P,BV_Data_An_Cour!$U:$U,$B7,BV_Data_An_Cour!$V:$V,$C7,BV_Data_An_Cour!$W:$W,J$2)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-SUMIFS(BV_Data_An_Cour!$P:$P,BV_Data_An_Cour!$U:$U,$B7,BV_Data_An_Cour!$V:$V,$C7,BV_Data_An_Cour!$W:$W,L$2)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-SUMIFS(BV_Data_An_Prec!$P:$P,BV_Data_An_Prec!$U:$U,$B7,BV_Data_An_Prec!$V:$V,$C7,BV_Data_An_Prec!$W:$W,O$2)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-SUMIFS(BV_Data_An_Prec!$P:$P,BV_Data_An_Prec!$U:$U,$B7,BV_Data_An_Prec!$V:$V,$C7,BV_Data_An_Prec!$W:$W,Q$2)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531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+SUMPRODUCT(('Budget original'!$A$8:$A$496=$A8)*('Budget original'!$C$3:$AO$3=D$2),'Budget original'!$C$8:$AO$496)</f>
        <v>0</v>
      </c>
      <c r="E8" s="196">
        <f t="shared" si="6"/>
        <v>0</v>
      </c>
      <c r="F8" s="196">
        <f>+SUMPRODUCT(('Budget original'!$A$8:$A$496=$A8)*('Budget original'!$C$3:$AO$3=F$2),'Budget original'!$C$8:$AO$496)</f>
        <v>0</v>
      </c>
      <c r="G8" s="199">
        <f>+SUMPRODUCT(('Budget révisé'!$A$8:$A$496=$A8)*('Budget révisé'!$C$3:$AO$3=G$2),'Budget révisé'!$C$8:$AO$496)</f>
        <v>0</v>
      </c>
      <c r="H8" s="196">
        <f t="shared" si="7"/>
        <v>0</v>
      </c>
      <c r="I8" s="196">
        <f>+SUMPRODUCT(('Budget révisé'!$A$8:$A$496=$A8)*('Budget révisé'!$C$3:$AO$3=I$2),'Budget révisé'!$C$8:$AO$496)</f>
        <v>0</v>
      </c>
      <c r="J8" s="199">
        <f>-SUMIFS(BV_Data_An_Cour!$P:$P,BV_Data_An_Cour!$U:$U,$B8,BV_Data_An_Cour!$V:$V,$C8,BV_Data_An_Cour!$W:$W,J$2)</f>
        <v>0</v>
      </c>
      <c r="K8" s="196">
        <f t="shared" si="8"/>
        <v>0</v>
      </c>
      <c r="L8" s="572">
        <f>-SUMIFS(BV_Data_An_Cour!$P:$P,BV_Data_An_Cour!$U:$U,$B8,BV_Data_An_Cour!$V:$V,$C8,BV_Data_An_Cour!$W:$W,L$2)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-SUMIFS(BV_Data_An_Prec!$P:$P,BV_Data_An_Prec!$U:$U,$B8,BV_Data_An_Prec!$V:$V,$C8,BV_Data_An_Prec!$W:$W,O$2)</f>
        <v>0</v>
      </c>
      <c r="P8" s="196">
        <f t="shared" si="11"/>
        <v>0</v>
      </c>
      <c r="Q8" s="572">
        <f>-SUMIFS(BV_Data_An_Prec!$P:$P,BV_Data_An_Prec!$U:$U,$B8,BV_Data_An_Prec!$V:$V,$C8,BV_Data_An_Prec!$W:$W,Q$2)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531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+SUMPRODUCT(('Budget original'!$A$8:$A$496=$A9)*('Budget original'!$C$3:$AO$3=D$2),'Budget original'!$C$8:$AO$496)</f>
        <v>0</v>
      </c>
      <c r="E9" s="196">
        <f t="shared" si="6"/>
        <v>0</v>
      </c>
      <c r="F9" s="196">
        <f>+SUMPRODUCT(('Budget original'!$A$8:$A$496=$A9)*('Budget original'!$C$3:$AO$3=F$2),'Budget original'!$C$8:$AO$496)</f>
        <v>0</v>
      </c>
      <c r="G9" s="199">
        <f>+SUMPRODUCT(('Budget révisé'!$A$8:$A$496=$A9)*('Budget révisé'!$C$3:$AO$3=G$2),'Budget révisé'!$C$8:$AO$496)</f>
        <v>0</v>
      </c>
      <c r="H9" s="196">
        <f t="shared" si="7"/>
        <v>0</v>
      </c>
      <c r="I9" s="196">
        <f>+SUMPRODUCT(('Budget révisé'!$A$8:$A$496=$A9)*('Budget révisé'!$C$3:$AO$3=I$2),'Budget révisé'!$C$8:$AO$496)</f>
        <v>0</v>
      </c>
      <c r="J9" s="199">
        <f>-SUMIFS(BV_Data_An_Cour!$P:$P,BV_Data_An_Cour!$U:$U,$B9,BV_Data_An_Cour!$V:$V,$C9,BV_Data_An_Cour!$W:$W,J$2)</f>
        <v>0</v>
      </c>
      <c r="K9" s="196">
        <f t="shared" si="8"/>
        <v>0</v>
      </c>
      <c r="L9" s="572">
        <f>-SUMIFS(BV_Data_An_Cour!$P:$P,BV_Data_An_Cour!$U:$U,$B9,BV_Data_An_Cour!$V:$V,$C9,BV_Data_An_Cour!$W:$W,L$2)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-SUMIFS(BV_Data_An_Prec!$P:$P,BV_Data_An_Prec!$U:$U,$B9,BV_Data_An_Prec!$V:$V,$C9,BV_Data_An_Prec!$W:$W,O$2)</f>
        <v>0</v>
      </c>
      <c r="P9" s="196">
        <f t="shared" si="11"/>
        <v>0</v>
      </c>
      <c r="Q9" s="572">
        <f>-SUMIFS(BV_Data_An_Prec!$P:$P,BV_Data_An_Prec!$U:$U,$B9,BV_Data_An_Prec!$V:$V,$C9,BV_Data_An_Prec!$W:$W,Q$2)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+SUMPRODUCT(('Budget original'!$A$8:$A$496=$A10)*('Budget original'!$C$3:$AO$3=D$2),'Budget original'!$C$8:$AO$496)</f>
        <v>0</v>
      </c>
      <c r="E10" s="196">
        <f t="shared" si="6"/>
        <v>0</v>
      </c>
      <c r="F10" s="196">
        <f>+SUMPRODUCT(('Budget original'!$A$8:$A$496=$A10)*('Budget original'!$C$3:$AO$3=F$2),'Budget original'!$C$8:$AO$496)</f>
        <v>0</v>
      </c>
      <c r="G10" s="199">
        <f>+SUMPRODUCT(('Budget révisé'!$A$8:$A$496=$A10)*('Budget révisé'!$C$3:$AO$3=G$2),'Budget révisé'!$C$8:$AO$496)</f>
        <v>0</v>
      </c>
      <c r="H10" s="196">
        <f t="shared" si="7"/>
        <v>0</v>
      </c>
      <c r="I10" s="196">
        <f>+SUMPRODUCT(('Budget révisé'!$A$8:$A$496=$A10)*('Budget révisé'!$C$3:$AO$3=I$2),'Budget révisé'!$C$8:$AO$496)</f>
        <v>0</v>
      </c>
      <c r="J10" s="199">
        <f>-SUMIFS(BV_Data_An_Cour!$P:$P,BV_Data_An_Cour!$U:$U,$B10,BV_Data_An_Cour!$V:$V,$C10,BV_Data_An_Cour!$W:$W,J$2)</f>
        <v>0</v>
      </c>
      <c r="K10" s="196">
        <f t="shared" si="8"/>
        <v>0</v>
      </c>
      <c r="L10" s="572">
        <f>-SUMIFS(BV_Data_An_Cour!$P:$P,BV_Data_An_Cour!$U:$U,$B10,BV_Data_An_Cour!$V:$V,$C10,BV_Data_An_Cour!$W:$W,L$2)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-SUMIFS(BV_Data_An_Prec!$P:$P,BV_Data_An_Prec!$U:$U,$B10,BV_Data_An_Prec!$V:$V,$C10,BV_Data_An_Prec!$W:$W,O$2)</f>
        <v>0</v>
      </c>
      <c r="P10" s="196">
        <f t="shared" si="11"/>
        <v>0</v>
      </c>
      <c r="Q10" s="572">
        <f>-SUMIFS(BV_Data_An_Prec!$P:$P,BV_Data_An_Prec!$U:$U,$B10,BV_Data_An_Prec!$V:$V,$C10,BV_Data_An_Prec!$W:$W,Q$2)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+SUMPRODUCT(('Budget original'!$A$8:$A$496=$A11)*('Budget original'!$C$3:$AO$3=D$2),'Budget original'!$C$8:$AO$496)</f>
        <v>0</v>
      </c>
      <c r="E11" s="196">
        <f t="shared" si="6"/>
        <v>0</v>
      </c>
      <c r="F11" s="196">
        <f>+SUMPRODUCT(('Budget original'!$A$8:$A$496=$A11)*('Budget original'!$C$3:$AO$3=F$2),'Budget original'!$C$8:$AO$496)</f>
        <v>0</v>
      </c>
      <c r="G11" s="199">
        <f>+SUMPRODUCT(('Budget révisé'!$A$8:$A$496=$A11)*('Budget révisé'!$C$3:$AO$3=G$2),'Budget révisé'!$C$8:$AO$496)</f>
        <v>0</v>
      </c>
      <c r="H11" s="196">
        <f t="shared" si="7"/>
        <v>0</v>
      </c>
      <c r="I11" s="196">
        <f>+SUMPRODUCT(('Budget révisé'!$A$8:$A$496=$A11)*('Budget révisé'!$C$3:$AO$3=I$2),'Budget révisé'!$C$8:$AO$496)</f>
        <v>0</v>
      </c>
      <c r="J11" s="199">
        <f>-SUMIFS(BV_Data_An_Cour!$P:$P,BV_Data_An_Cour!$U:$U,$B11,BV_Data_An_Cour!$V:$V,$C11,BV_Data_An_Cour!$W:$W,J$2)</f>
        <v>0</v>
      </c>
      <c r="K11" s="196">
        <f t="shared" si="8"/>
        <v>0</v>
      </c>
      <c r="L11" s="572">
        <f>-SUMIFS(BV_Data_An_Cour!$P:$P,BV_Data_An_Cour!$U:$U,$B11,BV_Data_An_Cour!$V:$V,$C11,BV_Data_An_Cour!$W:$W,L$2)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-SUMIFS(BV_Data_An_Prec!$P:$P,BV_Data_An_Prec!$U:$U,$B11,BV_Data_An_Prec!$V:$V,$C11,BV_Data_An_Prec!$W:$W,O$2)</f>
        <v>0</v>
      </c>
      <c r="P11" s="196">
        <f t="shared" si="11"/>
        <v>0</v>
      </c>
      <c r="Q11" s="572">
        <f>-SUMIFS(BV_Data_An_Prec!$P:$P,BV_Data_An_Prec!$U:$U,$B11,BV_Data_An_Prec!$V:$V,$C11,BV_Data_An_Prec!$W:$W,Q$2)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+SUMPRODUCT(('Budget original'!$A$8:$A$496=$A12)*('Budget original'!$C$3:$AO$3=D$2),'Budget original'!$C$8:$AO$496)</f>
        <v>0</v>
      </c>
      <c r="E12" s="196">
        <f t="shared" si="6"/>
        <v>0</v>
      </c>
      <c r="F12" s="196">
        <f>+SUMPRODUCT(('Budget original'!$A$8:$A$496=$A12)*('Budget original'!$C$3:$AO$3=F$2),'Budget original'!$C$8:$AO$496)</f>
        <v>0</v>
      </c>
      <c r="G12" s="199">
        <f>+SUMPRODUCT(('Budget révisé'!$A$8:$A$496=$A12)*('Budget révisé'!$C$3:$AO$3=G$2),'Budget révisé'!$C$8:$AO$496)</f>
        <v>0</v>
      </c>
      <c r="H12" s="196">
        <f t="shared" si="7"/>
        <v>0</v>
      </c>
      <c r="I12" s="196">
        <f>+SUMPRODUCT(('Budget révisé'!$A$8:$A$496=$A12)*('Budget révisé'!$C$3:$AO$3=I$2),'Budget révisé'!$C$8:$AO$496)</f>
        <v>0</v>
      </c>
      <c r="J12" s="199">
        <f>-SUMIFS(BV_Data_An_Cour!$P:$P,BV_Data_An_Cour!$U:$U,$B12,BV_Data_An_Cour!$V:$V,$C12,BV_Data_An_Cour!$W:$W,J$2)</f>
        <v>0</v>
      </c>
      <c r="K12" s="196">
        <f t="shared" si="8"/>
        <v>0</v>
      </c>
      <c r="L12" s="572">
        <f>-SUMIFS(BV_Data_An_Cour!$P:$P,BV_Data_An_Cour!$U:$U,$B12,BV_Data_An_Cour!$V:$V,$C12,BV_Data_An_Cour!$W:$W,L$2)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-SUMIFS(BV_Data_An_Prec!$P:$P,BV_Data_An_Prec!$U:$U,$B12,BV_Data_An_Prec!$V:$V,$C12,BV_Data_An_Prec!$W:$W,O$2)</f>
        <v>0</v>
      </c>
      <c r="P12" s="196">
        <f t="shared" si="11"/>
        <v>0</v>
      </c>
      <c r="Q12" s="572">
        <f>-SUMIFS(BV_Data_An_Prec!$P:$P,BV_Data_An_Prec!$U:$U,$B12,BV_Data_An_Prec!$V:$V,$C12,BV_Data_An_Prec!$W:$W,Q$2)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</row>
    <row r="14" spans="1:54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</row>
    <row r="15" spans="1:54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+SUMPRODUCT(('Budget original'!$A$8:$A$496=$A15)*('Budget original'!$C$3:$AO$3=D$2),'Budget original'!$C$8:$AO$496)</f>
        <v>5.7654292717901754</v>
      </c>
      <c r="E15" s="201">
        <f t="shared" ref="E15" si="14">IF(D15=0,0,F15/D15)</f>
        <v>400</v>
      </c>
      <c r="F15" s="194">
        <f>+SUMPRODUCT(('Budget original'!$A$8:$A$496=$A15)*('Budget original'!$C$3:$AO$3=F$2),'Budget original'!$C$8:$AO$496)</f>
        <v>2306.17170871607</v>
      </c>
      <c r="G15" s="200">
        <f>+SUMPRODUCT(('Budget révisé'!$A$8:$A$496=$A15)*('Budget révisé'!$C$3:$AO$3=G$2),'Budget révisé'!$C$8:$AO$496)</f>
        <v>5.7654292717901754</v>
      </c>
      <c r="H15" s="424">
        <f t="shared" ref="H15" si="15">IF(G15=0,0,I15/G15)</f>
        <v>400</v>
      </c>
      <c r="I15" s="422">
        <f>+SUMPRODUCT(('Budget révisé'!$A$8:$A$496=$A15)*('Budget révisé'!$C$3:$AO$3=I$2),'Budget révisé'!$C$8:$AO$496)</f>
        <v>2306.17170871607</v>
      </c>
      <c r="J15" s="565">
        <f>-SUMIFS(BV_Data_An_Cour!$P:$P,BV_Data_An_Cour!$U:$U,$B15,BV_Data_An_Cour!$V:$V,$C15,BV_Data_An_Cour!$W:$W,J$2)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-SUMIFS(BV_Data_An_Cour!$P:$P,BV_Data_An_Cour!$U:$U,$B15,BV_Data_An_Cour!$V:$V,$C15,BV_Data_An_Cour!$W:$W,L$2)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-SUMIFS(BV_Data_An_Prec!$P:$P,BV_Data_An_Prec!$U:$U,$B15,BV_Data_An_Prec!$V:$V,$C15,BV_Data_An_Prec!$W:$W,O$2)</f>
        <v>0</v>
      </c>
      <c r="P15" s="566">
        <f>IF(O15=0,0,Q15/O15)</f>
        <v>0</v>
      </c>
      <c r="Q15" s="566">
        <f>-SUMIFS(BV_Data_An_Prec!$P:$P,BV_Data_An_Prec!$U:$U,$B15,BV_Data_An_Prec!$V:$V,$C15,BV_Data_An_Prec!$W:$W,Q$2)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</row>
    <row r="16" spans="1:54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</row>
    <row r="17" spans="1:54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+SUMPRODUCT(('Budget original'!$A$8:$A$496=$A17)*('Budget original'!$C$3:$AO$3=D$2),'Budget original'!$C$8:$AO$496)</f>
        <v>0</v>
      </c>
      <c r="E17" s="196">
        <f t="shared" ref="E17" si="16">IF(D17=0,0,F17/D17)</f>
        <v>0</v>
      </c>
      <c r="F17" s="196">
        <f>+SUMPRODUCT(('Budget original'!$A$8:$A$496=$A17)*('Budget original'!$C$3:$AO$3=F$2),'Budget original'!$C$8:$AO$496)</f>
        <v>0</v>
      </c>
      <c r="G17" s="199">
        <f>+SUMPRODUCT(('Budget révisé'!$A$8:$A$496=$A17)*('Budget révisé'!$C$3:$AO$3=G$2),'Budget révisé'!$C$8:$AO$496)</f>
        <v>0</v>
      </c>
      <c r="H17" s="196">
        <f t="shared" ref="H17" si="17">IF(G17=0,0,I17/G17)</f>
        <v>0</v>
      </c>
      <c r="I17" s="196">
        <f>+SUMPRODUCT(('Budget révisé'!$A$8:$A$496=$A17)*('Budget révisé'!$C$3:$AO$3=I$2),'Budget révisé'!$C$8:$AO$496)</f>
        <v>0</v>
      </c>
      <c r="J17" s="423">
        <f>-SUMIFS(BV_Data_An_Cour!$P:$P,BV_Data_An_Cour!$U:$U,$B17,BV_Data_An_Cour!$V:$V,$C17,BV_Data_An_Cour!$W:$W,J$2)</f>
        <v>0</v>
      </c>
      <c r="K17" s="196">
        <f>IF(J17=0,0,L17/J17)</f>
        <v>0</v>
      </c>
      <c r="L17" s="197">
        <f>-SUMIFS(BV_Data_An_Cour!$P:$P,BV_Data_An_Cour!$U:$U,$B17,BV_Data_An_Cour!$V:$V,$C17,BV_Data_An_Cour!$W:$W,L$2)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-SUMIFS(BV_Data_An_Prec!$P:$P,BV_Data_An_Prec!$U:$U,$B17,BV_Data_An_Prec!$V:$V,$C17,BV_Data_An_Prec!$W:$W,O$2)</f>
        <v>0</v>
      </c>
      <c r="P17" s="196">
        <f>IF(O17=0,0,Q17/O17)</f>
        <v>0</v>
      </c>
      <c r="Q17" s="197">
        <f>-SUMIFS(BV_Data_An_Prec!$P:$P,BV_Data_An_Prec!$U:$U,$B17,BV_Data_An_Prec!$V:$V,$C17,BV_Data_An_Prec!$W:$W,Q$2)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</row>
    <row r="18" spans="1:54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</row>
    <row r="19" spans="1:54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+SUMPRODUCT(('Budget original'!$A$8:$A$496=$A19)*('Budget original'!$C$3:$AO$3=D$2),'Budget original'!$C$8:$AO$496)</f>
        <v>0</v>
      </c>
      <c r="E19" s="196">
        <f t="shared" ref="E19" si="18">IF(D19=0,0,F19/D19)</f>
        <v>0</v>
      </c>
      <c r="F19" s="196">
        <f>+SUMPRODUCT(('Budget original'!$A$8:$A$496=$A19)*('Budget original'!$C$3:$AO$3=F$2),'Budget original'!$C$8:$AO$496)</f>
        <v>5000</v>
      </c>
      <c r="G19" s="199">
        <f>+SUMPRODUCT(('Budget révisé'!$A$8:$A$496=$A19)*('Budget révisé'!$C$3:$AO$3=G$2),'Budget révisé'!$C$8:$AO$496)</f>
        <v>0</v>
      </c>
      <c r="H19" s="196">
        <f t="shared" ref="H19" si="19">IF(G19=0,0,I19/G19)</f>
        <v>0</v>
      </c>
      <c r="I19" s="196">
        <f>+SUMPRODUCT(('Budget révisé'!$A$8:$A$496=$A19)*('Budget révisé'!$C$3:$AO$3=I$2),'Budget révisé'!$C$8:$AO$496)</f>
        <v>5000</v>
      </c>
      <c r="J19" s="200"/>
      <c r="K19" s="196"/>
      <c r="L19" s="197">
        <f>-SUMIFS(BV_Data_An_Cour!$P:$P,BV_Data_An_Cour!$U:$U,$B19,BV_Data_An_Cour!$V:$V,$C19,BV_Data_An_Cour!$W:$W,L$2)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-SUMIFS(BV_Data_An_Prec!$P:$P,BV_Data_An_Prec!$U:$U,$B19,BV_Data_An_Prec!$V:$V,$C19,BV_Data_An_Prec!$W:$W,Q$2)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</row>
    <row r="20" spans="1:54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</row>
    <row r="21" spans="1:54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+SUMPRODUCT(('Budget original'!$A$8:$A$496=$A21)*('Budget original'!$C$3:$AO$3=D$2),'Budget original'!$C$8:$AO$496)</f>
        <v>0</v>
      </c>
      <c r="E21" s="196">
        <f t="shared" ref="E21:E23" si="20">IF(D21=0,0,F21/D21)</f>
        <v>0</v>
      </c>
      <c r="F21" s="196">
        <f>+SUMPRODUCT(('Budget original'!$A$8:$A$496=$A21)*('Budget original'!$C$3:$AO$3=F$2),'Budget original'!$C$8:$AO$496)</f>
        <v>5746.6182778184229</v>
      </c>
      <c r="G21" s="320">
        <f>+SUMPRODUCT(('Budget révisé'!$A$8:$A$496=$A21)*('Budget révisé'!$C$3:$AO$3=G$2),'Budget révisé'!$C$8:$AO$496)</f>
        <v>0</v>
      </c>
      <c r="H21" s="196">
        <f t="shared" ref="H21:H23" si="21">IF(G21=0,0,I21/G21)</f>
        <v>0</v>
      </c>
      <c r="I21" s="196">
        <f>+SUMPRODUCT(('Budget révisé'!$A$8:$A$496=$A21)*('Budget révisé'!$C$3:$AO$3=I$2),'Budget révisé'!$C$8:$AO$496)</f>
        <v>5746.6182778184229</v>
      </c>
      <c r="J21" s="199"/>
      <c r="K21" s="196">
        <f>IF(J13=0,0,L21/(J13+J15))</f>
        <v>0</v>
      </c>
      <c r="L21" s="197">
        <f>-SUMIFS(BV_Data_An_Cour!$P:$P,BV_Data_An_Cour!$U:$U,$B21,BV_Data_An_Cour!$V:$V,$C21,BV_Data_An_Cour!$W:$W,L$2)</f>
        <v>0</v>
      </c>
      <c r="M21" s="199"/>
      <c r="N21" s="197">
        <f t="shared" ref="N21:N24" si="22">L21-I21</f>
        <v>-5746.6182778184229</v>
      </c>
      <c r="O21" s="199"/>
      <c r="P21" s="196">
        <f>IF(O13=0,0,Q21/(O13+O15))</f>
        <v>159.33621212121213</v>
      </c>
      <c r="Q21" s="197">
        <f>-SUMIFS(BV_Data_An_Prec!$P:$P,BV_Data_An_Prec!$U:$U,$B21,BV_Data_An_Prec!$V:$V,$C21,BV_Data_An_Prec!$W:$W,Q$2)</f>
        <v>10516.19</v>
      </c>
      <c r="R21" s="199">
        <f t="shared" ref="R21:R23" si="23">O21-K21</f>
        <v>0</v>
      </c>
      <c r="S21" s="416">
        <f t="shared" ref="S21:S24" si="24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</row>
    <row r="22" spans="1:54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+SUMPRODUCT(('Budget original'!$A$8:$A$496=$A22)*('Budget original'!$C$3:$AO$3=D$2),'Budget original'!$C$8:$AO$496)</f>
        <v>0</v>
      </c>
      <c r="E22" s="196">
        <f t="shared" si="20"/>
        <v>0</v>
      </c>
      <c r="F22" s="196">
        <f>+SUMPRODUCT(('Budget original'!$A$8:$A$496=$A22)*('Budget original'!$C$3:$AO$3=F$2),'Budget original'!$C$8:$AO$496)</f>
        <v>45037.450223832748</v>
      </c>
      <c r="G22" s="320">
        <f>+SUMPRODUCT(('Budget révisé'!$A$8:$A$496=$A22)*('Budget révisé'!$C$3:$AO$3=G$2),'Budget révisé'!$C$8:$AO$496)</f>
        <v>0</v>
      </c>
      <c r="H22" s="196">
        <f t="shared" si="21"/>
        <v>0</v>
      </c>
      <c r="I22" s="196">
        <f>+SUMPRODUCT(('Budget révisé'!$A$8:$A$496=$A22)*('Budget révisé'!$C$3:$AO$3=I$2),'Budget révisé'!$C$8:$AO$496)</f>
        <v>45037.450223832748</v>
      </c>
      <c r="J22" s="199"/>
      <c r="K22" s="196">
        <f>IF(J13=0,0,L22/(J13+J15))</f>
        <v>677.14833333333331</v>
      </c>
      <c r="L22" s="197">
        <f>-SUMIFS(BV_Data_An_Cour!$P:$P,BV_Data_An_Cour!$U:$U,$B22,BV_Data_An_Cour!$V:$V,$C22,BV_Data_An_Cour!$W:$W,L$2)</f>
        <v>16251.56</v>
      </c>
      <c r="M22" s="199"/>
      <c r="N22" s="197">
        <f t="shared" si="22"/>
        <v>-28785.89022383275</v>
      </c>
      <c r="O22" s="199"/>
      <c r="P22" s="196">
        <f>IF(O13=0,0,Q22/(O13+O15))</f>
        <v>468.00954545454545</v>
      </c>
      <c r="Q22" s="197">
        <f>-SUMIFS(BV_Data_An_Prec!$P:$P,BV_Data_An_Prec!$U:$U,$B22,BV_Data_An_Prec!$V:$V,$C22,BV_Data_An_Prec!$W:$W,Q$2)</f>
        <v>30888.63</v>
      </c>
      <c r="R22" s="199">
        <f t="shared" si="23"/>
        <v>-677.14833333333331</v>
      </c>
      <c r="S22" s="416">
        <f t="shared" si="24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</row>
    <row r="23" spans="1:54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+SUMPRODUCT(('Budget original'!$A$8:$A$496=$A23)*('Budget original'!$C$3:$AO$3=D$2),'Budget original'!$C$8:$AO$496)</f>
        <v>0</v>
      </c>
      <c r="E23" s="196">
        <f t="shared" si="20"/>
        <v>0</v>
      </c>
      <c r="F23" s="196">
        <f>+SUMPRODUCT(('Budget original'!$A$8:$A$496=$A23)*('Budget original'!$C$3:$AO$3=F$2),'Budget original'!$C$8:$AO$496)</f>
        <v>1135.9594270106184</v>
      </c>
      <c r="G23" s="320">
        <f>+SUMPRODUCT(('Budget révisé'!$A$8:$A$496=$A23)*('Budget révisé'!$C$3:$AO$3=G$2),'Budget révisé'!$C$8:$AO$496)</f>
        <v>0</v>
      </c>
      <c r="H23" s="196">
        <f t="shared" si="21"/>
        <v>0</v>
      </c>
      <c r="I23" s="196">
        <f>+SUMPRODUCT(('Budget révisé'!$A$8:$A$496=$A23)*('Budget révisé'!$C$3:$AO$3=I$2),'Budget révisé'!$C$8:$AO$496)</f>
        <v>1135.9594270106184</v>
      </c>
      <c r="J23" s="199"/>
      <c r="K23" s="196">
        <f>IF(J13=0,0,L23/(J13+J15))</f>
        <v>14.202500000000001</v>
      </c>
      <c r="L23" s="197">
        <f>-SUMIFS(BV_Data_An_Cour!$P:$P,BV_Data_An_Cour!$U:$U,$B23,BV_Data_An_Cour!$V:$V,$C23,BV_Data_An_Cour!$W:$W,L$2)</f>
        <v>340.86</v>
      </c>
      <c r="M23" s="423"/>
      <c r="N23" s="197">
        <f t="shared" si="22"/>
        <v>-795.09942701061834</v>
      </c>
      <c r="O23" s="199"/>
      <c r="P23" s="196">
        <f>IF(O13=0,0,Q23/(O13+O15))</f>
        <v>68.940151515151513</v>
      </c>
      <c r="Q23" s="197">
        <f>-SUMIFS(BV_Data_An_Prec!$P:$P,BV_Data_An_Prec!$U:$U,$B23,BV_Data_An_Prec!$V:$V,$C23,BV_Data_An_Prec!$W:$W,Q$2)</f>
        <v>4550.05</v>
      </c>
      <c r="R23" s="199">
        <f t="shared" si="23"/>
        <v>-14.202500000000001</v>
      </c>
      <c r="S23" s="416">
        <f t="shared" si="24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</row>
    <row r="24" spans="1:54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2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4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</row>
    <row r="25" spans="1:54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</row>
    <row r="26" spans="1:54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</row>
    <row r="27" spans="1:54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</row>
    <row r="28" spans="1:54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</row>
    <row r="29" spans="1:54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</row>
    <row r="30" spans="1:54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</row>
    <row r="31" spans="1:54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5">F31/D$24</f>
        <v>386.83014711847153</v>
      </c>
      <c r="F31" s="196">
        <f>+SUMPRODUCT(('Budget original'!$A$8:$A$496=$A31)*('Budget original'!$C$3:$AO$3=F$2),'Budget original'!$C$8:$AO$496)</f>
        <v>23628.508284752228</v>
      </c>
      <c r="G31" s="319"/>
      <c r="H31" s="214">
        <f t="shared" ref="H31:H36" si="26">I31/G$24</f>
        <v>386.83014711847153</v>
      </c>
      <c r="I31" s="196">
        <f>+SUMPRODUCT(('Budget révisé'!$A$8:$A$496=$A31)*('Budget révisé'!$C$3:$AO$3=I$2),'Budget révisé'!$C$8:$AO$496)</f>
        <v>23628.508284752228</v>
      </c>
      <c r="J31" s="320"/>
      <c r="K31" s="214">
        <f t="shared" ref="K31:K36" si="27">IF(L31=0,0,L31/J$24)</f>
        <v>814.05875000000003</v>
      </c>
      <c r="L31" s="196">
        <f>SUMIFS(BV_Data_An_Cour!$P:$P,BV_Data_An_Cour!$U:$U,$B31,BV_Data_An_Cour!$V:$V,$C31,BV_Data_An_Cour!$W:$W,L$2)</f>
        <v>19537.41</v>
      </c>
      <c r="M31" s="320"/>
      <c r="N31" s="321">
        <f t="shared" ref="N31:N53" si="28">L31-I31</f>
        <v>-4091.0982847522282</v>
      </c>
      <c r="O31" s="320"/>
      <c r="P31" s="214">
        <f t="shared" ref="P31:P36" si="29">IF(Q31=0,0,Q31/O$24)</f>
        <v>450.04287878787881</v>
      </c>
      <c r="Q31" s="197">
        <f>SUMIFS(BV_Data_An_Prec!$P:$P,BV_Data_An_Prec!$U:$U,$B31,BV_Data_An_Prec!$V:$V,$C31,BV_Data_An_Prec!$W:$W,Q$2)</f>
        <v>29702.83</v>
      </c>
      <c r="R31" s="320"/>
      <c r="S31" s="216">
        <f t="shared" ref="S31:S41" si="30">L31-Q31</f>
        <v>-10165.420000000002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</row>
    <row r="32" spans="1:54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5"/>
        <v>254.99999999999994</v>
      </c>
      <c r="F32" s="194">
        <f>+SUMPRODUCT(('Budget original'!$A$8:$A$496=$A32)*('Budget original'!$C$3:$AO$3=F$2),'Budget original'!$C$8:$AO$496)</f>
        <v>15576.008378598535</v>
      </c>
      <c r="G32" s="326"/>
      <c r="H32" s="207">
        <f t="shared" si="26"/>
        <v>254.99999999999994</v>
      </c>
      <c r="I32" s="194">
        <f>+SUMPRODUCT(('Budget révisé'!$A$8:$A$496=$A32)*('Budget révisé'!$C$3:$AO$3=I$2),'Budget révisé'!$C$8:$AO$496)</f>
        <v>15576.008378598535</v>
      </c>
      <c r="J32" s="327"/>
      <c r="K32" s="430">
        <f t="shared" si="27"/>
        <v>203.87375</v>
      </c>
      <c r="L32" s="194">
        <f>SUMIFS(BV_Data_An_Cour!$P:$P,BV_Data_An_Cour!$U:$U,$B32,BV_Data_An_Cour!$V:$V,$C32,BV_Data_An_Cour!$W:$W,L$2)</f>
        <v>4892.97</v>
      </c>
      <c r="M32" s="327"/>
      <c r="N32" s="328">
        <f t="shared" si="28"/>
        <v>-10683.038378598536</v>
      </c>
      <c r="O32" s="327"/>
      <c r="P32" s="430">
        <f t="shared" si="29"/>
        <v>207.6630303030303</v>
      </c>
      <c r="Q32" s="194">
        <f>SUMIFS(BV_Data_An_Prec!$P:$P,BV_Data_An_Prec!$U:$U,$B32,BV_Data_An_Prec!$V:$V,$C32,BV_Data_An_Prec!$W:$W,Q$2)</f>
        <v>13705.76</v>
      </c>
      <c r="R32" s="327"/>
      <c r="S32" s="219">
        <f t="shared" si="30"/>
        <v>-8812.7900000000009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</row>
    <row r="33" spans="1:54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5"/>
        <v>197</v>
      </c>
      <c r="F33" s="196">
        <f>+SUMPRODUCT(('Budget original'!$A$8:$A$496=$A33)*('Budget original'!$C$3:$AO$3=F$2),'Budget original'!$C$8:$AO$496)</f>
        <v>12033.230002289851</v>
      </c>
      <c r="G33" s="319"/>
      <c r="H33" s="214">
        <f t="shared" si="26"/>
        <v>197</v>
      </c>
      <c r="I33" s="196">
        <f>+SUMPRODUCT(('Budget révisé'!$A$8:$A$496=$A33)*('Budget révisé'!$C$3:$AO$3=I$2),'Budget révisé'!$C$8:$AO$496)</f>
        <v>12033.230002289851</v>
      </c>
      <c r="J33" s="320"/>
      <c r="K33" s="214">
        <f t="shared" si="27"/>
        <v>199.92916666666667</v>
      </c>
      <c r="L33" s="196">
        <f>SUMIFS(BV_Data_An_Cour!$P:$P,BV_Data_An_Cour!$U:$U,$B33,BV_Data_An_Cour!$V:$V,$C33,BV_Data_An_Cour!$W:$W,L$2)</f>
        <v>4798.3</v>
      </c>
      <c r="M33" s="320"/>
      <c r="N33" s="321">
        <f t="shared" si="28"/>
        <v>-7234.9300022898506</v>
      </c>
      <c r="O33" s="320"/>
      <c r="P33" s="214">
        <f t="shared" si="29"/>
        <v>122.03530303030303</v>
      </c>
      <c r="Q33" s="197">
        <f>SUMIFS(BV_Data_An_Prec!$P:$P,BV_Data_An_Prec!$U:$U,$B33,BV_Data_An_Prec!$V:$V,$C33,BV_Data_An_Prec!$W:$W,Q$2)</f>
        <v>8054.33</v>
      </c>
      <c r="R33" s="320"/>
      <c r="S33" s="216">
        <f t="shared" si="30"/>
        <v>-3256.0299999999997</v>
      </c>
      <c r="T33" s="239"/>
      <c r="U33" s="239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</row>
    <row r="34" spans="1:54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5"/>
        <v>6</v>
      </c>
      <c r="F34" s="196">
        <f>+SUMPRODUCT(('Budget original'!$A$8:$A$496=$A34)*('Budget original'!$C$3:$AO$3=F$2),'Budget original'!$C$8:$AO$496)</f>
        <v>366.49431479055386</v>
      </c>
      <c r="G34" s="319"/>
      <c r="H34" s="214">
        <f t="shared" si="26"/>
        <v>6</v>
      </c>
      <c r="I34" s="196">
        <f>+SUMPRODUCT(('Budget révisé'!$A$8:$A$496=$A34)*('Budget révisé'!$C$3:$AO$3=I$2),'Budget révisé'!$C$8:$AO$496)</f>
        <v>366.49431479055386</v>
      </c>
      <c r="J34" s="320"/>
      <c r="K34" s="214">
        <f t="shared" si="27"/>
        <v>17.662916666666668</v>
      </c>
      <c r="L34" s="196">
        <f>SUMIFS(BV_Data_An_Cour!$P:$P,BV_Data_An_Cour!$U:$U,$B34,BV_Data_An_Cour!$V:$V,$C34,BV_Data_An_Cour!$W:$W,L$2)</f>
        <v>423.91</v>
      </c>
      <c r="M34" s="320"/>
      <c r="N34" s="321">
        <f t="shared" si="28"/>
        <v>57.415685209446167</v>
      </c>
      <c r="O34" s="320"/>
      <c r="P34" s="214">
        <f t="shared" si="29"/>
        <v>0</v>
      </c>
      <c r="Q34" s="197">
        <f>SUMIFS(BV_Data_An_Prec!$P:$P,BV_Data_An_Prec!$U:$U,$B34,BV_Data_An_Prec!$V:$V,$C34,BV_Data_An_Prec!$W:$W,Q$2)</f>
        <v>0</v>
      </c>
      <c r="R34" s="320"/>
      <c r="S34" s="216">
        <f t="shared" si="30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</row>
    <row r="35" spans="1:54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5"/>
        <v>34</v>
      </c>
      <c r="F35" s="194">
        <f>+SUMPRODUCT(('Budget original'!$A$8:$A$496=$A35)*('Budget original'!$C$3:$AO$3=F$2),'Budget original'!$C$8:$AO$496)</f>
        <v>2076.8011171464718</v>
      </c>
      <c r="G35" s="326"/>
      <c r="H35" s="207">
        <f t="shared" si="26"/>
        <v>34</v>
      </c>
      <c r="I35" s="194">
        <f>+SUMPRODUCT(('Budget révisé'!$A$8:$A$496=$A35)*('Budget révisé'!$C$3:$AO$3=I$2),'Budget révisé'!$C$8:$AO$496)</f>
        <v>2076.8011171464718</v>
      </c>
      <c r="J35" s="327"/>
      <c r="K35" s="430">
        <f t="shared" si="27"/>
        <v>7.0812499999999998</v>
      </c>
      <c r="L35" s="194">
        <f>SUMIFS(BV_Data_An_Cour!$P:$P,BV_Data_An_Cour!$U:$U,$B35,BV_Data_An_Cour!$V:$V,$C35,BV_Data_An_Cour!$W:$W,L$2)</f>
        <v>169.95</v>
      </c>
      <c r="M35" s="327"/>
      <c r="N35" s="328">
        <f t="shared" si="28"/>
        <v>-1906.8511171464718</v>
      </c>
      <c r="O35" s="327"/>
      <c r="P35" s="430">
        <f t="shared" si="29"/>
        <v>24.252272727272729</v>
      </c>
      <c r="Q35" s="197">
        <f>SUMIFS(BV_Data_An_Prec!$P:$P,BV_Data_An_Prec!$U:$U,$B35,BV_Data_An_Prec!$V:$V,$C35,BV_Data_An_Prec!$W:$W,Q$2)</f>
        <v>1600.65</v>
      </c>
      <c r="R35" s="327"/>
      <c r="S35" s="219">
        <f t="shared" si="30"/>
        <v>-1430.7</v>
      </c>
      <c r="T35" s="239"/>
      <c r="U35" s="239"/>
      <c r="V35" s="531"/>
      <c r="W35" s="531"/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</row>
    <row r="36" spans="1:54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5"/>
        <v>180.66964285714283</v>
      </c>
      <c r="F36" s="196">
        <f>+SUMPRODUCT(('Budget original'!$A$8:$A$496=$A36)*('Budget original'!$C$3:$AO$3=F$2),'Budget original'!$C$8:$AO$496)</f>
        <v>11035.732827063774</v>
      </c>
      <c r="G36" s="319"/>
      <c r="H36" s="214">
        <f t="shared" si="26"/>
        <v>180.66964285714283</v>
      </c>
      <c r="I36" s="196">
        <f>+SUMPRODUCT(('Budget révisé'!$A$8:$A$496=$A36)*('Budget révisé'!$C$3:$AO$3=I$2),'Budget révisé'!$C$8:$AO$496)</f>
        <v>11035.732827063774</v>
      </c>
      <c r="J36" s="320"/>
      <c r="K36" s="214">
        <f t="shared" si="27"/>
        <v>307.50416666666666</v>
      </c>
      <c r="L36" s="663">
        <f>SUMIFS(BV_Data_An_Cour!$P:$P,BV_Data_An_Cour!$U:$U,$B36,BV_Data_An_Cour!$V:$V,$C36,BV_Data_An_Cour!$W:$W,L$2)</f>
        <v>7380.1</v>
      </c>
      <c r="M36" s="195"/>
      <c r="N36" s="321">
        <f t="shared" si="28"/>
        <v>-3655.6328270637732</v>
      </c>
      <c r="O36" s="320"/>
      <c r="P36" s="214">
        <f t="shared" si="29"/>
        <v>93.181818181818187</v>
      </c>
      <c r="Q36" s="446">
        <f>SUMIFS(BV_Data_An_Prec!$P:$P,BV_Data_An_Prec!$U:$U,$B36,BV_Data_An_Prec!$V:$V,$C36,BV_Data_An_Prec!$W:$W,Q$2)</f>
        <v>6150</v>
      </c>
      <c r="R36" s="320"/>
      <c r="S36" s="216">
        <f t="shared" si="30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</row>
    <row r="37" spans="1:54" ht="15.75" customHeight="1">
      <c r="A37" s="600" t="str">
        <f t="shared" ref="A37:A39" si="31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2">F37/D$24</f>
        <v>226.36716442881018</v>
      </c>
      <c r="F37" s="196">
        <f>+SUMPRODUCT(('Budget original'!$A$8:$A$496=$A37)*('Budget original'!$C$3:$AO$3=F$2),'Budget original'!$C$8:$AO$496)</f>
        <v>13827.046469736237</v>
      </c>
      <c r="G37" s="319"/>
      <c r="H37" s="214">
        <f t="shared" ref="H37:H40" si="33">I37/G$24</f>
        <v>226.36716442881018</v>
      </c>
      <c r="I37" s="196">
        <f>+SUMPRODUCT(('Budget révisé'!$A$8:$A$496=$A37)*('Budget révisé'!$C$3:$AO$3=I$2),'Budget révisé'!$C$8:$AO$496)</f>
        <v>13827.046469736237</v>
      </c>
      <c r="J37" s="320"/>
      <c r="K37" s="214">
        <f t="shared" ref="K37:K40" si="34">IF(L37=0,0,L37/J$24)</f>
        <v>480.64333333333337</v>
      </c>
      <c r="L37" s="664">
        <f>SUMIFS(BV_Data_An_Cour!$P:$P,BV_Data_An_Cour!$U:$U,$B37,BV_Data_An_Cour!$V:$V,$C37,BV_Data_An_Cour!$W:$W,L$2)</f>
        <v>11535.44</v>
      </c>
      <c r="M37" s="195"/>
      <c r="N37" s="321">
        <f t="shared" ref="N37:N40" si="35">L37-I37</f>
        <v>-2291.6064697362362</v>
      </c>
      <c r="O37" s="320"/>
      <c r="P37" s="214">
        <f t="shared" ref="P37:P40" si="36">IF(Q37=0,0,Q37/O$24)</f>
        <v>277.71681818181821</v>
      </c>
      <c r="Q37" s="197">
        <f>SUMIFS(BV_Data_An_Prec!$P:$P,BV_Data_An_Prec!$U:$U,$B37,BV_Data_An_Prec!$V:$V,$C37,BV_Data_An_Prec!$W:$W,Q$2)</f>
        <v>18329.310000000001</v>
      </c>
      <c r="R37" s="320"/>
      <c r="S37" s="216">
        <f t="shared" ref="S37:S40" si="37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</row>
    <row r="38" spans="1:54" ht="15.75" customHeight="1">
      <c r="A38" s="600" t="str">
        <f t="shared" si="31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2"/>
        <v>0</v>
      </c>
      <c r="F38" s="196">
        <f>+SUMPRODUCT(('Budget original'!$A$8:$A$496=$A38)*('Budget original'!$C$3:$AO$3=F$2),'Budget original'!$C$8:$AO$496)</f>
        <v>0</v>
      </c>
      <c r="G38" s="319"/>
      <c r="H38" s="214">
        <f t="shared" si="33"/>
        <v>0</v>
      </c>
      <c r="I38" s="196">
        <f>+SUMPRODUCT(('Budget révisé'!$A$8:$A$496=$A38)*('Budget révisé'!$C$3:$AO$3=I$2),'Budget révisé'!$C$8:$AO$496)</f>
        <v>0</v>
      </c>
      <c r="J38" s="320"/>
      <c r="K38" s="214">
        <f t="shared" si="34"/>
        <v>0</v>
      </c>
      <c r="L38" s="664">
        <f>SUMIFS(BV_Data_An_Cour!$P:$P,BV_Data_An_Cour!$U:$U,$B38,BV_Data_An_Cour!$V:$V,$C38,BV_Data_An_Cour!$W:$W,L$2)</f>
        <v>0</v>
      </c>
      <c r="M38" s="195"/>
      <c r="N38" s="321">
        <f t="shared" si="35"/>
        <v>0</v>
      </c>
      <c r="O38" s="320"/>
      <c r="P38" s="214">
        <f t="shared" si="36"/>
        <v>0</v>
      </c>
      <c r="Q38" s="197">
        <f>SUMIFS(BV_Data_An_Prec!$P:$P,BV_Data_An_Prec!$U:$U,$B38,BV_Data_An_Prec!$V:$V,$C38,BV_Data_An_Prec!$W:$W,Q$2)</f>
        <v>0</v>
      </c>
      <c r="R38" s="320"/>
      <c r="S38" s="216">
        <f t="shared" si="37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</row>
    <row r="39" spans="1:54" ht="15.75" customHeight="1">
      <c r="A39" s="600" t="str">
        <f t="shared" si="31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2"/>
        <v>0</v>
      </c>
      <c r="F39" s="196">
        <f>+SUMPRODUCT(('Budget original'!$A$8:$A$496=$A39)*('Budget original'!$C$3:$AO$3=F$2),'Budget original'!$C$8:$AO$496)</f>
        <v>0</v>
      </c>
      <c r="G39" s="319"/>
      <c r="H39" s="214">
        <f t="shared" si="33"/>
        <v>0</v>
      </c>
      <c r="I39" s="196">
        <f>+SUMPRODUCT(('Budget révisé'!$A$8:$A$496=$A39)*('Budget révisé'!$C$3:$AO$3=I$2),'Budget révisé'!$C$8:$AO$496)</f>
        <v>0</v>
      </c>
      <c r="J39" s="320"/>
      <c r="K39" s="214">
        <f t="shared" si="34"/>
        <v>0</v>
      </c>
      <c r="L39" s="664">
        <f>SUMIFS(BV_Data_An_Cour!$P:$P,BV_Data_An_Cour!$U:$U,$B39,BV_Data_An_Cour!$V:$V,$C39,BV_Data_An_Cour!$W:$W,L$2)</f>
        <v>0</v>
      </c>
      <c r="M39" s="195"/>
      <c r="N39" s="321">
        <f t="shared" si="35"/>
        <v>0</v>
      </c>
      <c r="O39" s="320"/>
      <c r="P39" s="214">
        <f t="shared" si="36"/>
        <v>0</v>
      </c>
      <c r="Q39" s="197">
        <f>SUMIFS(BV_Data_An_Prec!$P:$P,BV_Data_An_Prec!$U:$U,$B39,BV_Data_An_Prec!$V:$V,$C39,BV_Data_An_Prec!$W:$W,Q$2)</f>
        <v>0</v>
      </c>
      <c r="R39" s="320"/>
      <c r="S39" s="216">
        <f t="shared" si="37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</row>
    <row r="40" spans="1:54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2"/>
        <v>0</v>
      </c>
      <c r="F40" s="196">
        <f>+SUMPRODUCT(('Budget original'!$A$8:$A$496=$A40)*('Budget original'!$C$3:$AO$3=F$2),'Budget original'!$C$8:$AO$496)</f>
        <v>0</v>
      </c>
      <c r="G40" s="319"/>
      <c r="H40" s="214">
        <f t="shared" si="33"/>
        <v>0</v>
      </c>
      <c r="I40" s="196">
        <f>+SUMPRODUCT(('Budget révisé'!$A$8:$A$496=$A40)*('Budget révisé'!$C$3:$AO$3=I$2),'Budget révisé'!$C$8:$AO$496)</f>
        <v>0</v>
      </c>
      <c r="J40" s="320"/>
      <c r="K40" s="214">
        <f t="shared" si="34"/>
        <v>0</v>
      </c>
      <c r="L40" s="665">
        <f>SUMIFS(BV_Data_An_Cour!$P:$P,BV_Data_An_Cour!$U:$U,$B40,BV_Data_An_Cour!$V:$V,$C40,BV_Data_An_Cour!$W:$W,L$2)</f>
        <v>0</v>
      </c>
      <c r="M40" s="195"/>
      <c r="N40" s="321">
        <f t="shared" si="35"/>
        <v>0</v>
      </c>
      <c r="O40" s="320"/>
      <c r="P40" s="214">
        <f t="shared" si="36"/>
        <v>0</v>
      </c>
      <c r="Q40" s="197">
        <f>SUMIFS(BV_Data_An_Prec!$P:$P,BV_Data_An_Prec!$U:$U,$B40,BV_Data_An_Prec!$V:$V,$C40,BV_Data_An_Prec!$W:$W,Q$2)</f>
        <v>0</v>
      </c>
      <c r="R40" s="320"/>
      <c r="S40" s="216">
        <f t="shared" si="37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</row>
    <row r="41" spans="1:54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1.0417387334317667</v>
      </c>
      <c r="L41" s="41">
        <f>SUM(L31:L40)</f>
        <v>48738.080000000002</v>
      </c>
      <c r="M41" s="616"/>
      <c r="N41" s="41">
        <f t="shared" si="28"/>
        <v>-29805.741394377648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0"/>
        <v>-28804.800000000003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</row>
    <row r="42" spans="1:54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+SUMPRODUCT(('Budget original'!$A$8:$A$496=$A42)*('Budget original'!$C$3:$AO$3=F$2),'Budget original'!$C$8:$AO$496)</f>
        <v>24368.631609195403</v>
      </c>
      <c r="G42" s="320"/>
      <c r="H42" s="195"/>
      <c r="I42" s="196">
        <f>+SUMPRODUCT(('Budget révisé'!$A$8:$A$496=$A42)*('Budget révisé'!$C$3:$AO$3=I$2),'Budget révisé'!$C$8:$AO$496)</f>
        <v>24368.631609195403</v>
      </c>
      <c r="J42" s="320"/>
      <c r="K42" s="195"/>
      <c r="L42" s="197">
        <f>SUMIFS(BV_Data_An_Cour!$P:$P,BV_Data_An_Cour!$U:$U,$B42,BV_Data_An_Cour!$V:$V,$C42,BV_Data_An_Cour!$W:$W,L$2)</f>
        <v>6384.14</v>
      </c>
      <c r="M42" s="320"/>
      <c r="N42" s="329">
        <f t="shared" si="28"/>
        <v>-17984.491609195404</v>
      </c>
      <c r="O42" s="320"/>
      <c r="P42" s="195"/>
      <c r="Q42" s="197">
        <f>SUMIFS(BV_Data_An_Prec!$P:$P,BV_Data_An_Prec!$U:$U,$B42,BV_Data_An_Prec!$V:$V,$C42,BV_Data_An_Prec!$W:$W,Q$2)</f>
        <v>17655.259999999998</v>
      </c>
      <c r="R42" s="320"/>
      <c r="S42" s="408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</row>
    <row r="43" spans="1:54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+SUMPRODUCT(('Budget original'!$A$8:$A$496=$A43)*('Budget original'!$C$3:$AO$3=F$2),'Budget original'!$C$8:$AO$496)</f>
        <v>9573.4805155862086</v>
      </c>
      <c r="G43" s="319"/>
      <c r="H43" s="195"/>
      <c r="I43" s="194">
        <f>+SUMPRODUCT(('Budget révisé'!$A$8:$A$496=$A43)*('Budget révisé'!$C$3:$AO$3=I$2),'Budget révisé'!$C$8:$AO$496)</f>
        <v>9573.4805155862086</v>
      </c>
      <c r="J43" s="320"/>
      <c r="K43" s="195"/>
      <c r="L43" s="197">
        <f>SUMIFS(BV_Data_An_Cour!$P:$P,BV_Data_An_Cour!$U:$U,$B43,BV_Data_An_Cour!$V:$V,$C43,BV_Data_An_Cour!$W:$W,L$2)</f>
        <v>5390.92</v>
      </c>
      <c r="M43" s="320"/>
      <c r="N43" s="321">
        <f t="shared" si="28"/>
        <v>-4182.5605155862086</v>
      </c>
      <c r="O43" s="320"/>
      <c r="P43" s="195"/>
      <c r="Q43" s="197">
        <f>SUMIFS(BV_Data_An_Prec!$P:$P,BV_Data_An_Prec!$U:$U,$B43,BV_Data_An_Prec!$V:$V,$C43,BV_Data_An_Prec!$W:$W,Q$2)</f>
        <v>9148.48</v>
      </c>
      <c r="R43" s="320"/>
      <c r="S43" s="216">
        <f t="shared" ref="S43:S53" si="38">L43-Q43</f>
        <v>-3757.5599999999995</v>
      </c>
      <c r="T43" s="239"/>
      <c r="U43" s="239"/>
      <c r="V43" s="531"/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</row>
    <row r="44" spans="1:54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+SUMPRODUCT(('Budget original'!$A$8:$A$496=$A44)*('Budget original'!$C$3:$AO$3=F$2),'Budget original'!$C$8:$AO$496)</f>
        <v>6032.6672478896544</v>
      </c>
      <c r="G44" s="410"/>
      <c r="H44" s="369"/>
      <c r="I44" s="196">
        <f>+SUMPRODUCT(('Budget révisé'!$A$8:$A$496=$A44)*('Budget révisé'!$C$3:$AO$3=I$2),'Budget révisé'!$C$8:$AO$496)</f>
        <v>6032.6672478896544</v>
      </c>
      <c r="J44" s="385"/>
      <c r="K44" s="369"/>
      <c r="L44" s="198">
        <f>SUMIFS(BV_Data_An_Cour!$P:$P,BV_Data_An_Cour!$U:$U,$B44,BV_Data_An_Cour!$V:$V,$C44,BV_Data_An_Cour!$W:$W,L$2)</f>
        <v>4197.1099999999997</v>
      </c>
      <c r="M44" s="385"/>
      <c r="N44" s="373">
        <f t="shared" si="28"/>
        <v>-1835.5572478896547</v>
      </c>
      <c r="O44" s="385"/>
      <c r="P44" s="369"/>
      <c r="Q44" s="198">
        <f>SUMIFS(BV_Data_An_Prec!$P:$P,BV_Data_An_Prec!$U:$U,$B44,BV_Data_An_Prec!$V:$V,$C44,BV_Data_An_Prec!$W:$W,Q$2)</f>
        <v>5931.63</v>
      </c>
      <c r="R44" s="385"/>
      <c r="S44" s="218">
        <f t="shared" si="38"/>
        <v>-1734.5200000000004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</row>
    <row r="45" spans="1:54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+SUMPRODUCT(('Budget original'!$A$8:$A$496=$A45)*('Budget original'!$C$3:$AO$3=F$2),'Budget original'!$C$8:$AO$496)</f>
        <v>0</v>
      </c>
      <c r="G45" s="319"/>
      <c r="H45" s="195"/>
      <c r="I45" s="196">
        <f>+SUMPRODUCT(('Budget révisé'!$A$8:$A$496=$A45)*('Budget révisé'!$C$3:$AO$3=I$2),'Budget révisé'!$C$8:$AO$496)</f>
        <v>0</v>
      </c>
      <c r="J45" s="320"/>
      <c r="K45" s="195"/>
      <c r="L45" s="197">
        <f>SUMIFS(BV_Data_An_Cour!$P:$P,BV_Data_An_Cour!$U:$U,$B45,BV_Data_An_Cour!$V:$V,$C45,BV_Data_An_Cour!$W:$W,L$2)</f>
        <v>0</v>
      </c>
      <c r="M45" s="320"/>
      <c r="N45" s="321">
        <f t="shared" si="28"/>
        <v>0</v>
      </c>
      <c r="O45" s="320"/>
      <c r="P45" s="195"/>
      <c r="Q45" s="197">
        <f>SUMIFS(BV_Data_An_Prec!$P:$P,BV_Data_An_Prec!$U:$U,$B45,BV_Data_An_Prec!$V:$V,$C45,BV_Data_An_Prec!$W:$W,Q$2)</f>
        <v>0</v>
      </c>
      <c r="R45" s="320"/>
      <c r="S45" s="216">
        <f t="shared" si="38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</row>
    <row r="46" spans="1:54" ht="15.75" customHeight="1">
      <c r="A46" s="600" t="str">
        <f t="shared" ref="A46:A48" si="39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+SUMPRODUCT(('Budget original'!$A$8:$A$496=$A46)*('Budget original'!$C$3:$AO$3=F$2),'Budget original'!$C$8:$AO$496)</f>
        <v>0</v>
      </c>
      <c r="G46" s="319"/>
      <c r="H46" s="195"/>
      <c r="I46" s="196">
        <f>+SUMPRODUCT(('Budget révisé'!$A$8:$A$496=$A46)*('Budget révisé'!$C$3:$AO$3=I$2),'Budget révisé'!$C$8:$AO$496)</f>
        <v>0</v>
      </c>
      <c r="J46" s="320"/>
      <c r="K46" s="195"/>
      <c r="L46" s="197">
        <f>SUMIFS(BV_Data_An_Cour!$P:$P,BV_Data_An_Cour!$U:$U,$B46,BV_Data_An_Cour!$V:$V,$C46,BV_Data_An_Cour!$W:$W,L$2)</f>
        <v>0</v>
      </c>
      <c r="M46" s="320"/>
      <c r="N46" s="321">
        <f t="shared" ref="N46:N48" si="40">L46-I46</f>
        <v>0</v>
      </c>
      <c r="O46" s="320"/>
      <c r="P46" s="195"/>
      <c r="Q46" s="197">
        <f>SUMIFS(BV_Data_An_Prec!$P:$P,BV_Data_An_Prec!$U:$U,$B46,BV_Data_An_Prec!$V:$V,$C46,BV_Data_An_Prec!$W:$W,Q$2)</f>
        <v>0</v>
      </c>
      <c r="R46" s="320"/>
      <c r="S46" s="216">
        <f t="shared" ref="S46:S48" si="41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</row>
    <row r="47" spans="1:54" ht="15.75" customHeight="1">
      <c r="A47" s="600" t="str">
        <f t="shared" si="39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+SUMPRODUCT(('Budget original'!$A$8:$A$496=$A47)*('Budget original'!$C$3:$AO$3=F$2),'Budget original'!$C$8:$AO$496)</f>
        <v>0</v>
      </c>
      <c r="G47" s="319"/>
      <c r="H47" s="195"/>
      <c r="I47" s="196">
        <f>+SUMPRODUCT(('Budget révisé'!$A$8:$A$496=$A47)*('Budget révisé'!$C$3:$AO$3=I$2),'Budget révisé'!$C$8:$AO$496)</f>
        <v>0</v>
      </c>
      <c r="J47" s="320"/>
      <c r="K47" s="195"/>
      <c r="L47" s="197">
        <f>SUMIFS(BV_Data_An_Cour!$P:$P,BV_Data_An_Cour!$U:$U,$B47,BV_Data_An_Cour!$V:$V,$C47,BV_Data_An_Cour!$W:$W,L$2)</f>
        <v>0</v>
      </c>
      <c r="M47" s="320"/>
      <c r="N47" s="321">
        <f t="shared" si="40"/>
        <v>0</v>
      </c>
      <c r="O47" s="320"/>
      <c r="P47" s="195"/>
      <c r="Q47" s="197">
        <f>SUMIFS(BV_Data_An_Prec!$P:$P,BV_Data_An_Prec!$U:$U,$B47,BV_Data_An_Prec!$V:$V,$C47,BV_Data_An_Prec!$W:$W,Q$2)</f>
        <v>0</v>
      </c>
      <c r="R47" s="320"/>
      <c r="S47" s="216">
        <f t="shared" si="41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</row>
    <row r="48" spans="1:54" ht="15.75" customHeight="1">
      <c r="A48" s="600" t="str">
        <f t="shared" si="39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+SUMPRODUCT(('Budget original'!$A$8:$A$496=$A48)*('Budget original'!$C$3:$AO$3=F$2),'Budget original'!$C$8:$AO$496)</f>
        <v>0</v>
      </c>
      <c r="G48" s="319"/>
      <c r="H48" s="195"/>
      <c r="I48" s="196">
        <f>+SUMPRODUCT(('Budget révisé'!$A$8:$A$496=$A48)*('Budget révisé'!$C$3:$AO$3=I$2),'Budget révisé'!$C$8:$AO$496)</f>
        <v>0</v>
      </c>
      <c r="J48" s="320"/>
      <c r="K48" s="195"/>
      <c r="L48" s="197">
        <f>SUMIFS(BV_Data_An_Cour!$P:$P,BV_Data_An_Cour!$U:$U,$B48,BV_Data_An_Cour!$V:$V,$C48,BV_Data_An_Cour!$W:$W,L$2)</f>
        <v>0</v>
      </c>
      <c r="M48" s="320"/>
      <c r="N48" s="321">
        <f t="shared" si="40"/>
        <v>0</v>
      </c>
      <c r="O48" s="320"/>
      <c r="P48" s="195"/>
      <c r="Q48" s="197">
        <f>SUMIFS(BV_Data_An_Prec!$P:$P,BV_Data_An_Prec!$U:$U,$B48,BV_Data_An_Prec!$V:$V,$C48,BV_Data_An_Prec!$W:$W,Q$2)</f>
        <v>0</v>
      </c>
      <c r="R48" s="320"/>
      <c r="S48" s="216">
        <f t="shared" si="41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</row>
    <row r="49" spans="1:54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+SUMPRODUCT(('Budget original'!$A$8:$A$496=$A49)*('Budget original'!$C$3:$AO$3=F$2),'Budget original'!$C$8:$AO$496)</f>
        <v>9501.5155243226436</v>
      </c>
      <c r="G49" s="319"/>
      <c r="H49" s="195"/>
      <c r="I49" s="194">
        <f>+SUMPRODUCT(('Budget révisé'!$A$8:$A$496=$A49)*('Budget révisé'!$C$3:$AO$3=I$2),'Budget révisé'!$C$8:$AO$496)</f>
        <v>9501.5155243226436</v>
      </c>
      <c r="J49" s="320"/>
      <c r="K49" s="195"/>
      <c r="L49" s="194">
        <f>SUMIFS(BV_Data_An_Cour!$P:$P,BV_Data_An_Cour!$U:$U,$B49,BV_Data_An_Cour!$V:$V,$C49,BV_Data_An_Cour!$W:$W,L$2)</f>
        <v>7394.06</v>
      </c>
      <c r="M49" s="320"/>
      <c r="N49" s="321">
        <f t="shared" si="28"/>
        <v>-2107.4555243226432</v>
      </c>
      <c r="O49" s="320"/>
      <c r="P49" s="195"/>
      <c r="Q49" s="194">
        <f>SUMIFS(BV_Data_An_Prec!$P:$P,BV_Data_An_Prec!$U:$U,$B49,BV_Data_An_Prec!$V:$V,$C49,BV_Data_An_Prec!$W:$W,Q$2)</f>
        <v>13018.58</v>
      </c>
      <c r="R49" s="320"/>
      <c r="S49" s="216">
        <f t="shared" si="38"/>
        <v>-5624.5199999999995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</row>
    <row r="50" spans="1:54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+SUMPRODUCT(('Budget original'!$A$8:$A$496=$A50)*('Budget original'!$C$3:$AO$3=F$2),'Budget original'!$C$8:$AO$496)</f>
        <v>9501.5155243226436</v>
      </c>
      <c r="G50" s="410"/>
      <c r="H50" s="369"/>
      <c r="I50" s="196">
        <f>+SUMPRODUCT(('Budget révisé'!$A$8:$A$496=$A50)*('Budget révisé'!$C$3:$AO$3=I$2),'Budget révisé'!$C$8:$AO$496)</f>
        <v>9501.5155243226436</v>
      </c>
      <c r="J50" s="385"/>
      <c r="K50" s="369"/>
      <c r="L50" s="197">
        <f>SUMIFS(BV_Data_An_Cour!$P:$P,BV_Data_An_Cour!$U:$U,$B50,BV_Data_An_Cour!$V:$V,$C50,BV_Data_An_Cour!$W:$W,L$2)</f>
        <v>14260.56</v>
      </c>
      <c r="M50" s="385"/>
      <c r="N50" s="373">
        <f t="shared" si="28"/>
        <v>4759.0444756773559</v>
      </c>
      <c r="O50" s="385"/>
      <c r="P50" s="369"/>
      <c r="Q50" s="197">
        <f>SUMIFS(BV_Data_An_Prec!$P:$P,BV_Data_An_Prec!$U:$U,$B50,BV_Data_An_Prec!$V:$V,$C50,BV_Data_An_Prec!$W:$W,Q$2)</f>
        <v>11499.23</v>
      </c>
      <c r="R50" s="385"/>
      <c r="S50" s="218">
        <f t="shared" si="38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</row>
    <row r="51" spans="1:54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+SUMPRODUCT(('Budget original'!$A$8:$A$496=$A51)*('Budget original'!$C$3:$AO$3=F$2),'Budget original'!$C$8:$AO$496)</f>
        <v>6809.4194590978941</v>
      </c>
      <c r="G51" s="319"/>
      <c r="H51" s="195"/>
      <c r="I51" s="196">
        <f>+SUMPRODUCT(('Budget révisé'!$A$8:$A$496=$A51)*('Budget révisé'!$C$3:$AO$3=I$2),'Budget révisé'!$C$8:$AO$496)</f>
        <v>6809.4194590978941</v>
      </c>
      <c r="J51" s="320"/>
      <c r="K51" s="195"/>
      <c r="L51" s="197">
        <f>SUMIFS(BV_Data_An_Cour!$P:$P,BV_Data_An_Cour!$U:$U,$B51,BV_Data_An_Cour!$V:$V,$C51,BV_Data_An_Cour!$W:$W,L$2)</f>
        <v>5856</v>
      </c>
      <c r="M51" s="320"/>
      <c r="N51" s="321">
        <f t="shared" si="28"/>
        <v>-953.41945909789411</v>
      </c>
      <c r="O51" s="320"/>
      <c r="P51" s="195"/>
      <c r="Q51" s="197">
        <f>SUMIFS(BV_Data_An_Prec!$P:$P,BV_Data_An_Prec!$U:$U,$B51,BV_Data_An_Prec!$V:$V,$C51,BV_Data_An_Prec!$W:$W,Q$2)</f>
        <v>7872.52</v>
      </c>
      <c r="R51" s="320"/>
      <c r="S51" s="216">
        <f t="shared" si="38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</row>
    <row r="52" spans="1:54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+SUMPRODUCT(('Budget original'!$A$8:$A$496=$A52)*('Budget original'!$C$3:$AO$3=F$2),'Budget original'!$C$8:$AO$496)</f>
        <v>1583.5859207204408</v>
      </c>
      <c r="G52" s="319"/>
      <c r="H52" s="195"/>
      <c r="I52" s="196">
        <f>+SUMPRODUCT(('Budget révisé'!$A$8:$A$496=$A52)*('Budget révisé'!$C$3:$AO$3=I$2),'Budget révisé'!$C$8:$AO$496)</f>
        <v>1583.5859207204408</v>
      </c>
      <c r="J52" s="320"/>
      <c r="K52" s="195"/>
      <c r="L52" s="197">
        <f>SUMIFS(BV_Data_An_Cour!$P:$P,BV_Data_An_Cour!$U:$U,$B52,BV_Data_An_Cour!$V:$V,$C52,BV_Data_An_Cour!$W:$W,L$2)</f>
        <v>0</v>
      </c>
      <c r="M52" s="320"/>
      <c r="N52" s="321">
        <f t="shared" si="28"/>
        <v>-1583.5859207204408</v>
      </c>
      <c r="O52" s="320"/>
      <c r="P52" s="195"/>
      <c r="Q52" s="197">
        <f>SUMIFS(BV_Data_An_Prec!$P:$P,BV_Data_An_Prec!$U:$U,$B52,BV_Data_An_Prec!$V:$V,$C52,BV_Data_An_Prec!$W:$W,Q$2)</f>
        <v>3111.06</v>
      </c>
      <c r="R52" s="320"/>
      <c r="S52" s="216">
        <f t="shared" si="38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</row>
    <row r="53" spans="1:54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+SUMPRODUCT(('Budget original'!$A$8:$A$496=$A53)*('Budget original'!$C$3:$AO$3=F$2),'Budget original'!$C$8:$AO$496)</f>
        <v>0</v>
      </c>
      <c r="G53" s="326"/>
      <c r="H53" s="325"/>
      <c r="I53" s="196">
        <f>+SUMPRODUCT(('Budget révisé'!$A$8:$A$496=$A53)*('Budget révisé'!$C$3:$AO$3=I$2),'Budget révisé'!$C$8:$AO$496)</f>
        <v>0</v>
      </c>
      <c r="J53" s="327"/>
      <c r="K53" s="325"/>
      <c r="L53" s="197">
        <f>SUMIFS(BV_Data_An_Cour!$P:$P,BV_Data_An_Cour!$U:$U,$B53,BV_Data_An_Cour!$V:$V,$C53,BV_Data_An_Cour!$W:$W,L$2)</f>
        <v>0</v>
      </c>
      <c r="M53" s="327"/>
      <c r="N53" s="328">
        <f t="shared" si="28"/>
        <v>0</v>
      </c>
      <c r="O53" s="327"/>
      <c r="P53" s="325"/>
      <c r="Q53" s="197">
        <f>SUMIFS(BV_Data_An_Prec!$P:$P,BV_Data_An_Prec!$U:$U,$B53,BV_Data_An_Prec!$V:$V,$C53,BV_Data_An_Prec!$W:$W,Q$2)</f>
        <v>0</v>
      </c>
      <c r="R53" s="327"/>
      <c r="S53" s="219">
        <f t="shared" si="38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</row>
    <row r="54" spans="1:54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0.9294109776314432</v>
      </c>
      <c r="L54" s="41">
        <f>+SUM(L42:L53)</f>
        <v>43482.79</v>
      </c>
      <c r="M54" s="44"/>
      <c r="N54" s="41">
        <f>+SUM(N42:N53)</f>
        <v>-23888.025801134892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-13482.849999999999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</row>
    <row r="55" spans="1:54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+SUMPRODUCT(('Budget original'!$A$8:$A$496=$A55)*('Budget original'!$C$3:$AO$3=F$2),'Budget original'!$C$8:$AO$496)</f>
        <v>0</v>
      </c>
      <c r="G55" s="319"/>
      <c r="H55" s="195"/>
      <c r="I55" s="196">
        <f>+SUMPRODUCT(('Budget révisé'!$A$8:$A$496=$A55)*('Budget révisé'!$C$3:$AO$3=I$2),'Budget révisé'!$C$8:$AO$496)</f>
        <v>0</v>
      </c>
      <c r="J55" s="320"/>
      <c r="K55" s="195"/>
      <c r="L55" s="197">
        <f>SUMIFS(BV_Data_An_Cour!$P:$P,BV_Data_An_Cour!$U:$U,$B55,BV_Data_An_Cour!$V:$V,$C55,BV_Data_An_Cour!$W:$W,L$2)</f>
        <v>0</v>
      </c>
      <c r="M55" s="320"/>
      <c r="N55" s="450">
        <f t="shared" ref="N55:N71" si="42">L55-I55</f>
        <v>0</v>
      </c>
      <c r="O55" s="320"/>
      <c r="P55" s="195"/>
      <c r="Q55" s="197">
        <f>SUMIFS(BV_Data_An_Prec!$P:$P,BV_Data_An_Prec!$U:$U,$B55,BV_Data_An_Prec!$V:$V,$C55,BV_Data_An_Prec!$W:$W,Q$2)</f>
        <v>0</v>
      </c>
      <c r="R55" s="320"/>
      <c r="S55" s="216">
        <f t="shared" ref="S55:S71" si="43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</row>
    <row r="56" spans="1:54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+SUMPRODUCT(('Budget original'!$A$8:$A$496=$A56)*('Budget original'!$C$3:$AO$3=F$2),'Budget original'!$C$8:$AO$496)</f>
        <v>0</v>
      </c>
      <c r="G56" s="319"/>
      <c r="H56" s="195"/>
      <c r="I56" s="196">
        <f>+SUMPRODUCT(('Budget révisé'!$A$8:$A$496=$A56)*('Budget révisé'!$C$3:$AO$3=I$2),'Budget révisé'!$C$8:$AO$496)</f>
        <v>0</v>
      </c>
      <c r="J56" s="320"/>
      <c r="K56" s="195"/>
      <c r="L56" s="197">
        <f>SUMIFS(BV_Data_An_Cour!$P:$P,BV_Data_An_Cour!$U:$U,$B56,BV_Data_An_Cour!$V:$V,$C56,BV_Data_An_Cour!$W:$W,L$2)</f>
        <v>0</v>
      </c>
      <c r="M56" s="320"/>
      <c r="N56" s="450">
        <f t="shared" si="42"/>
        <v>0</v>
      </c>
      <c r="O56" s="320"/>
      <c r="P56" s="195"/>
      <c r="Q56" s="197">
        <f>SUMIFS(BV_Data_An_Prec!$P:$P,BV_Data_An_Prec!$U:$U,$B56,BV_Data_An_Prec!$V:$V,$C56,BV_Data_An_Prec!$W:$W,Q$2)</f>
        <v>0</v>
      </c>
      <c r="R56" s="320"/>
      <c r="S56" s="216">
        <f t="shared" si="43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</row>
    <row r="57" spans="1:54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+SUMPRODUCT(('Budget original'!$A$8:$A$496=$A57)*('Budget original'!$C$3:$AO$3=F$2),'Budget original'!$C$8:$AO$496)</f>
        <v>9088.8775000000005</v>
      </c>
      <c r="G57" s="326"/>
      <c r="H57" s="325"/>
      <c r="I57" s="194">
        <f>+SUMPRODUCT(('Budget révisé'!$A$8:$A$496=$A57)*('Budget révisé'!$C$3:$AO$3=I$2),'Budget révisé'!$C$8:$AO$496)</f>
        <v>9088.8775000000005</v>
      </c>
      <c r="J57" s="327"/>
      <c r="K57" s="325"/>
      <c r="L57" s="194">
        <f>SUMIFS(BV_Data_An_Cour!$P:$P,BV_Data_An_Cour!$U:$U,$B57,BV_Data_An_Cour!$V:$V,$C57,BV_Data_An_Cour!$W:$W,L$2)</f>
        <v>5359.43</v>
      </c>
      <c r="M57" s="327"/>
      <c r="N57" s="451">
        <f t="shared" si="42"/>
        <v>-3729.4475000000002</v>
      </c>
      <c r="O57" s="327"/>
      <c r="P57" s="325"/>
      <c r="Q57" s="194">
        <f>SUMIFS(BV_Data_An_Prec!$P:$P,BV_Data_An_Prec!$U:$U,$B57,BV_Data_An_Prec!$V:$V,$C57,BV_Data_An_Prec!$W:$W,Q$2)</f>
        <v>14381.38</v>
      </c>
      <c r="R57" s="327"/>
      <c r="S57" s="219">
        <f t="shared" si="43"/>
        <v>-9021.9499999999989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</row>
    <row r="58" spans="1:54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+SUMPRODUCT(('Budget original'!$A$8:$A$496=$A58)*('Budget original'!$C$3:$AO$3=F$2),'Budget original'!$C$8:$AO$496)</f>
        <v>6677.3962666666675</v>
      </c>
      <c r="G58" s="319"/>
      <c r="H58" s="195"/>
      <c r="I58" s="196">
        <f>+SUMPRODUCT(('Budget révisé'!$A$8:$A$496=$A58)*('Budget révisé'!$C$3:$AO$3=I$2),'Budget révisé'!$C$8:$AO$496)</f>
        <v>6677.3962666666675</v>
      </c>
      <c r="J58" s="320"/>
      <c r="K58" s="195"/>
      <c r="L58" s="197">
        <f>SUMIFS(BV_Data_An_Cour!$P:$P,BV_Data_An_Cour!$U:$U,$B58,BV_Data_An_Cour!$V:$V,$C58,BV_Data_An_Cour!$W:$W,L$2)</f>
        <v>5798.14</v>
      </c>
      <c r="M58" s="320"/>
      <c r="N58" s="321">
        <f t="shared" si="42"/>
        <v>-879.25626666666722</v>
      </c>
      <c r="O58" s="320"/>
      <c r="P58" s="195"/>
      <c r="Q58" s="197">
        <f>SUMIFS(BV_Data_An_Prec!$P:$P,BV_Data_An_Prec!$U:$U,$B58,BV_Data_An_Prec!$V:$V,$C58,BV_Data_An_Prec!$W:$W,Q$2)</f>
        <v>8274.69</v>
      </c>
      <c r="R58" s="320"/>
      <c r="S58" s="216">
        <f t="shared" si="43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</row>
    <row r="59" spans="1:54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+SUMPRODUCT(('Budget original'!$A$8:$A$496=$A59)*('Budget original'!$C$3:$AO$3=F$2),'Budget original'!$C$8:$AO$496)</f>
        <v>1596.4967999999999</v>
      </c>
      <c r="G59" s="319"/>
      <c r="H59" s="195"/>
      <c r="I59" s="196">
        <f>+SUMPRODUCT(('Budget révisé'!$A$8:$A$496=$A59)*('Budget révisé'!$C$3:$AO$3=I$2),'Budget révisé'!$C$8:$AO$496)</f>
        <v>1596.4967999999999</v>
      </c>
      <c r="J59" s="320"/>
      <c r="K59" s="195"/>
      <c r="L59" s="197">
        <f>SUMIFS(BV_Data_An_Cour!$P:$P,BV_Data_An_Cour!$U:$U,$B59,BV_Data_An_Cour!$V:$V,$C59,BV_Data_An_Cour!$W:$W,L$2)</f>
        <v>98.29</v>
      </c>
      <c r="M59" s="320"/>
      <c r="N59" s="321">
        <f t="shared" si="42"/>
        <v>-1498.2067999999999</v>
      </c>
      <c r="O59" s="320"/>
      <c r="P59" s="195"/>
      <c r="Q59" s="197">
        <f>SUMIFS(BV_Data_An_Prec!$P:$P,BV_Data_An_Prec!$U:$U,$B59,BV_Data_An_Prec!$V:$V,$C59,BV_Data_An_Prec!$W:$W,Q$2)</f>
        <v>1944.64</v>
      </c>
      <c r="R59" s="320"/>
      <c r="S59" s="216">
        <f t="shared" si="43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</row>
    <row r="60" spans="1:54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+SUMPRODUCT(('Budget original'!$A$8:$A$496=$A60)*('Budget original'!$C$3:$AO$3=F$2),'Budget original'!$C$8:$AO$496)</f>
        <v>9409.894666666667</v>
      </c>
      <c r="G60" s="326"/>
      <c r="H60" s="325"/>
      <c r="I60" s="194">
        <f>+SUMPRODUCT(('Budget révisé'!$A$8:$A$496=$A60)*('Budget révisé'!$C$3:$AO$3=I$2),'Budget révisé'!$C$8:$AO$496)</f>
        <v>9409.894666666667</v>
      </c>
      <c r="J60" s="327"/>
      <c r="K60" s="325"/>
      <c r="L60" s="194">
        <f>SUMIFS(BV_Data_An_Cour!$P:$P,BV_Data_An_Cour!$U:$U,$B60,BV_Data_An_Cour!$V:$V,$C60,BV_Data_An_Cour!$W:$W,L$2)</f>
        <v>6042.08</v>
      </c>
      <c r="M60" s="327"/>
      <c r="N60" s="328">
        <f t="shared" si="42"/>
        <v>-3367.8146666666671</v>
      </c>
      <c r="O60" s="327"/>
      <c r="P60" s="325"/>
      <c r="Q60" s="194">
        <f>SUMIFS(BV_Data_An_Prec!$P:$P,BV_Data_An_Prec!$U:$U,$B60,BV_Data_An_Prec!$V:$V,$C60,BV_Data_An_Prec!$W:$W,Q$2)</f>
        <v>7752.53</v>
      </c>
      <c r="R60" s="327"/>
      <c r="S60" s="219">
        <f t="shared" si="43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</row>
    <row r="61" spans="1:54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+SUMPRODUCT(('Budget original'!$A$8:$A$496=$A61)*('Budget original'!$C$3:$AO$3=F$2),'Budget original'!$C$8:$AO$496)</f>
        <v>244.32954319370256</v>
      </c>
      <c r="G61" s="319"/>
      <c r="H61" s="195"/>
      <c r="I61" s="196">
        <f>+SUMPRODUCT(('Budget révisé'!$A$8:$A$496=$A61)*('Budget révisé'!$C$3:$AO$3=I$2),'Budget révisé'!$C$8:$AO$496)</f>
        <v>244.32954319370256</v>
      </c>
      <c r="J61" s="320"/>
      <c r="K61" s="195"/>
      <c r="L61" s="197">
        <f>SUMIFS(BV_Data_An_Cour!$P:$P,BV_Data_An_Cour!$U:$U,$B61,BV_Data_An_Cour!$V:$V,$C61,BV_Data_An_Cour!$W:$W,L$2)</f>
        <v>0</v>
      </c>
      <c r="M61" s="320"/>
      <c r="N61" s="321">
        <f t="shared" si="42"/>
        <v>-244.32954319370256</v>
      </c>
      <c r="O61" s="320"/>
      <c r="P61" s="195"/>
      <c r="Q61" s="197">
        <f>SUMIFS(BV_Data_An_Prec!$P:$P,BV_Data_An_Prec!$U:$U,$B61,BV_Data_An_Prec!$V:$V,$C61,BV_Data_An_Prec!$W:$W,Q$2)</f>
        <v>225</v>
      </c>
      <c r="R61" s="320"/>
      <c r="S61" s="216">
        <f t="shared" si="43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</row>
    <row r="62" spans="1:54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+SUMPRODUCT(('Budget original'!$A$8:$A$496=$A62)*('Budget original'!$C$3:$AO$3=F$2),'Budget original'!$C$8:$AO$496)</f>
        <v>35</v>
      </c>
      <c r="G62" s="319"/>
      <c r="H62" s="195"/>
      <c r="I62" s="196">
        <f>+SUMPRODUCT(('Budget révisé'!$A$8:$A$496=$A62)*('Budget révisé'!$C$3:$AO$3=I$2),'Budget révisé'!$C$8:$AO$496)</f>
        <v>35</v>
      </c>
      <c r="J62" s="320"/>
      <c r="K62" s="195"/>
      <c r="L62" s="197">
        <f>SUMIFS(BV_Data_An_Cour!$P:$P,BV_Data_An_Cour!$U:$U,$B62,BV_Data_An_Cour!$V:$V,$C62,BV_Data_An_Cour!$W:$W,L$2)</f>
        <v>0</v>
      </c>
      <c r="M62" s="320"/>
      <c r="N62" s="321">
        <f t="shared" si="42"/>
        <v>-35</v>
      </c>
      <c r="O62" s="320"/>
      <c r="P62" s="195"/>
      <c r="Q62" s="197">
        <f>SUMIFS(BV_Data_An_Prec!$P:$P,BV_Data_An_Prec!$U:$U,$B62,BV_Data_An_Prec!$V:$V,$C62,BV_Data_An_Prec!$W:$W,Q$2)</f>
        <v>35</v>
      </c>
      <c r="R62" s="320"/>
      <c r="S62" s="216">
        <f t="shared" si="43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</row>
    <row r="63" spans="1:54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+SUMPRODUCT(('Budget original'!$A$8:$A$496=$A63)*('Budget original'!$C$3:$AO$3=F$2),'Budget original'!$C$8:$AO$496)</f>
        <v>697.6</v>
      </c>
      <c r="G63" s="319"/>
      <c r="H63" s="195"/>
      <c r="I63" s="196">
        <f>+SUMPRODUCT(('Budget révisé'!$A$8:$A$496=$A63)*('Budget révisé'!$C$3:$AO$3=I$2),'Budget révisé'!$C$8:$AO$496)</f>
        <v>697.6</v>
      </c>
      <c r="J63" s="320"/>
      <c r="K63" s="195"/>
      <c r="L63" s="572">
        <f>SUMIFS(BV_Data_An_Cour!$P:$P,BV_Data_An_Cour!$U:$U,$B63,BV_Data_An_Cour!$V:$V,$C63,BV_Data_An_Cour!$W:$W,L$2)</f>
        <v>248.87</v>
      </c>
      <c r="M63" s="320"/>
      <c r="N63" s="321">
        <f t="shared" si="42"/>
        <v>-448.73</v>
      </c>
      <c r="O63" s="320"/>
      <c r="P63" s="195"/>
      <c r="Q63" s="572">
        <f>SUMIFS(BV_Data_An_Prec!$P:$P,BV_Data_An_Prec!$U:$U,$B63,BV_Data_An_Prec!$V:$V,$C63,BV_Data_An_Prec!$W:$W,Q$2)</f>
        <v>592</v>
      </c>
      <c r="R63" s="320"/>
      <c r="S63" s="216">
        <f t="shared" si="43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</row>
    <row r="64" spans="1:54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+SUMPRODUCT(('Budget original'!$A$8:$A$496=$A64)*('Budget original'!$C$3:$AO$3=F$2),'Budget original'!$C$8:$AO$496)</f>
        <v>589.91200000000003</v>
      </c>
      <c r="G64" s="319"/>
      <c r="H64" s="195"/>
      <c r="I64" s="196">
        <f>+SUMPRODUCT(('Budget révisé'!$A$8:$A$496=$A64)*('Budget révisé'!$C$3:$AO$3=I$2),'Budget révisé'!$C$8:$AO$496)</f>
        <v>589.91200000000003</v>
      </c>
      <c r="J64" s="320"/>
      <c r="K64" s="195"/>
      <c r="L64" s="197">
        <f>SUMIFS(BV_Data_An_Cour!$P:$P,BV_Data_An_Cour!$U:$U,$B64,BV_Data_An_Cour!$V:$V,$C64,BV_Data_An_Cour!$W:$W,L$2)</f>
        <v>456.53</v>
      </c>
      <c r="M64" s="320"/>
      <c r="N64" s="321">
        <f t="shared" si="42"/>
        <v>-133.38200000000006</v>
      </c>
      <c r="O64" s="320"/>
      <c r="P64" s="195"/>
      <c r="Q64" s="197">
        <f>SUMIFS(BV_Data_An_Prec!$P:$P,BV_Data_An_Prec!$U:$U,$B64,BV_Data_An_Prec!$V:$V,$C64,BV_Data_An_Prec!$W:$W,Q$2)</f>
        <v>482.96</v>
      </c>
      <c r="R64" s="320"/>
      <c r="S64" s="216">
        <f t="shared" si="43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</row>
    <row r="65" spans="1:54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+SUMPRODUCT(('Budget original'!$A$8:$A$496=$A65)*('Budget original'!$C$3:$AO$3=F$2),'Budget original'!$C$8:$AO$496)</f>
        <v>276.8</v>
      </c>
      <c r="G65" s="319"/>
      <c r="H65" s="195"/>
      <c r="I65" s="196">
        <f>+SUMPRODUCT(('Budget révisé'!$A$8:$A$496=$A65)*('Budget révisé'!$C$3:$AO$3=I$2),'Budget révisé'!$C$8:$AO$496)</f>
        <v>276.8</v>
      </c>
      <c r="J65" s="320"/>
      <c r="K65" s="195"/>
      <c r="L65" s="197">
        <f>SUMIFS(BV_Data_An_Cour!$P:$P,BV_Data_An_Cour!$U:$U,$B65,BV_Data_An_Cour!$V:$V,$C65,BV_Data_An_Cour!$W:$W,L$2)</f>
        <v>65.22</v>
      </c>
      <c r="M65" s="320"/>
      <c r="N65" s="321">
        <f t="shared" si="42"/>
        <v>-211.58</v>
      </c>
      <c r="O65" s="320"/>
      <c r="P65" s="195"/>
      <c r="Q65" s="197">
        <f>SUMIFS(BV_Data_An_Prec!$P:$P,BV_Data_An_Prec!$U:$U,$B65,BV_Data_An_Prec!$V:$V,$C65,BV_Data_An_Prec!$W:$W,Q$2)</f>
        <v>210.02</v>
      </c>
      <c r="R65" s="320"/>
      <c r="S65" s="216">
        <f t="shared" si="43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</row>
    <row r="66" spans="1:54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+SUMPRODUCT(('Budget original'!$A$8:$A$496=$A66)*('Budget original'!$C$3:$AO$3=F$2),'Budget original'!$C$8:$AO$496)</f>
        <v>1349.1200000000001</v>
      </c>
      <c r="G66" s="319"/>
      <c r="H66" s="195"/>
      <c r="I66" s="196">
        <f>+SUMPRODUCT(('Budget révisé'!$A$8:$A$496=$A66)*('Budget révisé'!$C$3:$AO$3=I$2),'Budget révisé'!$C$8:$AO$496)</f>
        <v>1349.1200000000001</v>
      </c>
      <c r="J66" s="320"/>
      <c r="K66" s="195"/>
      <c r="L66" s="197">
        <f>SUMIFS(BV_Data_An_Cour!$P:$P,BV_Data_An_Cour!$U:$U,$B66,BV_Data_An_Cour!$V:$V,$C66,BV_Data_An_Cour!$W:$W,L$2)</f>
        <v>252.3</v>
      </c>
      <c r="M66" s="320"/>
      <c r="N66" s="321">
        <f t="shared" si="42"/>
        <v>-1096.8200000000002</v>
      </c>
      <c r="O66" s="320"/>
      <c r="P66" s="195"/>
      <c r="Q66" s="197">
        <f>SUMIFS(BV_Data_An_Prec!$P:$P,BV_Data_An_Prec!$U:$U,$B66,BV_Data_An_Prec!$V:$V,$C66,BV_Data_An_Prec!$W:$W,Q$2)</f>
        <v>1705.28</v>
      </c>
      <c r="R66" s="320"/>
      <c r="S66" s="216">
        <f t="shared" si="43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</row>
    <row r="67" spans="1:54" ht="15.75" customHeight="1">
      <c r="A67" s="600" t="str">
        <f t="shared" ref="A67:A69" si="44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+SUMPRODUCT(('Budget original'!$A$8:$A$496=$A67)*('Budget original'!$C$3:$AO$3=F$2),'Budget original'!$C$8:$AO$496)</f>
        <v>1438.3466666666668</v>
      </c>
      <c r="G67" s="319"/>
      <c r="H67" s="195"/>
      <c r="I67" s="196">
        <f>+SUMPRODUCT(('Budget révisé'!$A$8:$A$496=$A67)*('Budget révisé'!$C$3:$AO$3=I$2),'Budget révisé'!$C$8:$AO$496)</f>
        <v>1438.3466666666668</v>
      </c>
      <c r="J67" s="320"/>
      <c r="K67" s="195"/>
      <c r="L67" s="197">
        <f>SUMIFS(BV_Data_An_Cour!$P:$P,BV_Data_An_Cour!$U:$U,$B67,BV_Data_An_Cour!$V:$V,$C67,BV_Data_An_Cour!$W:$W,L$2)</f>
        <v>523.33000000000004</v>
      </c>
      <c r="M67" s="320"/>
      <c r="N67" s="321">
        <f t="shared" ref="N67" si="45">L67-I67</f>
        <v>-915.01666666666677</v>
      </c>
      <c r="O67" s="320"/>
      <c r="P67" s="195"/>
      <c r="Q67" s="197">
        <f>SUMIFS(BV_Data_An_Prec!$P:$P,BV_Data_An_Prec!$U:$U,$B67,BV_Data_An_Prec!$V:$V,$C67,BV_Data_An_Prec!$W:$W,Q$2)</f>
        <v>4555.83</v>
      </c>
      <c r="R67" s="320"/>
      <c r="S67" s="216">
        <f t="shared" ref="S67" si="46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</row>
    <row r="68" spans="1:54" ht="15.75" customHeight="1">
      <c r="A68" s="600" t="str">
        <f t="shared" si="44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+SUMPRODUCT(('Budget original'!$A$8:$A$496=$A68)*('Budget original'!$C$3:$AO$3=F$2),'Budget original'!$C$8:$AO$496)</f>
        <v>2087.673832859015</v>
      </c>
      <c r="G68" s="319"/>
      <c r="H68" s="195"/>
      <c r="I68" s="196">
        <f>+SUMPRODUCT(('Budget révisé'!$A$8:$A$496=$A68)*('Budget révisé'!$C$3:$AO$3=I$2),'Budget révisé'!$C$8:$AO$496)</f>
        <v>2087.673832859015</v>
      </c>
      <c r="J68" s="320"/>
      <c r="K68" s="195"/>
      <c r="L68" s="1037">
        <f>SUMIFS(BV_Data_An_Cour!$O:$O,BV_Data_An_Cour!$U:$U,$B68,BV_Data_An_Cour!$V:$V,$C68,BV_Data_An_Cour!$W:$W,L$2)</f>
        <v>4281.22</v>
      </c>
      <c r="M68" s="320"/>
      <c r="N68" s="321">
        <f t="shared" ref="N68:N69" si="47">L68-I68</f>
        <v>2193.5461671409853</v>
      </c>
      <c r="O68" s="320"/>
      <c r="P68" s="195"/>
      <c r="Q68" s="197">
        <f>SUMIFS(BV_Data_An_Prec!$P:$P,BV_Data_An_Prec!$U:$U,$B68,BV_Data_An_Prec!$V:$V,$C68,BV_Data_An_Prec!$W:$W,Q$2)</f>
        <v>5310.96</v>
      </c>
      <c r="R68" s="320"/>
      <c r="S68" s="216">
        <f t="shared" ref="S68:S69" si="48">L68-Q68</f>
        <v>-1029.7399999999998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</row>
    <row r="69" spans="1:54" ht="15.75" customHeight="1">
      <c r="A69" s="600" t="str">
        <f t="shared" si="44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+SUMPRODUCT(('Budget original'!$A$8:$A$496=$A69)*('Budget original'!$C$3:$AO$3=F$2),'Budget original'!$C$8:$AO$496)</f>
        <v>0</v>
      </c>
      <c r="G69" s="319"/>
      <c r="H69" s="195"/>
      <c r="I69" s="196">
        <f>+SUMPRODUCT(('Budget révisé'!$A$8:$A$496=$A69)*('Budget révisé'!$C$3:$AO$3=I$2),'Budget révisé'!$C$8:$AO$496)</f>
        <v>0</v>
      </c>
      <c r="J69" s="320"/>
      <c r="K69" s="195"/>
      <c r="L69" s="197"/>
      <c r="M69" s="320"/>
      <c r="N69" s="321">
        <f t="shared" si="47"/>
        <v>0</v>
      </c>
      <c r="O69" s="320"/>
      <c r="P69" s="195"/>
      <c r="Q69" s="197">
        <f>SUMIFS(BV_Data_An_Prec!$P:$P,BV_Data_An_Prec!$U:$U,$B69,BV_Data_An_Prec!$V:$V,$C69,BV_Data_An_Prec!$W:$W,Q$2)</f>
        <v>0</v>
      </c>
      <c r="R69" s="320"/>
      <c r="S69" s="216">
        <f t="shared" si="48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</row>
    <row r="70" spans="1:54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+SUMPRODUCT(('Budget original'!$A$8:$A$496=$A70)*('Budget original'!$C$3:$AO$3=F$2),'Budget original'!$C$8:$AO$496)</f>
        <v>0</v>
      </c>
      <c r="G70" s="319"/>
      <c r="H70" s="195"/>
      <c r="I70" s="196">
        <f>+SUMPRODUCT(('Budget révisé'!$A$8:$A$496=$A70)*('Budget révisé'!$C$3:$AO$3=I$2),'Budget révisé'!$C$8:$AO$496)</f>
        <v>0</v>
      </c>
      <c r="J70" s="320"/>
      <c r="K70" s="195"/>
      <c r="L70" s="197">
        <f>SUMIFS(BV_Data_An_Cour!$P:$P,BV_Data_An_Cour!$U:$U,$B70,BV_Data_An_Cour!$V:$V,$C70,BV_Data_An_Cour!$W:$W,L$2)</f>
        <v>0</v>
      </c>
      <c r="M70" s="320"/>
      <c r="N70" s="321">
        <f t="shared" si="42"/>
        <v>0</v>
      </c>
      <c r="O70" s="320"/>
      <c r="P70" s="195"/>
      <c r="Q70" s="197">
        <f>SUMIFS(BV_Data_An_Prec!$P:$P,BV_Data_An_Prec!$U:$U,$B70,BV_Data_An_Prec!$V:$V,$C70,BV_Data_An_Prec!$W:$W,Q$2)</f>
        <v>0</v>
      </c>
      <c r="R70" s="320"/>
      <c r="S70" s="216">
        <f t="shared" si="43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</row>
    <row r="71" spans="1:54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+SUMPRODUCT(('Budget original'!$A$8:$A$496=$A71)*('Budget original'!$C$3:$AO$3=F$2),'Budget original'!$C$8:$AO$496)</f>
        <v>0</v>
      </c>
      <c r="G71" s="319"/>
      <c r="H71" s="195"/>
      <c r="I71" s="196">
        <f>+SUMPRODUCT(('Budget révisé'!$A$8:$A$496=$A71)*('Budget révisé'!$C$3:$AO$3=I$2),'Budget révisé'!$C$8:$AO$496)</f>
        <v>0</v>
      </c>
      <c r="J71" s="320"/>
      <c r="K71" s="195"/>
      <c r="L71" s="197">
        <f>SUMIFS(BV_Data_An_Cour!$P:$P,BV_Data_An_Cour!$U:$U,$B71,BV_Data_An_Cour!$V:$V,$C71,BV_Data_An_Cour!$W:$W,L$2)*0.32</f>
        <v>0</v>
      </c>
      <c r="M71" s="320"/>
      <c r="N71" s="321">
        <f t="shared" si="42"/>
        <v>0</v>
      </c>
      <c r="O71" s="320"/>
      <c r="P71" s="195"/>
      <c r="Q71" s="197">
        <f>SUMIFS(BV_Data_An_Prec!$P:$P,BV_Data_An_Prec!$U:$U,$B71,BV_Data_An_Prec!$V:$V,$C71,BV_Data_An_Prec!$W:$W,Q$2)*0.32</f>
        <v>0</v>
      </c>
      <c r="R71" s="320"/>
      <c r="S71" s="216">
        <f t="shared" si="43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</row>
    <row r="72" spans="1:54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0.49428773811956306</v>
      </c>
      <c r="L72" s="41">
        <f>+SUM(L55:L71)</f>
        <v>23125.410000000003</v>
      </c>
      <c r="M72" s="44"/>
      <c r="N72" s="41">
        <f>+SUM(N55:N71)</f>
        <v>-10366.037276052717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-22344.879999999997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</row>
    <row r="73" spans="1:54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</row>
    <row r="74" spans="1:54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2.4654374491827729</v>
      </c>
      <c r="L74" s="41">
        <f>L41+L54+L72</f>
        <v>115346.28</v>
      </c>
      <c r="M74" s="44"/>
      <c r="N74" s="46">
        <f>L74-I74</f>
        <v>-64059.804471565265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-75903.649999999994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</row>
    <row r="75" spans="1:54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+SUMPRODUCT(('Budget original'!$A$8:$A$496=$A75)*('Budget original'!$C$3:$AO$3=F$2),'Budget original'!$C$8:$AO$496)</f>
        <v>22678.818750000006</v>
      </c>
      <c r="G75" s="319"/>
      <c r="H75" s="195"/>
      <c r="I75" s="196">
        <f>+SUMPRODUCT(('Budget révisé'!$A$8:$A$496=$A75)*('Budget révisé'!$C$3:$AO$3=I$2),'Budget révisé'!$C$8:$AO$496)</f>
        <v>22678.818750000006</v>
      </c>
      <c r="J75" s="320"/>
      <c r="K75" s="195"/>
      <c r="L75" s="572">
        <f>-SUMIFS(BV_Data_An_Cour!$P:$P,BV_Data_An_Cour!$U:$U,$B75,BV_Data_An_Cour!$V:$V,$C75,BV_Data_An_Cour!$W:$W,L$2)</f>
        <v>11500</v>
      </c>
      <c r="M75" s="320"/>
      <c r="N75" s="321"/>
      <c r="O75" s="320"/>
      <c r="P75" s="195"/>
      <c r="Q75" s="572">
        <f>-SUMIFS(BV_Data_An_Prec!$P:$P,BV_Data_An_Prec!$U:$U,$B75,BV_Data_An_Prec!$V:$V,$C75,BV_Data_An_Prec!$W:$W,Q$2)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</row>
    <row r="76" spans="1:54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+SUMPRODUCT(('Budget original'!$A$8:$A$496=$A76)*('Budget original'!$C$3:$AO$3=F$2),'Budget original'!$C$8:$AO$496)</f>
        <v>0</v>
      </c>
      <c r="G76" s="319"/>
      <c r="H76" s="195"/>
      <c r="I76" s="196">
        <f>+SUMPRODUCT(('Budget révisé'!$A$8:$A$496=$A76)*('Budget révisé'!$C$3:$AO$3=I$2),'Budget révisé'!$C$8:$AO$496)</f>
        <v>0</v>
      </c>
      <c r="J76" s="320"/>
      <c r="K76" s="195"/>
      <c r="L76" s="572">
        <f>-SUMIFS(BV_Data_An_Cour!$P:$P,BV_Data_An_Cour!$U:$U,$B76,BV_Data_An_Cour!$V:$V,$C76,BV_Data_An_Cour!$W:$W,L$2)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-SUMIFS(BV_Data_An_Prec!$P:$P,BV_Data_An_Prec!$U:$U,$B76,BV_Data_An_Prec!$V:$V,$C76,BV_Data_An_Prec!$W:$W,Q$2)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</row>
    <row r="77" spans="1:54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+SUMPRODUCT(('Budget original'!$A$8:$A$496=$A77)*('Budget original'!$C$3:$AO$3=F$2),'Budget original'!$C$8:$AO$496)</f>
        <v>0</v>
      </c>
      <c r="G77" s="319"/>
      <c r="H77" s="195"/>
      <c r="I77" s="196">
        <f>+SUMPRODUCT(('Budget révisé'!$A$8:$A$496=$A77)*('Budget révisé'!$C$3:$AO$3=I$2),'Budget révisé'!$C$8:$AO$496)</f>
        <v>0</v>
      </c>
      <c r="J77" s="320"/>
      <c r="K77" s="195"/>
      <c r="L77" s="572">
        <f>-SUMIFS(BV_Data_An_Cour!$P:$P,BV_Data_An_Cour!$U:$U,$B77,BV_Data_An_Cour!$V:$V,$C77,BV_Data_An_Cour!$W:$W,L$2)</f>
        <v>0</v>
      </c>
      <c r="M77" s="320"/>
      <c r="N77" s="321">
        <f t="shared" ref="N77:N82" si="49">L77-I77</f>
        <v>0</v>
      </c>
      <c r="O77" s="320"/>
      <c r="P77" s="195"/>
      <c r="Q77" s="572">
        <f>-SUMIFS(BV_Data_An_Prec!$P:$P,BV_Data_An_Prec!$U:$U,$B77,BV_Data_An_Prec!$V:$V,$C77,BV_Data_An_Prec!$W:$W,Q$2)</f>
        <v>0</v>
      </c>
      <c r="R77" s="320"/>
      <c r="S77" s="216">
        <f t="shared" ref="S77:S82" si="50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</row>
    <row r="78" spans="1:54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+SUMPRODUCT(('Budget original'!$A$8:$A$496=$A78)*('Budget original'!$C$3:$AO$3=F$2),'Budget original'!$C$8:$AO$496)</f>
        <v>36387.783750000002</v>
      </c>
      <c r="G78" s="319"/>
      <c r="H78" s="195"/>
      <c r="I78" s="196">
        <f>+SUMPRODUCT(('Budget révisé'!$A$8:$A$496=$A78)*('Budget révisé'!$C$3:$AO$3=I$2),'Budget révisé'!$C$8:$AO$496)</f>
        <v>36387.783750000002</v>
      </c>
      <c r="J78" s="320"/>
      <c r="K78" s="195"/>
      <c r="L78" s="197">
        <f>-SUMIFS(BV_Data_An_Cour!$P:$P,BV_Data_An_Cour!$U:$U,$B78,BV_Data_An_Cour!$V:$V,$C78,BV_Data_An_Cour!$W:$W,L$2)</f>
        <v>22341</v>
      </c>
      <c r="M78" s="320"/>
      <c r="N78" s="321">
        <f t="shared" si="49"/>
        <v>-14046.783750000002</v>
      </c>
      <c r="O78" s="320"/>
      <c r="P78" s="195"/>
      <c r="Q78" s="572">
        <f>-SUMIFS(BV_Data_An_Prec!$P:$P,BV_Data_An_Prec!$U:$U,$B78,BV_Data_An_Prec!$V:$V,$C78,BV_Data_An_Prec!$W:$W,Q$2)</f>
        <v>73636.100000000006</v>
      </c>
      <c r="R78" s="320"/>
      <c r="S78" s="216">
        <f t="shared" si="50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</row>
    <row r="79" spans="1:54" ht="15.75" customHeight="1">
      <c r="A79" s="600" t="str">
        <f t="shared" ref="A79:A81" si="51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+SUMPRODUCT(('Budget original'!$A$8:$A$496=$A79)*('Budget original'!$C$3:$AO$3=F$2),'Budget original'!$C$8:$AO$496)</f>
        <v>0</v>
      </c>
      <c r="G79" s="319"/>
      <c r="H79" s="195"/>
      <c r="I79" s="196">
        <f>+SUMPRODUCT(('Budget révisé'!$A$8:$A$496=$A79)*('Budget révisé'!$C$3:$AO$3=I$2),'Budget révisé'!$C$8:$AO$496)</f>
        <v>0</v>
      </c>
      <c r="J79" s="320"/>
      <c r="K79" s="195"/>
      <c r="L79" s="197">
        <f>-SUMIFS(BV_Data_An_Cour!$P:$P,BV_Data_An_Cour!$U:$U,$B79,BV_Data_An_Cour!$V:$V,$C79,BV_Data_An_Cour!$W:$W,L$2)</f>
        <v>0</v>
      </c>
      <c r="M79" s="320"/>
      <c r="N79" s="321">
        <f t="shared" ref="N79:N81" si="52">L79-I79</f>
        <v>0</v>
      </c>
      <c r="O79" s="320"/>
      <c r="P79" s="195"/>
      <c r="Q79" s="572">
        <f>-SUMIFS(BV_Data_An_Prec!$P:$P,BV_Data_An_Prec!$U:$U,$B79,BV_Data_An_Prec!$V:$V,$C79,BV_Data_An_Prec!$W:$W,Q$2)</f>
        <v>0</v>
      </c>
      <c r="R79" s="320"/>
      <c r="S79" s="216">
        <f t="shared" ref="S79:S81" si="53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</row>
    <row r="80" spans="1:54" ht="15.75" customHeight="1">
      <c r="A80" s="600" t="str">
        <f t="shared" si="51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+SUMPRODUCT(('Budget original'!$A$8:$A$496=$A80)*('Budget original'!$C$3:$AO$3=F$2),'Budget original'!$C$8:$AO$496)</f>
        <v>0</v>
      </c>
      <c r="G80" s="319"/>
      <c r="H80" s="195"/>
      <c r="I80" s="196">
        <f>+SUMPRODUCT(('Budget révisé'!$A$8:$A$496=$A80)*('Budget révisé'!$C$3:$AO$3=I$2),'Budget révisé'!$C$8:$AO$496)</f>
        <v>0</v>
      </c>
      <c r="J80" s="320"/>
      <c r="K80" s="195"/>
      <c r="L80" s="197">
        <f>-SUMIFS(BV_Data_An_Cour!$P:$P,BV_Data_An_Cour!$U:$U,$B80,BV_Data_An_Cour!$V:$V,$C80,BV_Data_An_Cour!$W:$W,L$2)</f>
        <v>0</v>
      </c>
      <c r="M80" s="320"/>
      <c r="N80" s="321">
        <f t="shared" si="52"/>
        <v>0</v>
      </c>
      <c r="O80" s="320"/>
      <c r="P80" s="195"/>
      <c r="Q80" s="572">
        <f>-SUMIFS(BV_Data_An_Prec!$P:$P,BV_Data_An_Prec!$U:$U,$B80,BV_Data_An_Prec!$V:$V,$C80,BV_Data_An_Prec!$W:$W,Q$2)</f>
        <v>0</v>
      </c>
      <c r="R80" s="320"/>
      <c r="S80" s="216">
        <f t="shared" si="53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</row>
    <row r="81" spans="1:54" ht="15.75" customHeight="1">
      <c r="A81" s="600" t="str">
        <f t="shared" si="51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+SUMPRODUCT(('Budget original'!$A$8:$A$496=$A81)*('Budget original'!$C$3:$AO$3=F$2),'Budget original'!$C$8:$AO$496)</f>
        <v>0</v>
      </c>
      <c r="G81" s="319"/>
      <c r="H81" s="195"/>
      <c r="I81" s="196">
        <f>+SUMPRODUCT(('Budget révisé'!$A$8:$A$496=$A81)*('Budget révisé'!$C$3:$AO$3=I$2),'Budget révisé'!$C$8:$AO$496)</f>
        <v>0</v>
      </c>
      <c r="J81" s="320"/>
      <c r="K81" s="195"/>
      <c r="L81" s="197">
        <f>-SUMIFS(BV_Data_An_Cour!$P:$P,BV_Data_An_Cour!$U:$U,$B81,BV_Data_An_Cour!$V:$V,$C81,BV_Data_An_Cour!$W:$W,L$2)</f>
        <v>0</v>
      </c>
      <c r="M81" s="320"/>
      <c r="N81" s="321">
        <f t="shared" si="52"/>
        <v>0</v>
      </c>
      <c r="O81" s="320"/>
      <c r="P81" s="195"/>
      <c r="Q81" s="572">
        <f>-SUMIFS(BV_Data_An_Prec!$P:$P,BV_Data_An_Prec!$U:$U,$B81,BV_Data_An_Prec!$V:$V,$C81,BV_Data_An_Prec!$W:$W,Q$2)</f>
        <v>0</v>
      </c>
      <c r="R81" s="320"/>
      <c r="S81" s="216">
        <f t="shared" si="53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</row>
    <row r="82" spans="1:54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+SUMPRODUCT(('Budget original'!$A$8:$A$496=$A82)*('Budget original'!$C$3:$AO$3=F$2),'Budget original'!$C$8:$AO$496)</f>
        <v>19185.977379285494</v>
      </c>
      <c r="G82" s="319"/>
      <c r="H82" s="195"/>
      <c r="I82" s="196">
        <f>+SUMPRODUCT(('Budget révisé'!$A$8:$A$496=$A82)*('Budget révisé'!$C$3:$AO$3=I$2),'Budget révisé'!$C$8:$AO$496)</f>
        <v>19185.977379285494</v>
      </c>
      <c r="J82" s="320"/>
      <c r="K82" s="195"/>
      <c r="L82" s="1037">
        <f>-SUMIFS(BV_Data_An_Cour!$P:$P,BV_Data_An_Cour!$U:$U,$B82,BV_Data_An_Cour!$V:$V,$C82,BV_Data_An_Cour!$W:$W,L$2)</f>
        <v>11496</v>
      </c>
      <c r="M82" s="320"/>
      <c r="N82" s="321">
        <f t="shared" si="49"/>
        <v>-7689.977379285494</v>
      </c>
      <c r="O82" s="320"/>
      <c r="P82" s="195"/>
      <c r="Q82" s="572">
        <f>-SUMIFS(BV_Data_An_Prec!$P:$P,BV_Data_An_Prec!$U:$U,$B82,BV_Data_An_Prec!$V:$V,$C82,BV_Data_An_Prec!$W:$W,Q$2)</f>
        <v>23795.25</v>
      </c>
      <c r="R82" s="320"/>
      <c r="S82" s="216">
        <f t="shared" si="50"/>
        <v>-12299.25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</row>
    <row r="83" spans="1:54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45337</v>
      </c>
      <c r="M83" s="44"/>
      <c r="N83" s="41">
        <f>+SUM(N75:N82)</f>
        <v>-21736.761129285496</v>
      </c>
      <c r="O83" s="42"/>
      <c r="P83" s="40"/>
      <c r="Q83" s="41">
        <f>+SUM(Q75:Q82)</f>
        <v>105351.35</v>
      </c>
      <c r="R83" s="44"/>
      <c r="S83" s="333">
        <f>+SUM(S75:S82)</f>
        <v>-63594.350000000006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</row>
    <row r="84" spans="1:54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</row>
    <row r="85" spans="1:54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-23223.959999999905</v>
      </c>
      <c r="M85" s="453"/>
      <c r="N85" s="360">
        <f>N27-N41-N54-N72+N83</f>
        <v>-26097.038075925582</v>
      </c>
      <c r="O85" s="453"/>
      <c r="P85" s="359"/>
      <c r="Q85" s="360">
        <f>Q27-Q74+Q83</f>
        <v>10512.070000000269</v>
      </c>
      <c r="R85" s="453"/>
      <c r="S85" s="364">
        <f>S27-S41-S54-S72+S83</f>
        <v>-48587.150000000169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</row>
    <row r="88" spans="1:54" ht="15.75" hidden="1" customHeight="1">
      <c r="B88" s="170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</row>
    <row r="90" spans="1:54" ht="15.75" customHeight="1" thickBot="1">
      <c r="B90" s="170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</row>
    <row r="91" spans="1:54" ht="15.75" customHeight="1" thickTop="1">
      <c r="B91" s="24"/>
      <c r="C91" s="280"/>
      <c r="D91" s="1105" t="s">
        <v>77</v>
      </c>
      <c r="E91" s="1106"/>
      <c r="F91" s="1107"/>
      <c r="G91" s="1108" t="s">
        <v>145</v>
      </c>
      <c r="H91" s="1106"/>
      <c r="I91" s="1107"/>
      <c r="J91" s="1108" t="s">
        <v>79</v>
      </c>
      <c r="K91" s="1106"/>
      <c r="L91" s="1107"/>
      <c r="M91" s="1108" t="s">
        <v>80</v>
      </c>
      <c r="N91" s="1107"/>
      <c r="O91" s="1105" t="s">
        <v>81</v>
      </c>
      <c r="P91" s="1106"/>
      <c r="Q91" s="1107"/>
      <c r="R91" s="1108" t="s">
        <v>82</v>
      </c>
      <c r="S91" s="1109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</row>
    <row r="92" spans="1:54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</row>
    <row r="93" spans="1:54" ht="24" customHeight="1">
      <c r="A93" s="600" t="str">
        <f t="shared" ref="A93:A157" si="54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+SUMPRODUCT(('Budget original'!$A$8:$A$496=$A93)*('Budget original'!$C$3:$AO$3=F$2),'Budget original'!$C$8:$AO$496)</f>
        <v>641081.32723401533</v>
      </c>
      <c r="G93" s="200"/>
      <c r="H93" s="201"/>
      <c r="I93" s="194">
        <f>+SUMPRODUCT(('Budget révisé'!$A$8:$A$496=$A93)*('Budget révisé'!$C$3:$AO$3=I$2),'Budget révisé'!$C$8:$AO$496)</f>
        <v>641081.32723401533</v>
      </c>
      <c r="J93" s="597"/>
      <c r="K93" s="201"/>
      <c r="L93" s="194">
        <f>-SUMIFS(BV_Data_An_Cour!$P:$P,BV_Data_An_Cour!$X:$X,"Oui",BV_Data_An_Cour!$U:$U,$B93)</f>
        <v>495435.11</v>
      </c>
      <c r="M93" s="412"/>
      <c r="N93" s="413"/>
      <c r="O93" s="597"/>
      <c r="P93" s="201"/>
      <c r="Q93" s="194">
        <f>-SUMIFS(BV_Data_An_Prec!$P:$P,BV_Data_An_Prec!$X:$X,"Oui",BV_Data_An_Prec!$U:$U,$B93)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</row>
    <row r="94" spans="1:54" ht="21.75" customHeight="1">
      <c r="A94" s="600" t="str">
        <f t="shared" si="54"/>
        <v>Véhicules usagésCertifié</v>
      </c>
      <c r="B94" s="24" t="s">
        <v>144</v>
      </c>
      <c r="C94" s="281" t="s">
        <v>146</v>
      </c>
      <c r="D94" s="196">
        <f>+SUMPRODUCT(('Budget original'!$A$8:$A$496=$A94)*('Budget original'!$C$3:$AO$3=D$2),'Budget original'!$C$8:$AO$496)</f>
        <v>19.24044771677282</v>
      </c>
      <c r="E94" s="196">
        <f>IF(D94=0,0,F94/D94)</f>
        <v>750</v>
      </c>
      <c r="F94" s="196">
        <f>+SUMPRODUCT(('Budget original'!$A$8:$A$496=$A94)*('Budget original'!$C$3:$AO$3=F$2),'Budget original'!$C$8:$AO$496)</f>
        <v>14430.335787579615</v>
      </c>
      <c r="G94" s="199">
        <f>+SUMPRODUCT(('Budget révisé'!$A$8:$A$496=$A94)*('Budget révisé'!$C$3:$AO$3=G$2),'Budget révisé'!$C$8:$AO$496)</f>
        <v>19.24044771677282</v>
      </c>
      <c r="H94" s="196">
        <f>IF(G94=0,0,I94/G94)</f>
        <v>750</v>
      </c>
      <c r="I94" s="196">
        <f>+SUMPRODUCT(('Budget révisé'!$A$8:$A$496=$A94)*('Budget révisé'!$C$3:$AO$3=I$2),'Budget révisé'!$C$8:$AO$496)</f>
        <v>14430.335787579615</v>
      </c>
      <c r="J94" s="598">
        <f>-SUMIFS(BV_Data_An_Cour!$P:$P,BV_Data_An_Cour!$U:$U,$B94,BV_Data_An_Cour!$V:$V,$C94,BV_Data_An_Cour!$W:$W,J$2)</f>
        <v>14</v>
      </c>
      <c r="K94" s="196">
        <f t="shared" ref="K94:K95" si="55">IF(J94=0,0,L94/J94)</f>
        <v>1047.6399999999994</v>
      </c>
      <c r="L94" s="197">
        <f>-SUMIFS(BV_Data_An_Cour!$P:$P,BV_Data_An_Cour!$U:$U,$B94,BV_Data_An_Cour!$V:$V,$C94,BV_Data_An_Cour!$W:$W,$L2)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-SUMIFS(BV_Data_An_Prec!$P:$P,BV_Data_An_Prec!$U:$U,$B94,BV_Data_An_Prec!$V:$V,$C94,BV_Data_An_Prec!$W:$W,O$2)</f>
        <v>0</v>
      </c>
      <c r="P94" s="196">
        <f t="shared" ref="P94:P95" si="56">IF(O94=0,0,Q94/O94)</f>
        <v>0</v>
      </c>
      <c r="Q94" s="197">
        <f>-SUMIFS(BV_Data_An_Prec!$P:$P,BV_Data_An_Prec!$U:$U,$B94,BV_Data_An_Prec!$V:$V,$C94,BV_Data_An_Prec!$W:$W,$L2)</f>
        <v>0</v>
      </c>
      <c r="R94" s="199">
        <f t="shared" ref="R94:R95" si="57">J94-O94</f>
        <v>14</v>
      </c>
      <c r="S94" s="416">
        <f t="shared" ref="S94:S95" si="58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</row>
    <row r="95" spans="1:54" ht="18.75" customHeight="1">
      <c r="A95" s="600" t="str">
        <f t="shared" si="54"/>
        <v>Véhicules usagésNon Certifié</v>
      </c>
      <c r="B95" s="24" t="s">
        <v>144</v>
      </c>
      <c r="C95" s="281" t="s">
        <v>147</v>
      </c>
      <c r="D95" s="196">
        <f>+SUMPRODUCT(('Budget original'!$A$8:$A$496=$A95)*('Budget original'!$C$3:$AO$3=D$2),'Budget original'!$C$8:$AO$496)</f>
        <v>1.0973639382189821</v>
      </c>
      <c r="E95" s="201">
        <f t="shared" ref="E95:E104" si="59">IF(D95=0,0,F95/D95)</f>
        <v>750</v>
      </c>
      <c r="F95" s="196">
        <f>+SUMPRODUCT(('Budget original'!$A$8:$A$496=$A95)*('Budget original'!$C$3:$AO$3=F$2),'Budget original'!$C$8:$AO$496)</f>
        <v>823.02295366423664</v>
      </c>
      <c r="G95" s="199">
        <f>+SUMPRODUCT(('Budget révisé'!$A$8:$A$496=$A95)*('Budget révisé'!$C$3:$AO$3=G$2),'Budget révisé'!$C$8:$AO$496)</f>
        <v>1.0973639382189821</v>
      </c>
      <c r="H95" s="196">
        <f t="shared" ref="H95:H104" si="60">IF(G95=0,0,I95/G95)</f>
        <v>750</v>
      </c>
      <c r="I95" s="196">
        <f>+SUMPRODUCT(('Budget révisé'!$A$8:$A$496=$A95)*('Budget révisé'!$C$3:$AO$3=I$2),'Budget révisé'!$C$8:$AO$496)</f>
        <v>823.02295366423664</v>
      </c>
      <c r="J95" s="199">
        <f>-SUMIFS(BV_Data_An_Cour!$P:$P,BV_Data_An_Cour!$U:$U,$B95,BV_Data_An_Cour!$V:$V,$C95,BV_Data_An_Cour!$W:$W,J$2)</f>
        <v>1</v>
      </c>
      <c r="K95" s="196">
        <f t="shared" si="55"/>
        <v>715</v>
      </c>
      <c r="L95" s="572">
        <f>-SUMIFS(BV_Data_An_Cour!$P:$P,BV_Data_An_Cour!$U:$U,$B95,BV_Data_An_Cour!$V:$V,$C95,BV_Data_An_Cour!$W:$W,$L2)</f>
        <v>715</v>
      </c>
      <c r="M95" s="199"/>
      <c r="N95" s="197"/>
      <c r="O95" s="199">
        <f>-SUMIFS(BV_Data_An_Prec!$P:$P,BV_Data_An_Prec!$U:$U,$B95,BV_Data_An_Prec!$V:$V,$C95,BV_Data_An_Prec!$W:$W,O$2)</f>
        <v>18</v>
      </c>
      <c r="P95" s="196">
        <f t="shared" si="56"/>
        <v>664.77944444444518</v>
      </c>
      <c r="Q95" s="572">
        <f>-SUMIFS(BV_Data_An_Prec!$P:$P,BV_Data_An_Prec!$U:$U,$B95,BV_Data_An_Prec!$V:$V,$C95,BV_Data_An_Prec!$W:$W,$L2)</f>
        <v>11966.030000000013</v>
      </c>
      <c r="R95" s="199">
        <f t="shared" si="57"/>
        <v>-17</v>
      </c>
      <c r="S95" s="416">
        <f t="shared" si="58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</row>
    <row r="96" spans="1:54" ht="15.75" customHeight="1">
      <c r="A96" s="600" t="str">
        <f t="shared" si="54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59"/>
        <v>750</v>
      </c>
      <c r="F96" s="419">
        <f t="shared" ref="F96" si="61">+F94+F95</f>
        <v>15253.358741243852</v>
      </c>
      <c r="G96" s="420">
        <f>+G95+G94</f>
        <v>20.337811654991803</v>
      </c>
      <c r="H96" s="418">
        <f t="shared" si="60"/>
        <v>750</v>
      </c>
      <c r="I96" s="419">
        <f t="shared" ref="I96" si="62">+I94+I95</f>
        <v>15253.358741243852</v>
      </c>
      <c r="J96" s="420">
        <f t="shared" ref="J96" si="63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4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5">R94+R95</f>
        <v>-3</v>
      </c>
      <c r="S96" s="421">
        <f t="shared" si="65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39"/>
      <c r="AE96" s="239"/>
      <c r="AF96" s="246"/>
      <c r="AG96" s="239"/>
      <c r="AH96" s="239"/>
      <c r="AI96" s="239"/>
      <c r="AJ96" s="239"/>
      <c r="AK96" s="239"/>
      <c r="AL96" s="239"/>
      <c r="AM96" s="239"/>
      <c r="AN96" s="239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</row>
    <row r="97" spans="1:54" ht="15.75" customHeight="1">
      <c r="A97" s="600" t="str">
        <f t="shared" si="54"/>
        <v>Véhicules usagés</v>
      </c>
      <c r="B97" s="24" t="s">
        <v>144</v>
      </c>
      <c r="C97" s="281"/>
      <c r="D97" s="195"/>
      <c r="E97" s="196">
        <f t="shared" si="59"/>
        <v>0</v>
      </c>
      <c r="F97" s="329"/>
      <c r="G97" s="320"/>
      <c r="H97" s="195">
        <f t="shared" si="60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</row>
    <row r="98" spans="1:54" ht="15.75" customHeight="1">
      <c r="A98" s="600" t="str">
        <f t="shared" si="54"/>
        <v>Véhicules usagésUS</v>
      </c>
      <c r="B98" s="24" t="s">
        <v>144</v>
      </c>
      <c r="C98" s="281" t="s">
        <v>149</v>
      </c>
      <c r="D98" s="196">
        <f>+SUMPRODUCT(('Budget original'!$A$8:$A$496=$A98)*('Budget original'!$C$3:$AO$3=D$2),'Budget original'!$C$8:$AO$496)</f>
        <v>0</v>
      </c>
      <c r="E98" s="196">
        <f t="shared" si="59"/>
        <v>0</v>
      </c>
      <c r="F98" s="196">
        <f>+SUMPRODUCT(('Budget original'!$A$8:$A$496=$A98)*('Budget original'!$C$3:$AO$3=F$2),'Budget original'!$C$8:$AO$496)</f>
        <v>0</v>
      </c>
      <c r="G98" s="320">
        <f>+SUMPRODUCT(('Budget révisé'!$A$8:$A$496=$A98)*('Budget révisé'!$C$3:$AO$3=G$2),'Budget révisé'!$C$8:$AO$496)</f>
        <v>0</v>
      </c>
      <c r="H98" s="196">
        <f t="shared" si="60"/>
        <v>0</v>
      </c>
      <c r="I98" s="196">
        <f>+SUMPRODUCT(('Budget révisé'!$A$8:$A$496=$A98)*('Budget révisé'!$C$3:$AO$3=I$2),'Budget révisé'!$C$8:$AO$496)</f>
        <v>0</v>
      </c>
      <c r="J98" s="199">
        <f>-SUMIFS(BV_Data_An_Cour!$P:$P,BV_Data_An_Cour!$U:$U,$B98,BV_Data_An_Cour!$V:$V,$C98,BV_Data_An_Cour!$W:$W,J$2)</f>
        <v>0</v>
      </c>
      <c r="K98" s="196">
        <f t="shared" ref="K98:K99" si="66">IF(J98=0,0,L98/J98)</f>
        <v>0</v>
      </c>
      <c r="L98" s="197">
        <f>-SUMIFS(BV_Data_An_Cour!$P:$P,BV_Data_An_Cour!$U:$U,$B98,BV_Data_An_Cour!$V:$V,$C98,BV_Data_An_Cour!$W:$W,$L2)</f>
        <v>0</v>
      </c>
      <c r="M98" s="199">
        <f t="shared" ref="M98:M99" si="67">J98-G98</f>
        <v>0</v>
      </c>
      <c r="N98" s="197">
        <f t="shared" ref="N98:N99" si="68">L98-I98</f>
        <v>0</v>
      </c>
      <c r="O98" s="199">
        <f>-SUMIFS(BV_Data_An_Prec!$P:$P,BV_Data_An_Prec!$U:$U,$B98,BV_Data_An_Prec!$V:$V,$C98,BV_Data_An_Prec!$W:$W,O$2)</f>
        <v>0</v>
      </c>
      <c r="P98" s="196">
        <f t="shared" ref="P98:P99" si="69">IF(O98=0,0,Q98/O98)</f>
        <v>0</v>
      </c>
      <c r="Q98" s="197">
        <f>-SUMIFS(BV_Data_An_Prec!$P:$P,BV_Data_An_Prec!$U:$U,$B98,BV_Data_An_Prec!$V:$V,$C98,BV_Data_An_Prec!$W:$W,$L2)</f>
        <v>0</v>
      </c>
      <c r="R98" s="199">
        <f t="shared" ref="R98:R99" si="70">J98-O98</f>
        <v>0</v>
      </c>
      <c r="S98" s="416">
        <f t="shared" ref="S98:S99" si="71">L98-Q98</f>
        <v>0</v>
      </c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</row>
    <row r="99" spans="1:54" ht="15.75" customHeight="1">
      <c r="A99" s="600" t="str">
        <f t="shared" si="54"/>
        <v>Véhicules usagésVentes au Gros</v>
      </c>
      <c r="B99" s="24" t="s">
        <v>144</v>
      </c>
      <c r="C99" s="281" t="s">
        <v>150</v>
      </c>
      <c r="D99" s="196">
        <f>+SUMPRODUCT(('Budget original'!$A$8:$A$496=$A99)*('Budget original'!$C$3:$AO$3=D$2),'Budget original'!$C$8:$AO$496)</f>
        <v>17.233619349756211</v>
      </c>
      <c r="E99" s="196">
        <f t="shared" si="59"/>
        <v>120</v>
      </c>
      <c r="F99" s="196">
        <f>+SUMPRODUCT(('Budget original'!$A$8:$A$496=$A99)*('Budget original'!$C$3:$AO$3=F$2),'Budget original'!$C$8:$AO$496)</f>
        <v>2068.0343219707452</v>
      </c>
      <c r="G99" s="320">
        <f>+SUMPRODUCT(('Budget révisé'!$A$8:$A$496=$A99)*('Budget révisé'!$C$3:$AO$3=G$2),'Budget révisé'!$C$8:$AO$496)</f>
        <v>17.233619349756211</v>
      </c>
      <c r="H99" s="196">
        <f t="shared" si="60"/>
        <v>120</v>
      </c>
      <c r="I99" s="196">
        <f>+SUMPRODUCT(('Budget révisé'!$A$8:$A$496=$A99)*('Budget révisé'!$C$3:$AO$3=I$2),'Budget révisé'!$C$8:$AO$496)</f>
        <v>2068.0343219707452</v>
      </c>
      <c r="J99" s="199">
        <f>-SUMIFS(BV_Data_An_Cour!$P:$P,BV_Data_An_Cour!$U:$U,$B99,BV_Data_An_Cour!$V:$V,$C99,BV_Data_An_Cour!$W:$W,J$2)</f>
        <v>20</v>
      </c>
      <c r="K99" s="196">
        <f t="shared" si="66"/>
        <v>-41.210000000000583</v>
      </c>
      <c r="L99" s="197">
        <f>-SUMIFS(BV_Data_An_Cour!$P:$P,BV_Data_An_Cour!$U:$U,$B99,BV_Data_An_Cour!$V:$V,$C99,BV_Data_An_Cour!$W:$W,L$2)</f>
        <v>-824.20000000001164</v>
      </c>
      <c r="M99" s="199">
        <f t="shared" si="67"/>
        <v>2.7663806502437893</v>
      </c>
      <c r="N99" s="197">
        <f t="shared" si="68"/>
        <v>-2892.2343219707568</v>
      </c>
      <c r="O99" s="199">
        <f>-SUMIFS(BV_Data_An_Prec!$P:$P,BV_Data_An_Prec!$U:$U,$B99,BV_Data_An_Prec!$V:$V,$C99,BV_Data_An_Prec!$W:$W,O$2)</f>
        <v>11</v>
      </c>
      <c r="P99" s="196">
        <f t="shared" si="69"/>
        <v>-490.35545454545485</v>
      </c>
      <c r="Q99" s="197">
        <f>-SUMIFS(BV_Data_An_Prec!$P:$P,BV_Data_An_Prec!$U:$U,$B99,BV_Data_An_Prec!$V:$V,$C99,BV_Data_An_Prec!$W:$W,Q$2)</f>
        <v>-5393.9100000000035</v>
      </c>
      <c r="R99" s="199">
        <f t="shared" si="70"/>
        <v>9</v>
      </c>
      <c r="S99" s="416">
        <f t="shared" si="71"/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39"/>
      <c r="AE99" s="239"/>
      <c r="AF99" s="536"/>
      <c r="AG99" s="239"/>
      <c r="AH99" s="239"/>
      <c r="AI99" s="239"/>
      <c r="AJ99" s="239"/>
      <c r="AK99" s="239"/>
      <c r="AL99" s="239"/>
      <c r="AM99" s="239"/>
      <c r="AN99" s="239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</row>
    <row r="100" spans="1:54" ht="15.75" customHeight="1">
      <c r="A100" s="600" t="str">
        <f t="shared" si="54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536"/>
      <c r="AG100" s="239"/>
      <c r="AH100" s="239"/>
      <c r="AI100" s="239"/>
      <c r="AJ100" s="239"/>
      <c r="AK100" s="239"/>
      <c r="AL100" s="239"/>
      <c r="AM100" s="239"/>
      <c r="AN100" s="239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</row>
    <row r="101" spans="1:54" ht="15.75" customHeight="1">
      <c r="A101" s="600" t="str">
        <f t="shared" si="54"/>
        <v>Véhicules usagésRev. Finances</v>
      </c>
      <c r="B101" s="24" t="s">
        <v>144</v>
      </c>
      <c r="C101" s="281" t="s">
        <v>97</v>
      </c>
      <c r="D101" s="196">
        <f>+SUMPRODUCT(('Budget original'!$A$8:$A$496=$A101)*('Budget original'!$C$3:$AO$3=D$2),'Budget original'!$C$8:$AO$496)</f>
        <v>0</v>
      </c>
      <c r="E101" s="196">
        <f t="shared" si="59"/>
        <v>0</v>
      </c>
      <c r="F101" s="197">
        <f>+SUMPRODUCT(('Budget original'!$A$8:$A$496=$A101)*('Budget original'!$C$3:$AO$3=F$2),'Budget original'!$C$8:$AO$496)</f>
        <v>16353.50352375072</v>
      </c>
      <c r="G101" s="199">
        <f>+SUMPRODUCT(('Budget révisé'!$A$8:$A$496=$A101)*('Budget révisé'!$C$3:$AO$3=G$2),'Budget révisé'!$C$8:$AO$496)</f>
        <v>0</v>
      </c>
      <c r="H101" s="196">
        <f t="shared" si="60"/>
        <v>0</v>
      </c>
      <c r="I101" s="196">
        <f>+SUMPRODUCT(('Budget révisé'!$A$8:$A$496=$A101)*('Budget révisé'!$C$3:$AO$3=I$2),'Budget révisé'!$C$8:$AO$496)</f>
        <v>16353.50352375072</v>
      </c>
      <c r="J101" s="199"/>
      <c r="K101" s="196">
        <f>IF(J96=0,0,L101/J96)</f>
        <v>309.40733333333333</v>
      </c>
      <c r="L101" s="197">
        <f>-SUMIFS(BV_Data_An_Cour!$P:$P,BV_Data_An_Cour!$U:$U,$B101,BV_Data_An_Cour!$V:$V,$C101,BV_Data_An_Cour!$W:$W,$L2)</f>
        <v>4641.1099999999997</v>
      </c>
      <c r="M101" s="199"/>
      <c r="N101" s="197">
        <f t="shared" ref="N101:N104" si="72">L101-I101</f>
        <v>-11712.393523750721</v>
      </c>
      <c r="O101" s="199"/>
      <c r="P101" s="196">
        <f>IF(O96=0,0,Q101/O96)</f>
        <v>268.61222222222227</v>
      </c>
      <c r="Q101" s="197">
        <f>-SUMIFS(BV_Data_An_Prec!$P:$P,BV_Data_An_Prec!$U:$U,$B101,BV_Data_An_Prec!$V:$V,$C101,BV_Data_An_Prec!$W:$W,$L2)</f>
        <v>4835.0200000000004</v>
      </c>
      <c r="R101" s="199">
        <f t="shared" ref="R101:R103" si="73">O101-K101</f>
        <v>-309.40733333333333</v>
      </c>
      <c r="S101" s="416">
        <f t="shared" ref="S101:S104" si="74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</row>
    <row r="102" spans="1:54" ht="15.75" customHeight="1">
      <c r="A102" s="600" t="str">
        <f t="shared" si="54"/>
        <v>Véhicules usagésRev. Protections</v>
      </c>
      <c r="B102" s="24" t="s">
        <v>144</v>
      </c>
      <c r="C102" s="281" t="s">
        <v>98</v>
      </c>
      <c r="D102" s="196">
        <f>+SUMPRODUCT(('Budget original'!$A$8:$A$496=$A102)*('Budget original'!$C$3:$AO$3=D$2),'Budget original'!$C$8:$AO$496)</f>
        <v>0</v>
      </c>
      <c r="E102" s="196">
        <f t="shared" si="59"/>
        <v>0</v>
      </c>
      <c r="F102" s="197">
        <f>+SUMPRODUCT(('Budget original'!$A$8:$A$496=$A102)*('Budget original'!$C$3:$AO$3=F$2),'Budget original'!$C$8:$AO$496)</f>
        <v>18533.970660250816</v>
      </c>
      <c r="G102" s="199">
        <f>+SUMPRODUCT(('Budget révisé'!$A$8:$A$496=$A102)*('Budget révisé'!$C$3:$AO$3=G$2),'Budget révisé'!$C$8:$AO$496)</f>
        <v>0</v>
      </c>
      <c r="H102" s="196">
        <f t="shared" si="60"/>
        <v>0</v>
      </c>
      <c r="I102" s="196">
        <f>+SUMPRODUCT(('Budget révisé'!$A$8:$A$496=$A102)*('Budget révisé'!$C$3:$AO$3=I$2),'Budget révisé'!$C$8:$AO$496)</f>
        <v>18533.970660250816</v>
      </c>
      <c r="J102" s="199"/>
      <c r="K102" s="196">
        <f>IF(J96=0,0,L102/J96)</f>
        <v>1352.4093333333333</v>
      </c>
      <c r="L102" s="197">
        <f>-SUMIFS(BV_Data_An_Cour!$P:$P,BV_Data_An_Cour!$U:$U,$B102,BV_Data_An_Cour!$V:$V,$C102,BV_Data_An_Cour!$W:$W,$L2)</f>
        <v>20286.14</v>
      </c>
      <c r="M102" s="199"/>
      <c r="N102" s="197">
        <f t="shared" si="72"/>
        <v>1752.1693397491836</v>
      </c>
      <c r="O102" s="199"/>
      <c r="P102" s="196">
        <f>IF(O96=0,0,Q102/O96)</f>
        <v>437.56277777777774</v>
      </c>
      <c r="Q102" s="197">
        <f>-SUMIFS(BV_Data_An_Prec!$P:$P,BV_Data_An_Prec!$U:$U,$B102,BV_Data_An_Prec!$V:$V,$C102,BV_Data_An_Prec!$W:$W,$L2)</f>
        <v>7876.1299999999992</v>
      </c>
      <c r="R102" s="199">
        <f t="shared" si="73"/>
        <v>-1352.4093333333333</v>
      </c>
      <c r="S102" s="416">
        <f t="shared" si="74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</row>
    <row r="103" spans="1:54" ht="15.75" customHeight="1">
      <c r="A103" s="600" t="str">
        <f t="shared" si="54"/>
        <v>Véhicules usagésRev. Autres</v>
      </c>
      <c r="B103" s="24" t="s">
        <v>144</v>
      </c>
      <c r="C103" s="281" t="s">
        <v>99</v>
      </c>
      <c r="D103" s="196">
        <f>+SUMPRODUCT(('Budget original'!$A$8:$A$496=$A103)*('Budget original'!$C$3:$AO$3=D$2),'Budget original'!$C$8:$AO$496)</f>
        <v>0</v>
      </c>
      <c r="E103" s="201">
        <f t="shared" si="59"/>
        <v>0</v>
      </c>
      <c r="F103" s="197">
        <f>+SUMPRODUCT(('Budget original'!$A$8:$A$496=$A103)*('Budget original'!$C$3:$AO$3=F$2),'Budget original'!$C$8:$AO$496)</f>
        <v>0</v>
      </c>
      <c r="G103" s="199">
        <f>+SUMPRODUCT(('Budget révisé'!$A$8:$A$496=$A103)*('Budget révisé'!$C$3:$AO$3=G$2),'Budget révisé'!$C$8:$AO$496)</f>
        <v>0</v>
      </c>
      <c r="H103" s="424">
        <f t="shared" si="60"/>
        <v>0</v>
      </c>
      <c r="I103" s="196">
        <f>+SUMPRODUCT(('Budget révisé'!$A$8:$A$496=$A103)*('Budget révisé'!$C$3:$AO$3=I$2),'Budget révisé'!$C$8:$AO$496)</f>
        <v>0</v>
      </c>
      <c r="J103" s="199"/>
      <c r="K103" s="424">
        <f>IF(J96=0,0,L103/J96)</f>
        <v>43.192666666666668</v>
      </c>
      <c r="L103" s="197">
        <f>-SUMIFS(BV_Data_An_Cour!$P:$P,BV_Data_An_Cour!$U:$U,$B103,BV_Data_An_Cour!$V:$V,$C103,BV_Data_An_Cour!$W:$W,$L$2)</f>
        <v>647.89</v>
      </c>
      <c r="M103" s="423"/>
      <c r="N103" s="197">
        <f t="shared" si="72"/>
        <v>647.89</v>
      </c>
      <c r="O103" s="199"/>
      <c r="P103" s="424">
        <f>IF(O96=0,0,Q103/O96)</f>
        <v>24.228888888888889</v>
      </c>
      <c r="Q103" s="197">
        <f>-SUMIFS(BV_Data_An_Prec!$P:$P,BV_Data_An_Prec!$U:$U,$B103,BV_Data_An_Prec!$V:$V,$C103,BV_Data_An_Prec!$W:$W,$L$2)</f>
        <v>436.12</v>
      </c>
      <c r="R103" s="199">
        <f t="shared" si="73"/>
        <v>-43.192666666666668</v>
      </c>
      <c r="S103" s="416">
        <f t="shared" si="74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</row>
    <row r="104" spans="1:54" ht="15.75" customHeight="1">
      <c r="A104" s="600" t="str">
        <f t="shared" si="54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59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0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2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4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</row>
    <row r="105" spans="1:54" ht="15.75" customHeight="1">
      <c r="A105" s="600" t="str">
        <f t="shared" si="54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</row>
    <row r="106" spans="1:54" ht="15.75" customHeight="1" thickBot="1">
      <c r="A106" s="600" t="str">
        <f t="shared" si="54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</row>
    <row r="107" spans="1:54" ht="15.75" customHeight="1" thickTop="1">
      <c r="A107" s="600" t="str">
        <f t="shared" si="54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</row>
    <row r="108" spans="1:54" ht="19.5" customHeight="1" thickBot="1">
      <c r="A108" s="600" t="str">
        <f t="shared" si="54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</row>
    <row r="109" spans="1:54" ht="15.75" customHeight="1" thickTop="1">
      <c r="A109" s="600" t="str">
        <f t="shared" si="54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</row>
    <row r="110" spans="1:54" ht="15.75" customHeight="1">
      <c r="A110" s="600" t="str">
        <f t="shared" si="54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</row>
    <row r="111" spans="1:54" ht="15.75" customHeight="1">
      <c r="A111" s="600" t="str">
        <f t="shared" si="54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5">F111/D$96</f>
        <v>532.94535995376907</v>
      </c>
      <c r="F111" s="196">
        <f>+SUMPRODUCT(('Budget original'!$A$8:$A$496=$A111)*('Budget original'!$C$3:$AO$3=F$2),'Budget original'!$C$8:$AO$496)</f>
        <v>10838.942353141567</v>
      </c>
      <c r="G111" s="319"/>
      <c r="H111" s="214">
        <f t="shared" ref="H111:H116" si="76">I111/G$96</f>
        <v>532.94535995376907</v>
      </c>
      <c r="I111" s="196">
        <f>+SUMPRODUCT(('Budget révisé'!$A$8:$A$496=$A111)*('Budget révisé'!$C$3:$AO$3=I$2),'Budget révisé'!$C$8:$AO$496)</f>
        <v>10838.942353141567</v>
      </c>
      <c r="J111" s="320"/>
      <c r="K111" s="214">
        <f t="shared" ref="K111:K116" si="77">IF($J$96=0,0,L111/(J$94+J$95))</f>
        <v>518.3846666666667</v>
      </c>
      <c r="L111" s="197">
        <f>SUMIFS(BV_Data_An_Cour!$P:$P,BV_Data_An_Cour!$U:$U,$B111,BV_Data_An_Cour!$V:$V,$C111,BV_Data_An_Cour!$W:$W,$L$2)</f>
        <v>7775.77</v>
      </c>
      <c r="M111" s="320"/>
      <c r="N111" s="321">
        <f t="shared" ref="N111:N121" si="78">L111-I111</f>
        <v>-3063.1723531415664</v>
      </c>
      <c r="O111" s="320"/>
      <c r="P111" s="214">
        <f t="shared" ref="P111:P116" si="79">IF($J$96=0,0,Q111/(O$94+O$95))</f>
        <v>886.95111111111112</v>
      </c>
      <c r="Q111" s="197">
        <f>SUMIFS(BV_Data_An_Prec!$P:$P,BV_Data_An_Prec!$U:$U,$B111,BV_Data_An_Prec!$V:$V,$C111,BV_Data_An_Prec!$W:$W,$L$2)</f>
        <v>15965.12</v>
      </c>
      <c r="R111" s="320"/>
      <c r="S111" s="216">
        <f t="shared" ref="S111:S121" si="80">L111-Q111</f>
        <v>-8189.35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</row>
    <row r="112" spans="1:54" ht="15.75" customHeight="1">
      <c r="A112" s="600" t="str">
        <f t="shared" si="54"/>
        <v>Véhicules usagésComm. F&amp;I</v>
      </c>
      <c r="B112" s="24" t="s">
        <v>144</v>
      </c>
      <c r="C112" s="343" t="s">
        <v>104</v>
      </c>
      <c r="D112" s="324"/>
      <c r="E112" s="430">
        <f t="shared" si="75"/>
        <v>514.61988304093563</v>
      </c>
      <c r="F112" s="194">
        <f>+SUMPRODUCT(('Budget original'!$A$8:$A$496=$A112)*('Budget original'!$C$3:$AO$3=F$2),'Budget original'!$C$8:$AO$496)</f>
        <v>10466.242255200459</v>
      </c>
      <c r="G112" s="326"/>
      <c r="H112" s="430">
        <f t="shared" si="76"/>
        <v>514.61988304093563</v>
      </c>
      <c r="I112" s="194">
        <f>+SUMPRODUCT(('Budget révisé'!$A$8:$A$496=$A112)*('Budget révisé'!$C$3:$AO$3=I$2),'Budget révisé'!$C$8:$AO$496)</f>
        <v>10466.242255200459</v>
      </c>
      <c r="J112" s="327"/>
      <c r="K112" s="430">
        <f t="shared" si="77"/>
        <v>492.9133333333333</v>
      </c>
      <c r="L112" s="197">
        <f>SUMIFS(BV_Data_An_Cour!$P:$P,BV_Data_An_Cour!$U:$U,$B112,BV_Data_An_Cour!$V:$V,$C112,BV_Data_An_Cour!$W:$W,$L$2)</f>
        <v>7393.7</v>
      </c>
      <c r="M112" s="327"/>
      <c r="N112" s="328">
        <f t="shared" si="78"/>
        <v>-3072.5422552004593</v>
      </c>
      <c r="O112" s="327"/>
      <c r="P112" s="430">
        <f t="shared" si="79"/>
        <v>208.6588888888889</v>
      </c>
      <c r="Q112" s="197">
        <f>SUMIFS(BV_Data_An_Prec!$P:$P,BV_Data_An_Prec!$U:$U,$B112,BV_Data_An_Prec!$V:$V,$C112,BV_Data_An_Prec!$W:$W,$L$2)</f>
        <v>3755.86</v>
      </c>
      <c r="R112" s="327"/>
      <c r="S112" s="219">
        <f t="shared" si="80"/>
        <v>3637.8399999999997</v>
      </c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</row>
    <row r="113" spans="1:54" ht="15.75" customHeight="1">
      <c r="A113" s="600" t="str">
        <f t="shared" si="54"/>
        <v>Véhicules usagésFrais de livraison</v>
      </c>
      <c r="B113" s="24" t="s">
        <v>144</v>
      </c>
      <c r="C113" s="281" t="s">
        <v>105</v>
      </c>
      <c r="D113" s="318"/>
      <c r="E113" s="214">
        <f t="shared" si="75"/>
        <v>54</v>
      </c>
      <c r="F113" s="196">
        <f>+SUMPRODUCT(('Budget original'!$A$8:$A$496=$A113)*('Budget original'!$C$3:$AO$3=F$2),'Budget original'!$C$8:$AO$496)</f>
        <v>1098.2418293695573</v>
      </c>
      <c r="G113" s="319"/>
      <c r="H113" s="214">
        <f t="shared" si="76"/>
        <v>54</v>
      </c>
      <c r="I113" s="196">
        <f>+SUMPRODUCT(('Budget révisé'!$A$8:$A$496=$A113)*('Budget révisé'!$C$3:$AO$3=I$2),'Budget révisé'!$C$8:$AO$496)</f>
        <v>1098.2418293695573</v>
      </c>
      <c r="J113" s="320"/>
      <c r="K113" s="214">
        <f t="shared" si="77"/>
        <v>36.961999999999996</v>
      </c>
      <c r="L113" s="198">
        <f>SUMIFS(BV_Data_An_Cour!$P:$P,BV_Data_An_Cour!$U:$U,$B113,BV_Data_An_Cour!$V:$V,$C113,BV_Data_An_Cour!$W:$W,$L$2)</f>
        <v>554.42999999999995</v>
      </c>
      <c r="M113" s="320"/>
      <c r="N113" s="321">
        <f t="shared" si="78"/>
        <v>-543.81182936955736</v>
      </c>
      <c r="O113" s="320"/>
      <c r="P113" s="214">
        <f t="shared" si="79"/>
        <v>123.48333333333332</v>
      </c>
      <c r="Q113" s="198">
        <f>SUMIFS(BV_Data_An_Prec!$P:$P,BV_Data_An_Prec!$U:$U,$B113,BV_Data_An_Prec!$V:$V,$C113,BV_Data_An_Prec!$W:$W,$L$2)</f>
        <v>2222.6999999999998</v>
      </c>
      <c r="R113" s="320"/>
      <c r="S113" s="216">
        <f t="shared" si="80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</row>
    <row r="114" spans="1:54" ht="15.75" customHeight="1">
      <c r="A114" s="600" t="str">
        <f t="shared" si="54"/>
        <v>Véhicules usagésService gratuit 1</v>
      </c>
      <c r="B114" s="24" t="s">
        <v>144</v>
      </c>
      <c r="C114" s="281" t="s">
        <v>106</v>
      </c>
      <c r="D114" s="318"/>
      <c r="E114" s="214">
        <f t="shared" si="75"/>
        <v>105</v>
      </c>
      <c r="F114" s="196">
        <f>+SUMPRODUCT(('Budget original'!$A$8:$A$496=$A114)*('Budget original'!$C$3:$AO$3=F$2),'Budget original'!$C$8:$AO$496)</f>
        <v>2135.4702237741394</v>
      </c>
      <c r="G114" s="319"/>
      <c r="H114" s="214">
        <f t="shared" si="76"/>
        <v>105</v>
      </c>
      <c r="I114" s="196">
        <f>+SUMPRODUCT(('Budget révisé'!$A$8:$A$496=$A114)*('Budget révisé'!$C$3:$AO$3=I$2),'Budget révisé'!$C$8:$AO$496)</f>
        <v>2135.4702237741394</v>
      </c>
      <c r="J114" s="320"/>
      <c r="K114" s="214">
        <f t="shared" si="77"/>
        <v>135.06200000000001</v>
      </c>
      <c r="L114" s="197">
        <f>SUMIFS(BV_Data_An_Cour!$P:$P,BV_Data_An_Cour!$U:$U,$B114,BV_Data_An_Cour!$V:$V,$C114,BV_Data_An_Cour!$W:$W,$L$2)</f>
        <v>2025.93</v>
      </c>
      <c r="M114" s="320"/>
      <c r="N114" s="321">
        <f t="shared" si="78"/>
        <v>-109.54022377413935</v>
      </c>
      <c r="O114" s="320"/>
      <c r="P114" s="214">
        <f t="shared" si="79"/>
        <v>11.111111111111111</v>
      </c>
      <c r="Q114" s="197">
        <f>SUMIFS(BV_Data_An_Prec!$P:$P,BV_Data_An_Prec!$U:$U,$B114,BV_Data_An_Prec!$V:$V,$C114,BV_Data_An_Prec!$W:$W,$L$2)</f>
        <v>200</v>
      </c>
      <c r="R114" s="320"/>
      <c r="S114" s="216">
        <f t="shared" si="80"/>
        <v>1825.93</v>
      </c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</row>
    <row r="115" spans="1:54" ht="15.75" customHeight="1">
      <c r="A115" s="600" t="str">
        <f t="shared" si="54"/>
        <v>Véhicules usagésEntretien stock</v>
      </c>
      <c r="B115" s="24" t="s">
        <v>144</v>
      </c>
      <c r="C115" s="343" t="s">
        <v>107</v>
      </c>
      <c r="D115" s="324"/>
      <c r="E115" s="430">
        <f t="shared" si="75"/>
        <v>61</v>
      </c>
      <c r="F115" s="194">
        <f>+SUMPRODUCT(('Budget original'!$A$8:$A$496=$A115)*('Budget original'!$C$3:$AO$3=F$2),'Budget original'!$C$8:$AO$496)</f>
        <v>1240.6065109545</v>
      </c>
      <c r="G115" s="326"/>
      <c r="H115" s="430">
        <f t="shared" si="76"/>
        <v>61</v>
      </c>
      <c r="I115" s="194">
        <f>+SUMPRODUCT(('Budget révisé'!$A$8:$A$496=$A115)*('Budget révisé'!$C$3:$AO$3=I$2),'Budget révisé'!$C$8:$AO$496)</f>
        <v>1240.6065109545</v>
      </c>
      <c r="J115" s="327"/>
      <c r="K115" s="430">
        <f t="shared" si="77"/>
        <v>127.66666666666667</v>
      </c>
      <c r="L115" s="422">
        <f>SUMIFS(BV_Data_An_Cour!$P:$P,BV_Data_An_Cour!$U:$U,$B115,BV_Data_An_Cour!$V:$V,$C115,BV_Data_An_Cour!$W:$W,$L$2)</f>
        <v>1915</v>
      </c>
      <c r="M115" s="327"/>
      <c r="N115" s="328">
        <f t="shared" si="78"/>
        <v>674.39348904550002</v>
      </c>
      <c r="O115" s="327"/>
      <c r="P115" s="430">
        <f t="shared" si="79"/>
        <v>61.111111111111114</v>
      </c>
      <c r="Q115" s="422">
        <f>SUMIFS(BV_Data_An_Prec!$P:$P,BV_Data_An_Prec!$U:$U,$B115,BV_Data_An_Prec!$V:$V,$C115,BV_Data_An_Prec!$W:$W,$L$2)</f>
        <v>1100</v>
      </c>
      <c r="R115" s="327"/>
      <c r="S115" s="219">
        <f t="shared" si="80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</row>
    <row r="116" spans="1:54" ht="15.75" customHeight="1">
      <c r="A116" s="600" t="str">
        <f t="shared" si="54"/>
        <v>Véhicules usagésPublicité 1</v>
      </c>
      <c r="B116" s="24" t="s">
        <v>144</v>
      </c>
      <c r="C116" s="281" t="s">
        <v>108</v>
      </c>
      <c r="D116" s="318"/>
      <c r="E116" s="214">
        <f t="shared" si="75"/>
        <v>27.410526315789443</v>
      </c>
      <c r="F116" s="196">
        <f>+SUMPRODUCT(('Budget original'!$A$8:$A$496=$A116)*('Budget original'!$C$3:$AO$3=F$2),'Budget original'!$C$8:$AO$496)</f>
        <v>557.47012157472204</v>
      </c>
      <c r="G116" s="319"/>
      <c r="H116" s="214">
        <f t="shared" si="76"/>
        <v>27.410526315789443</v>
      </c>
      <c r="I116" s="196">
        <f>+SUMPRODUCT(('Budget révisé'!$A$8:$A$496=$A116)*('Budget révisé'!$C$3:$AO$3=I$2),'Budget révisé'!$C$8:$AO$496)</f>
        <v>557.47012157472204</v>
      </c>
      <c r="J116" s="320"/>
      <c r="K116" s="214">
        <f t="shared" si="77"/>
        <v>187.96800000000002</v>
      </c>
      <c r="L116" s="197">
        <f>SUMIFS(BV_Data_An_Cour!$P:$P,BV_Data_An_Cour!$U:$U,$B116,BV_Data_An_Cour!$V:$V,$C116,BV_Data_An_Cour!$W:$W,$L$2)</f>
        <v>2819.5200000000004</v>
      </c>
      <c r="M116" s="320"/>
      <c r="N116" s="321">
        <f t="shared" si="78"/>
        <v>2262.0498784252786</v>
      </c>
      <c r="O116" s="320"/>
      <c r="P116" s="214">
        <f t="shared" si="79"/>
        <v>304.44444444444446</v>
      </c>
      <c r="Q116" s="197">
        <f>SUMIFS(BV_Data_An_Prec!$P:$P,BV_Data_An_Prec!$U:$U,$B116,BV_Data_An_Prec!$V:$V,$C116,BV_Data_An_Prec!$W:$W,$L$2)</f>
        <v>5480</v>
      </c>
      <c r="R116" s="320"/>
      <c r="S116" s="216">
        <f t="shared" si="80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</row>
    <row r="117" spans="1:54" ht="15.75" customHeight="1">
      <c r="A117" s="600" t="str">
        <f t="shared" ref="A117:A120" si="81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2">F117/D$96</f>
        <v>53.174692062731076</v>
      </c>
      <c r="F117" s="196">
        <f>+SUMPRODUCT(('Budget original'!$A$8:$A$496=$A117)*('Budget original'!$C$3:$AO$3=F$2),'Budget original'!$C$8:$AO$496)</f>
        <v>1081.4568719840122</v>
      </c>
      <c r="G117" s="319"/>
      <c r="H117" s="214">
        <f t="shared" ref="H117:H119" si="83">I117/G$96</f>
        <v>53.174692062731076</v>
      </c>
      <c r="I117" s="196">
        <f>+SUMPRODUCT(('Budget révisé'!$A$8:$A$496=$A117)*('Budget révisé'!$C$3:$AO$3=I$2),'Budget révisé'!$C$8:$AO$496)</f>
        <v>1081.4568719840122</v>
      </c>
      <c r="J117" s="320"/>
      <c r="K117" s="214">
        <f t="shared" ref="K117:K119" si="84">IF($J$96=0,0,L117/(J$94+J$95))</f>
        <v>35.275333333333336</v>
      </c>
      <c r="L117" s="197">
        <f>SUMIFS(BV_Data_An_Cour!$P:$P,BV_Data_An_Cour!$U:$U,$B117,BV_Data_An_Cour!$V:$V,$C117,BV_Data_An_Cour!$W:$W,$L$2)</f>
        <v>529.13</v>
      </c>
      <c r="M117" s="320"/>
      <c r="N117" s="321">
        <f t="shared" ref="N117:N119" si="85">L117-I117</f>
        <v>-552.3268719840122</v>
      </c>
      <c r="O117" s="320"/>
      <c r="P117" s="214">
        <f t="shared" ref="P117:P119" si="86">IF($J$96=0,0,Q117/(O$94+O$95))</f>
        <v>0</v>
      </c>
      <c r="Q117" s="197">
        <f>SUMIFS(BV_Data_An_Prec!$P:$P,BV_Data_An_Prec!$U:$U,$B117,BV_Data_An_Prec!$V:$V,$C117,BV_Data_An_Prec!$W:$W,$L$2)</f>
        <v>0</v>
      </c>
      <c r="R117" s="320"/>
      <c r="S117" s="216">
        <f t="shared" ref="S117:S119" si="87">L117-Q117</f>
        <v>529.13</v>
      </c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</row>
    <row r="118" spans="1:54" ht="15.75" customHeight="1">
      <c r="A118" s="600" t="str">
        <f t="shared" si="81"/>
        <v>Véhicules usagés[...]</v>
      </c>
      <c r="B118" s="24" t="s">
        <v>144</v>
      </c>
      <c r="C118" s="281" t="s">
        <v>42</v>
      </c>
      <c r="D118" s="318"/>
      <c r="E118" s="214">
        <f t="shared" si="82"/>
        <v>0</v>
      </c>
      <c r="F118" s="196">
        <f>+SUMPRODUCT(('Budget original'!$A$8:$A$496=$A118)*('Budget original'!$C$3:$AO$3=F$2),'Budget original'!$C$8:$AO$496)</f>
        <v>0</v>
      </c>
      <c r="G118" s="319"/>
      <c r="H118" s="214">
        <f t="shared" si="83"/>
        <v>0</v>
      </c>
      <c r="I118" s="196">
        <f>+SUMPRODUCT(('Budget révisé'!$A$8:$A$496=$A118)*('Budget révisé'!$C$3:$AO$3=I$2),'Budget révisé'!$C$8:$AO$496)</f>
        <v>0</v>
      </c>
      <c r="J118" s="320"/>
      <c r="K118" s="214">
        <f t="shared" si="84"/>
        <v>0</v>
      </c>
      <c r="L118" s="197">
        <f>SUMIFS(BV_Data_An_Cour!$P:$P,BV_Data_An_Cour!$U:$U,$B118,BV_Data_An_Cour!$V:$V,$C118,BV_Data_An_Cour!$W:$W,$L$2)</f>
        <v>0</v>
      </c>
      <c r="M118" s="320"/>
      <c r="N118" s="321">
        <f t="shared" si="85"/>
        <v>0</v>
      </c>
      <c r="O118" s="320"/>
      <c r="P118" s="214">
        <f t="shared" si="86"/>
        <v>0</v>
      </c>
      <c r="Q118" s="197">
        <f>SUMIFS(BV_Data_An_Prec!$P:$P,BV_Data_An_Prec!$U:$U,$B118,BV_Data_An_Prec!$V:$V,$C118,BV_Data_An_Prec!$W:$W,$L$2)</f>
        <v>0</v>
      </c>
      <c r="R118" s="320"/>
      <c r="S118" s="216">
        <f t="shared" si="87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</row>
    <row r="119" spans="1:54" ht="15.75" customHeight="1">
      <c r="A119" s="600" t="str">
        <f t="shared" si="81"/>
        <v>Véhicules usagés[...]</v>
      </c>
      <c r="B119" s="24" t="s">
        <v>144</v>
      </c>
      <c r="C119" s="281" t="s">
        <v>42</v>
      </c>
      <c r="D119" s="318"/>
      <c r="E119" s="214">
        <f t="shared" si="82"/>
        <v>0</v>
      </c>
      <c r="F119" s="196">
        <f>+SUMPRODUCT(('Budget original'!$A$8:$A$496=$A119)*('Budget original'!$C$3:$AO$3=F$2),'Budget original'!$C$8:$AO$496)</f>
        <v>0</v>
      </c>
      <c r="G119" s="319"/>
      <c r="H119" s="214">
        <f t="shared" si="83"/>
        <v>0</v>
      </c>
      <c r="I119" s="196">
        <f>+SUMPRODUCT(('Budget révisé'!$A$8:$A$496=$A119)*('Budget révisé'!$C$3:$AO$3=I$2),'Budget révisé'!$C$8:$AO$496)</f>
        <v>0</v>
      </c>
      <c r="J119" s="320"/>
      <c r="K119" s="214">
        <f t="shared" si="84"/>
        <v>0</v>
      </c>
      <c r="L119" s="197">
        <f>SUMIFS(BV_Data_An_Cour!$P:$P,BV_Data_An_Cour!$U:$U,$B119,BV_Data_An_Cour!$V:$V,$C119,BV_Data_An_Cour!$W:$W,$L$2)</f>
        <v>0</v>
      </c>
      <c r="M119" s="320"/>
      <c r="N119" s="321">
        <f t="shared" si="85"/>
        <v>0</v>
      </c>
      <c r="O119" s="320"/>
      <c r="P119" s="214">
        <f t="shared" si="86"/>
        <v>0</v>
      </c>
      <c r="Q119" s="197">
        <f>SUMIFS(BV_Data_An_Prec!$P:$P,BV_Data_An_Prec!$U:$U,$B119,BV_Data_An_Prec!$V:$V,$C119,BV_Data_An_Prec!$W:$W,$L$2)</f>
        <v>0</v>
      </c>
      <c r="R119" s="320"/>
      <c r="S119" s="216">
        <f t="shared" si="87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</row>
    <row r="120" spans="1:54" ht="15.75" customHeight="1">
      <c r="A120" s="600" t="str">
        <f t="shared" si="81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+SUMPRODUCT(('Budget original'!$A$8:$A$496=$A120)*('Budget original'!$C$3:$AO$3=F$2),'Budget original'!$C$8:$AO$496)</f>
        <v>0</v>
      </c>
      <c r="G120" s="319"/>
      <c r="H120" s="214">
        <f>I120/G$96</f>
        <v>0</v>
      </c>
      <c r="I120" s="196">
        <f>+SUMPRODUCT(('Budget révisé'!$A$8:$A$496=$A120)*('Budget révisé'!$C$3:$AO$3=I$2),'Budget révisé'!$C$8:$AO$496)</f>
        <v>0</v>
      </c>
      <c r="J120" s="320"/>
      <c r="K120" s="214">
        <f>IF($J$96=0,0,L120/(J$94+J$95))</f>
        <v>0</v>
      </c>
      <c r="L120" s="197">
        <f>SUMIFS(BV_Data_An_Cour!$P:$P,BV_Data_An_Cour!$U:$U,$B120,BV_Data_An_Cour!$V:$V,$C120,BV_Data_An_Cour!$W:$W,$L$2)</f>
        <v>0</v>
      </c>
      <c r="M120" s="320"/>
      <c r="N120" s="321">
        <f t="shared" si="78"/>
        <v>0</v>
      </c>
      <c r="O120" s="320"/>
      <c r="P120" s="214">
        <f>IF($J$96=0,0,Q120/(O$94+O$95))</f>
        <v>0</v>
      </c>
      <c r="Q120" s="197">
        <f>SUMIFS(BV_Data_An_Prec!$P:$P,BV_Data_An_Prec!$U:$U,$B120,BV_Data_An_Prec!$V:$V,$C120,BV_Data_An_Prec!$W:$W,$L$2)</f>
        <v>0</v>
      </c>
      <c r="R120" s="320"/>
      <c r="S120" s="216">
        <f t="shared" si="80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</row>
    <row r="121" spans="1:54" ht="15.75" customHeight="1">
      <c r="A121" s="600" t="str">
        <f t="shared" si="54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0.57343177293442571</v>
      </c>
      <c r="L121" s="41">
        <f>SUM(L111:L120)</f>
        <v>23013.480000000003</v>
      </c>
      <c r="M121" s="44"/>
      <c r="N121" s="41">
        <f t="shared" si="78"/>
        <v>-4404.9501659989583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0"/>
        <v>-5710.1999999999971</v>
      </c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</row>
    <row r="122" spans="1:54" ht="15.75" customHeight="1">
      <c r="A122" s="600" t="str">
        <f t="shared" si="54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+SUMPRODUCT(('Budget original'!$A$8:$A$496=$A122)*('Budget original'!$C$3:$AO$3=F$2),'Budget original'!$C$8:$AO$496)</f>
        <v>6355.5385057471267</v>
      </c>
      <c r="G122" s="320"/>
      <c r="H122" s="195"/>
      <c r="I122" s="196">
        <f>+SUMPRODUCT(('Budget révisé'!$A$8:$A$496=$A122)*('Budget révisé'!$C$3:$AO$3=I$2),'Budget révisé'!$C$8:$AO$496)</f>
        <v>6355.5385057471267</v>
      </c>
      <c r="J122" s="320"/>
      <c r="K122" s="195"/>
      <c r="L122" s="197">
        <f>SUMIFS(BV_Data_An_Cour!$P:$P,BV_Data_An_Cour!$U:$U,$B122,BV_Data_An_Cour!$V:$V,$C122,BV_Data_An_Cour!$W:$W,$L$2)</f>
        <v>11571</v>
      </c>
      <c r="M122" s="320"/>
      <c r="N122" s="329"/>
      <c r="O122" s="320"/>
      <c r="P122" s="195"/>
      <c r="Q122" s="197">
        <f>SUMIFS(BV_Data_An_Prec!$P:$P,BV_Data_An_Prec!$U:$U,$B122,BV_Data_An_Prec!$V:$V,$C122,BV_Data_An_Prec!$W:$W,$L$2)</f>
        <v>4058.3</v>
      </c>
      <c r="R122" s="320"/>
      <c r="S122" s="408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39"/>
      <c r="AK122" s="239"/>
      <c r="AL122" s="239"/>
      <c r="AM122" s="250"/>
      <c r="AN122" s="250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</row>
    <row r="123" spans="1:54" ht="15.75" customHeight="1">
      <c r="A123" s="600" t="str">
        <f t="shared" si="54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+SUMPRODUCT(('Budget original'!$A$8:$A$496=$A123)*('Budget original'!$C$3:$AO$3=F$2),'Budget original'!$C$8:$AO$496)</f>
        <v>2127.4401145747129</v>
      </c>
      <c r="G123" s="319"/>
      <c r="H123" s="195"/>
      <c r="I123" s="194">
        <f>+SUMPRODUCT(('Budget révisé'!$A$8:$A$496=$A123)*('Budget révisé'!$C$3:$AO$3=I$2),'Budget révisé'!$C$8:$AO$496)</f>
        <v>2127.4401145747129</v>
      </c>
      <c r="J123" s="320"/>
      <c r="K123" s="195"/>
      <c r="L123" s="194">
        <f>SUMIFS(BV_Data_An_Cour!$P:$P,BV_Data_An_Cour!$U:$U,$B123,BV_Data_An_Cour!$V:$V,$C123,BV_Data_An_Cour!$W:$W,$L$2)</f>
        <v>2021.59</v>
      </c>
      <c r="M123" s="320"/>
      <c r="N123" s="321">
        <f t="shared" ref="N123:N152" si="88">L123-I123</f>
        <v>-105.85011457471296</v>
      </c>
      <c r="O123" s="320"/>
      <c r="P123" s="195"/>
      <c r="Q123" s="194">
        <f>SUMIFS(BV_Data_An_Prec!$P:$P,BV_Data_An_Prec!$U:$U,$B123,BV_Data_An_Prec!$V:$V,$C123,BV_Data_An_Prec!$W:$W,$L$2)</f>
        <v>3416.68</v>
      </c>
      <c r="R123" s="320"/>
      <c r="S123" s="216">
        <f t="shared" ref="S123:S152" si="89">L123-Q123</f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39"/>
      <c r="AK123" s="239"/>
      <c r="AL123" s="239"/>
      <c r="AM123" s="250"/>
      <c r="AN123" s="250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</row>
    <row r="124" spans="1:54" ht="15.75" customHeight="1">
      <c r="A124" s="600" t="str">
        <f t="shared" si="54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+SUMPRODUCT(('Budget original'!$A$8:$A$496=$A124)*('Budget original'!$C$3:$AO$3=F$2),'Budget original'!$C$8:$AO$496)</f>
        <v>6708.1630258758623</v>
      </c>
      <c r="G124" s="410"/>
      <c r="H124" s="369"/>
      <c r="I124" s="196">
        <f>+SUMPRODUCT(('Budget révisé'!$A$8:$A$496=$A124)*('Budget révisé'!$C$3:$AO$3=I$2),'Budget révisé'!$C$8:$AO$496)</f>
        <v>6708.1630258758623</v>
      </c>
      <c r="J124" s="385"/>
      <c r="K124" s="369"/>
      <c r="L124" s="197">
        <f>SUMIFS(BV_Data_An_Cour!$P:$P,BV_Data_An_Cour!$U:$U,$B124,BV_Data_An_Cour!$V:$V,$C124,BV_Data_An_Cour!$W:$W,$L$2)</f>
        <v>5454.29</v>
      </c>
      <c r="M124" s="385"/>
      <c r="N124" s="373">
        <f t="shared" si="88"/>
        <v>-1253.8730258758624</v>
      </c>
      <c r="O124" s="385"/>
      <c r="P124" s="369"/>
      <c r="Q124" s="197">
        <f>SUMIFS(BV_Data_An_Prec!$P:$P,BV_Data_An_Prec!$U:$U,$B124,BV_Data_An_Prec!$V:$V,$C124,BV_Data_An_Prec!$W:$W,$L$2)</f>
        <v>9099.89</v>
      </c>
      <c r="R124" s="385"/>
      <c r="S124" s="218">
        <f t="shared" si="89"/>
        <v>-3645.5999999999995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39"/>
      <c r="AK124" s="239"/>
      <c r="AL124" s="239"/>
      <c r="AM124" s="250"/>
      <c r="AN124" s="250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</row>
    <row r="125" spans="1:54" ht="15.75" customHeight="1">
      <c r="A125" s="600" t="str">
        <f t="shared" si="54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+SUMPRODUCT(('Budget original'!$A$8:$A$496=$A125)*('Budget original'!$C$3:$AO$3=F$2),'Budget original'!$C$8:$AO$496)</f>
        <v>0</v>
      </c>
      <c r="G125" s="319"/>
      <c r="H125" s="195"/>
      <c r="I125" s="196">
        <f>+SUMPRODUCT(('Budget révisé'!$A$8:$A$496=$A125)*('Budget révisé'!$C$3:$AO$3=I$2),'Budget révisé'!$C$8:$AO$496)</f>
        <v>0</v>
      </c>
      <c r="J125" s="320"/>
      <c r="K125" s="195"/>
      <c r="L125" s="197">
        <f>SUMIFS(BV_Data_An_Cour!$P:$P,BV_Data_An_Cour!$U:$U,$B125,BV_Data_An_Cour!$V:$V,$C125,BV_Data_An_Cour!$W:$W,$L$2)</f>
        <v>0</v>
      </c>
      <c r="M125" s="320"/>
      <c r="N125" s="321">
        <f t="shared" si="88"/>
        <v>0</v>
      </c>
      <c r="O125" s="320"/>
      <c r="P125" s="195"/>
      <c r="Q125" s="197">
        <f>SUMIFS(BV_Data_An_Prec!$P:$P,BV_Data_An_Prec!$U:$U,$B125,BV_Data_An_Prec!$V:$V,$C125,BV_Data_An_Prec!$W:$W,$L$2)</f>
        <v>0</v>
      </c>
      <c r="R125" s="320"/>
      <c r="S125" s="216">
        <f t="shared" si="89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39"/>
      <c r="AK125" s="239"/>
      <c r="AL125" s="239"/>
      <c r="AM125" s="250"/>
      <c r="AN125" s="250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</row>
    <row r="126" spans="1:54" ht="15.75" customHeight="1">
      <c r="A126" s="600" t="str">
        <f t="shared" ref="A126:A128" si="90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+SUMPRODUCT(('Budget original'!$A$8:$A$496=$A126)*('Budget original'!$C$3:$AO$3=F$2),'Budget original'!$C$8:$AO$496)</f>
        <v>0</v>
      </c>
      <c r="G126" s="319"/>
      <c r="H126" s="195"/>
      <c r="I126" s="196">
        <f>+SUMPRODUCT(('Budget révisé'!$A$8:$A$496=$A126)*('Budget révisé'!$C$3:$AO$3=I$2),'Budget révisé'!$C$8:$AO$496)</f>
        <v>0</v>
      </c>
      <c r="J126" s="320"/>
      <c r="K126" s="195"/>
      <c r="L126" s="197">
        <f>SUMIFS(BV_Data_An_Cour!$P:$P,BV_Data_An_Cour!$U:$U,$B126,BV_Data_An_Cour!$V:$V,$C126,BV_Data_An_Cour!$W:$W,$L$2)</f>
        <v>0</v>
      </c>
      <c r="M126" s="320"/>
      <c r="N126" s="321">
        <f t="shared" ref="N126:N129" si="91">L126-I126</f>
        <v>0</v>
      </c>
      <c r="O126" s="320"/>
      <c r="P126" s="195"/>
      <c r="Q126" s="197">
        <f>SUMIFS(BV_Data_An_Prec!$P:$P,BV_Data_An_Prec!$U:$U,$B126,BV_Data_An_Prec!$V:$V,$C126,BV_Data_An_Prec!$W:$W,$L$2)</f>
        <v>0</v>
      </c>
      <c r="R126" s="320"/>
      <c r="S126" s="216">
        <f t="shared" ref="S126:S129" si="92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39"/>
      <c r="AK126" s="239"/>
      <c r="AL126" s="239"/>
      <c r="AM126" s="250"/>
      <c r="AN126" s="250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</row>
    <row r="127" spans="1:54" ht="15.75" customHeight="1">
      <c r="A127" s="600" t="str">
        <f t="shared" si="90"/>
        <v>Véhicules usagés[...]</v>
      </c>
      <c r="B127" s="24" t="s">
        <v>144</v>
      </c>
      <c r="C127" s="322" t="s">
        <v>42</v>
      </c>
      <c r="D127" s="318"/>
      <c r="E127" s="195"/>
      <c r="F127" s="196">
        <f>+SUMPRODUCT(('Budget original'!$A$8:$A$496=$A127)*('Budget original'!$C$3:$AO$3=F$2),'Budget original'!$C$8:$AO$496)</f>
        <v>0</v>
      </c>
      <c r="G127" s="319"/>
      <c r="H127" s="195"/>
      <c r="I127" s="196">
        <f>+SUMPRODUCT(('Budget révisé'!$A$8:$A$496=$A127)*('Budget révisé'!$C$3:$AO$3=I$2),'Budget révisé'!$C$8:$AO$496)</f>
        <v>0</v>
      </c>
      <c r="J127" s="320"/>
      <c r="K127" s="195"/>
      <c r="L127" s="197">
        <f>SUMIFS(BV_Data_An_Cour!$P:$P,BV_Data_An_Cour!$U:$U,$B127,BV_Data_An_Cour!$V:$V,$C127,BV_Data_An_Cour!$W:$W,$L$2)</f>
        <v>0</v>
      </c>
      <c r="M127" s="320"/>
      <c r="N127" s="321">
        <f t="shared" si="91"/>
        <v>0</v>
      </c>
      <c r="O127" s="320"/>
      <c r="P127" s="195"/>
      <c r="Q127" s="197">
        <f>SUMIFS(BV_Data_An_Prec!$P:$P,BV_Data_An_Prec!$U:$U,$B127,BV_Data_An_Prec!$V:$V,$C127,BV_Data_An_Prec!$W:$W,$L$2)</f>
        <v>0</v>
      </c>
      <c r="R127" s="320"/>
      <c r="S127" s="216">
        <f t="shared" si="92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39"/>
      <c r="AK127" s="239"/>
      <c r="AL127" s="239"/>
      <c r="AM127" s="250"/>
      <c r="AN127" s="250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</row>
    <row r="128" spans="1:54" ht="15.75" customHeight="1">
      <c r="A128" s="600" t="str">
        <f t="shared" si="90"/>
        <v>Véhicules usagés[...]</v>
      </c>
      <c r="B128" s="24" t="s">
        <v>144</v>
      </c>
      <c r="C128" s="322" t="s">
        <v>42</v>
      </c>
      <c r="D128" s="318"/>
      <c r="E128" s="195"/>
      <c r="F128" s="196">
        <f>+SUMPRODUCT(('Budget original'!$A$8:$A$496=$A128)*('Budget original'!$C$3:$AO$3=F$2),'Budget original'!$C$8:$AO$496)</f>
        <v>0</v>
      </c>
      <c r="G128" s="319"/>
      <c r="H128" s="195"/>
      <c r="I128" s="196">
        <f>+SUMPRODUCT(('Budget révisé'!$A$8:$A$496=$A128)*('Budget révisé'!$C$3:$AO$3=I$2),'Budget révisé'!$C$8:$AO$496)</f>
        <v>0</v>
      </c>
      <c r="J128" s="320"/>
      <c r="K128" s="195"/>
      <c r="L128" s="197">
        <f>SUMIFS(BV_Data_An_Cour!$P:$P,BV_Data_An_Cour!$U:$U,$B128,BV_Data_An_Cour!$V:$V,$C128,BV_Data_An_Cour!$W:$W,$L$2)</f>
        <v>0</v>
      </c>
      <c r="M128" s="320"/>
      <c r="N128" s="321">
        <f t="shared" si="91"/>
        <v>0</v>
      </c>
      <c r="O128" s="320"/>
      <c r="P128" s="195"/>
      <c r="Q128" s="197">
        <f>SUMIFS(BV_Data_An_Prec!$P:$P,BV_Data_An_Prec!$U:$U,$B128,BV_Data_An_Prec!$V:$V,$C128,BV_Data_An_Prec!$W:$W,$L$2)</f>
        <v>0</v>
      </c>
      <c r="R128" s="320"/>
      <c r="S128" s="216">
        <f t="shared" si="92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39"/>
      <c r="AK128" s="239"/>
      <c r="AL128" s="239"/>
      <c r="AM128" s="250"/>
      <c r="AN128" s="250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</row>
    <row r="129" spans="1:54" ht="15.75" customHeight="1">
      <c r="A129" s="600" t="str">
        <f t="shared" si="54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+SUMPRODUCT(('Budget original'!$A$8:$A$496=$A129)*('Budget original'!$C$3:$AO$3=F$2),'Budget original'!$C$8:$AO$496)</f>
        <v>4379.5591505447674</v>
      </c>
      <c r="G129" s="319"/>
      <c r="H129" s="195"/>
      <c r="I129" s="196">
        <f>+SUMPRODUCT(('Budget révisé'!$A$8:$A$496=$A129)*('Budget révisé'!$C$3:$AO$3=I$2),'Budget révisé'!$C$8:$AO$496)</f>
        <v>4379.5591505447674</v>
      </c>
      <c r="J129" s="320"/>
      <c r="K129" s="195"/>
      <c r="L129" s="197">
        <f>SUMIFS(BV_Data_An_Cour!$P:$P,BV_Data_An_Cour!$U:$U,$B129,BV_Data_An_Cour!$V:$V,$C129,BV_Data_An_Cour!$W:$W,$L$2)</f>
        <v>2069.35</v>
      </c>
      <c r="M129" s="320"/>
      <c r="N129" s="321">
        <f t="shared" si="91"/>
        <v>-2310.2091505447675</v>
      </c>
      <c r="O129" s="320"/>
      <c r="P129" s="195"/>
      <c r="Q129" s="197">
        <f>SUMIFS(BV_Data_An_Prec!$P:$P,BV_Data_An_Prec!$U:$U,$B129,BV_Data_An_Prec!$V:$V,$C129,BV_Data_An_Prec!$W:$W,$L$2)</f>
        <v>5243.31</v>
      </c>
      <c r="R129" s="320"/>
      <c r="S129" s="216">
        <f t="shared" si="92"/>
        <v>-3173.9600000000005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</row>
    <row r="130" spans="1:54" ht="15.75" customHeight="1">
      <c r="A130" s="600" t="str">
        <f t="shared" si="54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+SUMPRODUCT(('Budget original'!$A$8:$A$496=$A130)*('Budget original'!$C$3:$AO$3=F$2),'Budget original'!$C$8:$AO$496)</f>
        <v>4379.5591505447674</v>
      </c>
      <c r="G130" s="304"/>
      <c r="H130" s="303"/>
      <c r="I130" s="666">
        <f>+SUMPRODUCT(('Budget révisé'!$A$8:$A$496=$A130)*('Budget révisé'!$C$3:$AO$3=I$2),'Budget révisé'!$C$8:$AO$496)</f>
        <v>4379.5591505447674</v>
      </c>
      <c r="J130" s="305"/>
      <c r="K130" s="303"/>
      <c r="L130" s="667">
        <f>SUMIFS(BV_Data_An_Cour!$P:$P,BV_Data_An_Cour!$U:$U,$B130,BV_Data_An_Cour!$V:$V,$C130,BV_Data_An_Cour!$W:$W,$L$2)</f>
        <v>2743.13</v>
      </c>
      <c r="M130" s="305"/>
      <c r="N130" s="373">
        <f t="shared" si="88"/>
        <v>-1636.4291505447673</v>
      </c>
      <c r="O130" s="305"/>
      <c r="P130" s="303"/>
      <c r="Q130" s="667">
        <f>SUMIFS(BV_Data_An_Prec!$P:$P,BV_Data_An_Prec!$U:$U,$B130,BV_Data_An_Prec!$V:$V,$C130,BV_Data_An_Prec!$W:$W,$L$2)</f>
        <v>5428.14</v>
      </c>
      <c r="R130" s="305"/>
      <c r="S130" s="307">
        <f t="shared" si="89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</row>
    <row r="131" spans="1:54" ht="15.75" customHeight="1">
      <c r="A131" s="600" t="str">
        <f t="shared" si="54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+SUMPRODUCT(('Budget original'!$A$8:$A$496=$A131)*('Budget original'!$C$3:$AO$3=F$2),'Budget original'!$C$8:$AO$496)</f>
        <v>3138.6840578904166</v>
      </c>
      <c r="G131" s="300"/>
      <c r="H131" s="250"/>
      <c r="I131" s="248">
        <f>+SUMPRODUCT(('Budget révisé'!$A$8:$A$496=$A131)*('Budget révisé'!$C$3:$AO$3=I$2),'Budget révisé'!$C$8:$AO$496)</f>
        <v>3138.6840578904166</v>
      </c>
      <c r="J131" s="244"/>
      <c r="K131" s="250"/>
      <c r="L131" s="298">
        <f>SUMIFS(BV_Data_An_Cour!$P:$P,BV_Data_An_Cour!$U:$U,$B131,BV_Data_An_Cour!$V:$V,$C131,BV_Data_An_Cour!$W:$W,$L$2)</f>
        <v>2196</v>
      </c>
      <c r="M131" s="244"/>
      <c r="N131" s="321">
        <f t="shared" si="88"/>
        <v>-942.68405789041663</v>
      </c>
      <c r="O131" s="244"/>
      <c r="P131" s="250"/>
      <c r="Q131" s="298">
        <f>SUMIFS(BV_Data_An_Prec!$P:$P,BV_Data_An_Prec!$U:$U,$B131,BV_Data_An_Prec!$V:$V,$C131,BV_Data_An_Prec!$W:$W,$L$2)</f>
        <v>3475.02</v>
      </c>
      <c r="R131" s="244"/>
      <c r="S131" s="301">
        <f t="shared" si="89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39"/>
      <c r="AK131" s="239"/>
      <c r="AL131" s="239"/>
      <c r="AM131" s="250"/>
      <c r="AN131" s="250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</row>
    <row r="132" spans="1:54" ht="15.75" customHeight="1">
      <c r="A132" s="600" t="str">
        <f t="shared" si="54"/>
        <v>Véhicules usagésCsst</v>
      </c>
      <c r="B132" s="24" t="s">
        <v>144</v>
      </c>
      <c r="C132" s="297" t="s">
        <v>119</v>
      </c>
      <c r="D132" s="279"/>
      <c r="E132" s="250"/>
      <c r="F132" s="248">
        <f>+SUMPRODUCT(('Budget original'!$A$8:$A$496=$A132)*('Budget original'!$C$3:$AO$3=F$2),'Budget original'!$C$8:$AO$496)</f>
        <v>729.9265250907946</v>
      </c>
      <c r="G132" s="300"/>
      <c r="H132" s="250"/>
      <c r="I132" s="248">
        <f>+SUMPRODUCT(('Budget révisé'!$A$8:$A$496=$A132)*('Budget révisé'!$C$3:$AO$3=I$2),'Budget révisé'!$C$8:$AO$496)</f>
        <v>729.9265250907946</v>
      </c>
      <c r="J132" s="244"/>
      <c r="K132" s="250"/>
      <c r="L132" s="298">
        <f>SUMIFS(BV_Data_An_Cour!$P:$P,BV_Data_An_Cour!$U:$U,$B132,BV_Data_An_Cour!$V:$V,$C132,BV_Data_An_Cour!$W:$W,$L$2)</f>
        <v>0</v>
      </c>
      <c r="M132" s="244"/>
      <c r="N132" s="321">
        <f t="shared" si="88"/>
        <v>-729.9265250907946</v>
      </c>
      <c r="O132" s="244"/>
      <c r="P132" s="250"/>
      <c r="Q132" s="298">
        <f>SUMIFS(BV_Data_An_Prec!$P:$P,BV_Data_An_Prec!$U:$U,$B132,BV_Data_An_Prec!$V:$V,$C132,BV_Data_An_Prec!$W:$W,$L$2)</f>
        <v>1473.68</v>
      </c>
      <c r="R132" s="244"/>
      <c r="S132" s="301">
        <f t="shared" si="89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39"/>
      <c r="AK132" s="239"/>
      <c r="AL132" s="239"/>
      <c r="AM132" s="250"/>
      <c r="AN132" s="250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</row>
    <row r="133" spans="1:54" ht="15.75" customHeight="1">
      <c r="A133" s="600" t="str">
        <f t="shared" si="54"/>
        <v>Véhicules usagés[...]</v>
      </c>
      <c r="B133" s="24" t="s">
        <v>144</v>
      </c>
      <c r="C133" s="308" t="s">
        <v>42</v>
      </c>
      <c r="D133" s="309"/>
      <c r="E133" s="310"/>
      <c r="F133" s="248">
        <f>+SUMPRODUCT(('Budget original'!$A$8:$A$496=$A133)*('Budget original'!$C$3:$AO$3=F$2),'Budget original'!$C$8:$AO$496)</f>
        <v>0</v>
      </c>
      <c r="G133" s="311"/>
      <c r="H133" s="310"/>
      <c r="I133" s="248">
        <f>+SUMPRODUCT(('Budget révisé'!$A$8:$A$496=$A133)*('Budget révisé'!$C$3:$AO$3=I$2),'Budget révisé'!$C$8:$AO$496)</f>
        <v>0</v>
      </c>
      <c r="J133" s="312"/>
      <c r="K133" s="310"/>
      <c r="L133" s="298">
        <f>SUMIFS(BV_Data_An_Cour!$P:$P,BV_Data_An_Cour!$U:$U,$B133,BV_Data_An_Cour!$V:$V,$C133,BV_Data_An_Cour!$W:$W,$L$2)</f>
        <v>0</v>
      </c>
      <c r="M133" s="312"/>
      <c r="N133" s="213">
        <f t="shared" si="88"/>
        <v>0</v>
      </c>
      <c r="O133" s="312"/>
      <c r="P133" s="310"/>
      <c r="Q133" s="298">
        <f>SUMIFS(BV_Data_An_Prec!$P:$P,BV_Data_An_Prec!$U:$U,$B133,BV_Data_An_Prec!$V:$V,$C133,BV_Data_An_Prec!$W:$W,$L$2)</f>
        <v>0</v>
      </c>
      <c r="R133" s="312"/>
      <c r="S133" s="314">
        <f t="shared" si="89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39"/>
      <c r="AK133" s="239"/>
      <c r="AL133" s="239"/>
      <c r="AM133" s="250"/>
      <c r="AN133" s="250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</row>
    <row r="134" spans="1:54" ht="15.75" customHeight="1">
      <c r="A134" s="600" t="str">
        <f t="shared" si="54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0.64922694348028709</v>
      </c>
      <c r="L134" s="41">
        <f>SUM(L122:L133)</f>
        <v>26055.360000000001</v>
      </c>
      <c r="M134" s="43"/>
      <c r="N134" s="46">
        <f t="shared" si="88"/>
        <v>-1763.510530268446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si="89"/>
        <v>-6139.66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</row>
    <row r="135" spans="1:54" ht="15.75" customHeight="1">
      <c r="A135" s="600" t="str">
        <f t="shared" si="54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+SUMPRODUCT(('Budget original'!$A$8:$A$496=$A135)*('Budget original'!$C$3:$AO$3=F$2),'Budget original'!$C$8:$AO$496)</f>
        <v>0</v>
      </c>
      <c r="G135" s="319"/>
      <c r="H135" s="195"/>
      <c r="I135" s="196">
        <f>+SUMPRODUCT(('Budget révisé'!$A$8:$A$496=$A135)*('Budget révisé'!$C$3:$AO$3=I$2),'Budget révisé'!$C$8:$AO$496)</f>
        <v>0</v>
      </c>
      <c r="J135" s="320"/>
      <c r="K135" s="195"/>
      <c r="L135" s="298">
        <f>SUMIFS(BV_Data_An_Cour!$P:$P,BV_Data_An_Cour!$U:$U,$B135,BV_Data_An_Cour!$V:$V,$C135,BV_Data_An_Cour!$W:$W,$L$2)</f>
        <v>0</v>
      </c>
      <c r="M135" s="320"/>
      <c r="N135" s="321">
        <f t="shared" si="88"/>
        <v>0</v>
      </c>
      <c r="O135" s="320"/>
      <c r="P135" s="195"/>
      <c r="Q135" s="298">
        <f>SUMIFS(BV_Data_An_Prec!$P:$P,BV_Data_An_Prec!$U:$U,$B135,BV_Data_An_Prec!$V:$V,$C135,BV_Data_An_Prec!$W:$W,$L$2)</f>
        <v>0</v>
      </c>
      <c r="R135" s="320"/>
      <c r="S135" s="216">
        <f t="shared" si="89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</row>
    <row r="136" spans="1:54" ht="15.75" customHeight="1">
      <c r="A136" s="600" t="str">
        <f t="shared" si="54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+SUMPRODUCT(('Budget original'!$A$8:$A$496=$A136)*('Budget original'!$C$3:$AO$3=F$2),'Budget original'!$C$8:$AO$496)</f>
        <v>0</v>
      </c>
      <c r="G136" s="319"/>
      <c r="H136" s="195"/>
      <c r="I136" s="196">
        <f>+SUMPRODUCT(('Budget révisé'!$A$8:$A$496=$A136)*('Budget révisé'!$C$3:$AO$3=I$2),'Budget révisé'!$C$8:$AO$496)</f>
        <v>0</v>
      </c>
      <c r="J136" s="320"/>
      <c r="K136" s="195"/>
      <c r="L136" s="197">
        <f>SUMIFS(BV_Data_An_Cour!$P:$P,BV_Data_An_Cour!$U:$U,$B136,BV_Data_An_Cour!$V:$V,$C136,BV_Data_An_Cour!$W:$W,$L$2)</f>
        <v>0</v>
      </c>
      <c r="M136" s="320"/>
      <c r="N136" s="321">
        <f t="shared" si="88"/>
        <v>0</v>
      </c>
      <c r="O136" s="320"/>
      <c r="P136" s="195"/>
      <c r="Q136" s="197">
        <f>SUMIFS(BV_Data_An_Prec!$P:$P,BV_Data_An_Prec!$U:$U,$B136,BV_Data_An_Prec!$V:$V,$C136,BV_Data_An_Prec!$W:$W,$L$2)</f>
        <v>0</v>
      </c>
      <c r="R136" s="320"/>
      <c r="S136" s="216">
        <f t="shared" si="89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</row>
    <row r="137" spans="1:54" ht="15.75" customHeight="1">
      <c r="A137" s="600" t="str">
        <f t="shared" si="54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+SUMPRODUCT(('Budget original'!$A$8:$A$496=$A137)*('Budget original'!$C$3:$AO$3=F$2),'Budget original'!$C$8:$AO$496)</f>
        <v>215.04</v>
      </c>
      <c r="G137" s="326"/>
      <c r="H137" s="325"/>
      <c r="I137" s="194">
        <f>+SUMPRODUCT(('Budget révisé'!$A$8:$A$496=$A137)*('Budget révisé'!$C$3:$AO$3=I$2),'Budget révisé'!$C$8:$AO$496)</f>
        <v>215.04</v>
      </c>
      <c r="J137" s="327"/>
      <c r="K137" s="325"/>
      <c r="L137" s="194">
        <f>SUMIFS(BV_Data_An_Cour!$P:$P,BV_Data_An_Cour!$U:$U,$B137,BV_Data_An_Cour!$V:$V,$C137,BV_Data_An_Cour!$W:$W,$L$2)</f>
        <v>-409.62</v>
      </c>
      <c r="M137" s="327"/>
      <c r="N137" s="328">
        <f t="shared" si="88"/>
        <v>-624.66</v>
      </c>
      <c r="O137" s="327"/>
      <c r="P137" s="325"/>
      <c r="Q137" s="194">
        <f>SUMIFS(BV_Data_An_Prec!$P:$P,BV_Data_An_Prec!$U:$U,$B137,BV_Data_An_Prec!$V:$V,$C137,BV_Data_An_Prec!$W:$W,$L$2)</f>
        <v>3029.69</v>
      </c>
      <c r="R137" s="327"/>
      <c r="S137" s="219">
        <f t="shared" si="89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</row>
    <row r="138" spans="1:54" ht="15.75" customHeight="1">
      <c r="A138" s="600" t="str">
        <f t="shared" si="54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+SUMPRODUCT(('Budget original'!$A$8:$A$496=$A138)*('Budget original'!$C$3:$AO$3=F$2),'Budget original'!$C$8:$AO$496)</f>
        <v>2662.7736</v>
      </c>
      <c r="G138" s="319"/>
      <c r="H138" s="195"/>
      <c r="I138" s="196">
        <f>+SUMPRODUCT(('Budget révisé'!$A$8:$A$496=$A138)*('Budget révisé'!$C$3:$AO$3=I$2),'Budget révisé'!$C$8:$AO$496)</f>
        <v>2662.7736</v>
      </c>
      <c r="J138" s="320"/>
      <c r="K138" s="195"/>
      <c r="L138" s="197">
        <f>SUMIFS(BV_Data_An_Cour!$P:$P,BV_Data_An_Cour!$U:$U,$B138,BV_Data_An_Cour!$V:$V,$C138,BV_Data_An_Cour!$W:$W,$L$2)</f>
        <v>2438.41</v>
      </c>
      <c r="M138" s="320"/>
      <c r="N138" s="321">
        <f t="shared" si="88"/>
        <v>-224.36360000000013</v>
      </c>
      <c r="O138" s="320"/>
      <c r="P138" s="195"/>
      <c r="Q138" s="197">
        <f>SUMIFS(BV_Data_An_Prec!$P:$P,BV_Data_An_Prec!$U:$U,$B138,BV_Data_An_Prec!$V:$V,$C138,BV_Data_An_Prec!$W:$W,$L$2)</f>
        <v>2495.1999999999998</v>
      </c>
      <c r="R138" s="320"/>
      <c r="S138" s="216">
        <f t="shared" si="89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</row>
    <row r="139" spans="1:54" ht="15.75" customHeight="1">
      <c r="A139" s="600" t="str">
        <f t="shared" si="54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+SUMPRODUCT(('Budget original'!$A$8:$A$496=$A139)*('Budget original'!$C$3:$AO$3=F$2),'Budget original'!$C$8:$AO$496)</f>
        <v>598.68629999999996</v>
      </c>
      <c r="G139" s="319"/>
      <c r="H139" s="195"/>
      <c r="I139" s="196">
        <f>+SUMPRODUCT(('Budget révisé'!$A$8:$A$496=$A139)*('Budget révisé'!$C$3:$AO$3=I$2),'Budget révisé'!$C$8:$AO$496)</f>
        <v>598.68629999999996</v>
      </c>
      <c r="J139" s="320"/>
      <c r="K139" s="195"/>
      <c r="L139" s="197">
        <f>SUMIFS(BV_Data_An_Cour!$P:$P,BV_Data_An_Cour!$U:$U,$B139,BV_Data_An_Cour!$V:$V,$C139,BV_Data_An_Cour!$W:$W,$L$2)</f>
        <v>23.26</v>
      </c>
      <c r="M139" s="320"/>
      <c r="N139" s="321">
        <f t="shared" si="88"/>
        <v>-575.42629999999997</v>
      </c>
      <c r="O139" s="320"/>
      <c r="P139" s="195"/>
      <c r="Q139" s="197">
        <f>SUMIFS(BV_Data_An_Prec!$P:$P,BV_Data_An_Prec!$U:$U,$B139,BV_Data_An_Prec!$V:$V,$C139,BV_Data_An_Prec!$W:$W,$L$2)</f>
        <v>729.24</v>
      </c>
      <c r="R139" s="320"/>
      <c r="S139" s="216">
        <f t="shared" si="89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</row>
    <row r="140" spans="1:54" ht="15.75" customHeight="1">
      <c r="A140" s="600" t="str">
        <f t="shared" si="54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+SUMPRODUCT(('Budget original'!$A$8:$A$496=$A140)*('Budget original'!$C$3:$AO$3=F$2),'Budget original'!$C$8:$AO$496)</f>
        <v>2766.5604999999996</v>
      </c>
      <c r="G140" s="326"/>
      <c r="H140" s="325"/>
      <c r="I140" s="194">
        <f>+SUMPRODUCT(('Budget révisé'!$A$8:$A$496=$A140)*('Budget révisé'!$C$3:$AO$3=I$2),'Budget révisé'!$C$8:$AO$496)</f>
        <v>2766.5604999999996</v>
      </c>
      <c r="J140" s="327"/>
      <c r="K140" s="325"/>
      <c r="L140" s="194">
        <f>SUMIFS(BV_Data_An_Cour!$P:$P,BV_Data_An_Cour!$U:$U,$B140,BV_Data_An_Cour!$V:$V,$C140,BV_Data_An_Cour!$W:$W,$L$2)</f>
        <v>798.93</v>
      </c>
      <c r="M140" s="327"/>
      <c r="N140" s="328">
        <f t="shared" si="88"/>
        <v>-1967.6304999999998</v>
      </c>
      <c r="O140" s="327"/>
      <c r="P140" s="325"/>
      <c r="Q140" s="194">
        <f>SUMIFS(BV_Data_An_Prec!$P:$P,BV_Data_An_Prec!$U:$U,$B140,BV_Data_An_Prec!$V:$V,$C140,BV_Data_An_Prec!$W:$W,$L$2)</f>
        <v>1694.28</v>
      </c>
      <c r="R140" s="327"/>
      <c r="S140" s="219">
        <f t="shared" si="89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</row>
    <row r="141" spans="1:54" ht="15.75" customHeight="1">
      <c r="A141" s="600" t="str">
        <f t="shared" si="54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+SUMPRODUCT(('Budget original'!$A$8:$A$496=$A141)*('Budget original'!$C$3:$AO$3=F$2),'Budget original'!$C$8:$AO$496)</f>
        <v>81.351246619967213</v>
      </c>
      <c r="G141" s="319"/>
      <c r="H141" s="195"/>
      <c r="I141" s="196">
        <f>+SUMPRODUCT(('Budget révisé'!$A$8:$A$496=$A141)*('Budget révisé'!$C$3:$AO$3=I$2),'Budget révisé'!$C$8:$AO$496)</f>
        <v>81.351246619967213</v>
      </c>
      <c r="J141" s="320"/>
      <c r="K141" s="195"/>
      <c r="L141" s="197">
        <f>SUMIFS(BV_Data_An_Cour!$P:$P,BV_Data_An_Cour!$U:$U,$B141,BV_Data_An_Cour!$V:$V,$C141,BV_Data_An_Cour!$W:$W,$L$2)</f>
        <v>0</v>
      </c>
      <c r="M141" s="320"/>
      <c r="N141" s="321">
        <f t="shared" si="88"/>
        <v>-81.351246619967213</v>
      </c>
      <c r="O141" s="320"/>
      <c r="P141" s="195"/>
      <c r="Q141" s="197">
        <f>SUMIFS(BV_Data_An_Prec!$P:$P,BV_Data_An_Prec!$U:$U,$B141,BV_Data_An_Prec!$V:$V,$C141,BV_Data_An_Prec!$W:$W,$L$2)</f>
        <v>87</v>
      </c>
      <c r="R141" s="320"/>
      <c r="S141" s="216">
        <f t="shared" si="89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</row>
    <row r="142" spans="1:54" ht="15.75" customHeight="1">
      <c r="A142" s="600" t="str">
        <f t="shared" si="54"/>
        <v>Véhicules usagésUniformes</v>
      </c>
      <c r="B142" s="24" t="s">
        <v>144</v>
      </c>
      <c r="C142" s="281" t="s">
        <v>128</v>
      </c>
      <c r="D142" s="318"/>
      <c r="E142" s="195"/>
      <c r="F142" s="196">
        <f>+SUMPRODUCT(('Budget original'!$A$8:$A$496=$A142)*('Budget original'!$C$3:$AO$3=F$2),'Budget original'!$C$8:$AO$496)</f>
        <v>10</v>
      </c>
      <c r="G142" s="319"/>
      <c r="H142" s="195"/>
      <c r="I142" s="196">
        <f>+SUMPRODUCT(('Budget révisé'!$A$8:$A$496=$A142)*('Budget révisé'!$C$3:$AO$3=I$2),'Budget révisé'!$C$8:$AO$496)</f>
        <v>10</v>
      </c>
      <c r="J142" s="320"/>
      <c r="K142" s="195"/>
      <c r="L142" s="197">
        <f>SUMIFS(BV_Data_An_Cour!$P:$P,BV_Data_An_Cour!$U:$U,$B142,BV_Data_An_Cour!$V:$V,$C142,BV_Data_An_Cour!$W:$W,$L$2)</f>
        <v>0</v>
      </c>
      <c r="M142" s="320"/>
      <c r="N142" s="321">
        <f t="shared" si="88"/>
        <v>-10</v>
      </c>
      <c r="O142" s="320"/>
      <c r="P142" s="195"/>
      <c r="Q142" s="197">
        <f>SUMIFS(BV_Data_An_Prec!$P:$P,BV_Data_An_Prec!$U:$U,$B142,BV_Data_An_Prec!$V:$V,$C142,BV_Data_An_Prec!$W:$W,$L$2)</f>
        <v>10</v>
      </c>
      <c r="R142" s="320"/>
      <c r="S142" s="216">
        <f t="shared" si="89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</row>
    <row r="143" spans="1:54" ht="15.75" customHeight="1">
      <c r="A143" s="600" t="str">
        <f t="shared" si="54"/>
        <v>Véhicules usagésPapeterie</v>
      </c>
      <c r="B143" s="24" t="s">
        <v>144</v>
      </c>
      <c r="C143" s="281" t="s">
        <v>129</v>
      </c>
      <c r="D143" s="318"/>
      <c r="E143" s="195"/>
      <c r="F143" s="196">
        <f>+SUMPRODUCT(('Budget original'!$A$8:$A$496=$A143)*('Budget original'!$C$3:$AO$3=F$2),'Budget original'!$C$8:$AO$496)</f>
        <v>261.59999999999997</v>
      </c>
      <c r="G143" s="319"/>
      <c r="H143" s="195"/>
      <c r="I143" s="196">
        <f>+SUMPRODUCT(('Budget révisé'!$A$8:$A$496=$A143)*('Budget révisé'!$C$3:$AO$3=I$2),'Budget révisé'!$C$8:$AO$496)</f>
        <v>261.59999999999997</v>
      </c>
      <c r="J143" s="320"/>
      <c r="K143" s="195"/>
      <c r="L143" s="572">
        <f>SUMIFS(BV_Data_An_Cour!$P:$P,BV_Data_An_Cour!$U:$U,$B143,BV_Data_An_Cour!$V:$V,$C143,BV_Data_An_Cour!$W:$W,$L$2)</f>
        <v>93.33</v>
      </c>
      <c r="M143" s="320"/>
      <c r="N143" s="321">
        <f t="shared" si="88"/>
        <v>-168.26999999999998</v>
      </c>
      <c r="O143" s="320"/>
      <c r="P143" s="195"/>
      <c r="Q143" s="572">
        <f>SUMIFS(BV_Data_An_Prec!$P:$P,BV_Data_An_Prec!$U:$U,$B143,BV_Data_An_Prec!$V:$V,$C143,BV_Data_An_Prec!$W:$W,$L$2)</f>
        <v>222</v>
      </c>
      <c r="R143" s="320"/>
      <c r="S143" s="216">
        <f t="shared" si="89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</row>
    <row r="144" spans="1:54" ht="15.75" customHeight="1">
      <c r="A144" s="600" t="str">
        <f t="shared" si="54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+SUMPRODUCT(('Budget original'!$A$8:$A$496=$A144)*('Budget original'!$C$3:$AO$3=F$2),'Budget original'!$C$8:$AO$496)</f>
        <v>268.09199999999998</v>
      </c>
      <c r="G144" s="319"/>
      <c r="H144" s="195"/>
      <c r="I144" s="196">
        <f>+SUMPRODUCT(('Budget révisé'!$A$8:$A$496=$A144)*('Budget révisé'!$C$3:$AO$3=I$2),'Budget révisé'!$C$8:$AO$496)</f>
        <v>268.09199999999998</v>
      </c>
      <c r="J144" s="320"/>
      <c r="K144" s="195"/>
      <c r="L144" s="197">
        <f>SUMIFS(BV_Data_An_Cour!$P:$P,BV_Data_An_Cour!$U:$U,$B144,BV_Data_An_Cour!$V:$V,$C144,BV_Data_An_Cour!$W:$W,$L$2)</f>
        <v>123.27</v>
      </c>
      <c r="M144" s="320"/>
      <c r="N144" s="321">
        <f t="shared" si="88"/>
        <v>-144.822</v>
      </c>
      <c r="O144" s="320"/>
      <c r="P144" s="195"/>
      <c r="Q144" s="197">
        <f>SUMIFS(BV_Data_An_Prec!$P:$P,BV_Data_An_Prec!$U:$U,$B144,BV_Data_An_Prec!$V:$V,$C144,BV_Data_An_Prec!$W:$W,$L$2)</f>
        <v>142.84</v>
      </c>
      <c r="R144" s="320"/>
      <c r="S144" s="216">
        <f t="shared" si="89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</row>
    <row r="145" spans="1:54" ht="15.75" customHeight="1">
      <c r="A145" s="600" t="str">
        <f t="shared" si="54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+SUMPRODUCT(('Budget original'!$A$8:$A$496=$A145)*('Budget original'!$C$3:$AO$3=F$2),'Budget original'!$C$8:$AO$496)</f>
        <v>103.8</v>
      </c>
      <c r="G145" s="319"/>
      <c r="H145" s="195"/>
      <c r="I145" s="196">
        <f>+SUMPRODUCT(('Budget révisé'!$A$8:$A$496=$A145)*('Budget révisé'!$C$3:$AO$3=I$2),'Budget révisé'!$C$8:$AO$496)</f>
        <v>103.8</v>
      </c>
      <c r="J145" s="320"/>
      <c r="K145" s="195"/>
      <c r="L145" s="197">
        <f>SUMIFS(BV_Data_An_Cour!$P:$P,BV_Data_An_Cour!$U:$U,$B145,BV_Data_An_Cour!$V:$V,$C145,BV_Data_An_Cour!$W:$W,$L$2)</f>
        <v>38.65</v>
      </c>
      <c r="M145" s="320"/>
      <c r="N145" s="321">
        <f t="shared" si="88"/>
        <v>-65.150000000000006</v>
      </c>
      <c r="O145" s="320"/>
      <c r="P145" s="195"/>
      <c r="Q145" s="197">
        <f>SUMIFS(BV_Data_An_Prec!$P:$P,BV_Data_An_Prec!$U:$U,$B145,BV_Data_An_Prec!$V:$V,$C145,BV_Data_An_Prec!$W:$W,$L$2)</f>
        <v>78.760000000000005</v>
      </c>
      <c r="R145" s="320"/>
      <c r="S145" s="216">
        <f t="shared" si="89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</row>
    <row r="146" spans="1:54" ht="15.75" customHeight="1">
      <c r="A146" s="600" t="str">
        <f t="shared" si="54"/>
        <v>Véhicules usagésDivers</v>
      </c>
      <c r="B146" s="24" t="s">
        <v>144</v>
      </c>
      <c r="C146" s="281" t="s">
        <v>132</v>
      </c>
      <c r="D146" s="318"/>
      <c r="E146" s="195"/>
      <c r="F146" s="196">
        <f>+SUMPRODUCT(('Budget original'!$A$8:$A$496=$A146)*('Budget original'!$C$3:$AO$3=F$2),'Budget original'!$C$8:$AO$496)</f>
        <v>430.91999999999996</v>
      </c>
      <c r="G146" s="319"/>
      <c r="H146" s="195"/>
      <c r="I146" s="196">
        <f>+SUMPRODUCT(('Budget révisé'!$A$8:$A$496=$A146)*('Budget révisé'!$C$3:$AO$3=I$2),'Budget révisé'!$C$8:$AO$496)</f>
        <v>430.91999999999996</v>
      </c>
      <c r="J146" s="320"/>
      <c r="K146" s="195"/>
      <c r="L146" s="197">
        <f>SUMIFS(BV_Data_An_Cour!$P:$P,BV_Data_An_Cour!$U:$U,$B146,BV_Data_An_Cour!$V:$V,$C146,BV_Data_An_Cour!$W:$W,$L$2)</f>
        <v>94.62</v>
      </c>
      <c r="M146" s="320"/>
      <c r="N146" s="321">
        <f t="shared" si="88"/>
        <v>-336.29999999999995</v>
      </c>
      <c r="O146" s="320"/>
      <c r="P146" s="195"/>
      <c r="Q146" s="197">
        <f>SUMIFS(BV_Data_An_Prec!$P:$P,BV_Data_An_Prec!$U:$U,$B146,BV_Data_An_Prec!$V:$V,$C146,BV_Data_An_Prec!$W:$W,$L$2)</f>
        <v>639.48</v>
      </c>
      <c r="R146" s="320"/>
      <c r="S146" s="216">
        <f t="shared" si="89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</row>
    <row r="147" spans="1:54" ht="15.75" customHeight="1">
      <c r="A147" s="600" t="str">
        <f t="shared" si="54"/>
        <v>Véhicules usagésFormation</v>
      </c>
      <c r="B147" s="24" t="s">
        <v>144</v>
      </c>
      <c r="C147" s="281" t="s">
        <v>133</v>
      </c>
      <c r="D147" s="318"/>
      <c r="E147" s="195"/>
      <c r="F147" s="196">
        <f>+SUMPRODUCT(('Budget original'!$A$8:$A$496=$A147)*('Budget original'!$C$3:$AO$3=F$2),'Budget original'!$C$8:$AO$496)</f>
        <v>70.63</v>
      </c>
      <c r="G147" s="319"/>
      <c r="H147" s="195"/>
      <c r="I147" s="196">
        <f>+SUMPRODUCT(('Budget révisé'!$A$8:$A$496=$A147)*('Budget révisé'!$C$3:$AO$3=I$2),'Budget révisé'!$C$8:$AO$496)</f>
        <v>70.63</v>
      </c>
      <c r="J147" s="320"/>
      <c r="K147" s="195"/>
      <c r="L147" s="197">
        <f>SUMIFS(BV_Data_An_Cour!$P:$P,BV_Data_An_Cour!$U:$U,$B147,BV_Data_An_Cour!$V:$V,$C147,BV_Data_An_Cour!$W:$W,$L$2)</f>
        <v>10.62</v>
      </c>
      <c r="M147" s="320"/>
      <c r="N147" s="321">
        <f t="shared" si="88"/>
        <v>-60.01</v>
      </c>
      <c r="O147" s="320"/>
      <c r="P147" s="195"/>
      <c r="Q147" s="197">
        <f>SUMIFS(BV_Data_An_Prec!$P:$P,BV_Data_An_Prec!$U:$U,$B147,BV_Data_An_Prec!$V:$V,$C147,BV_Data_An_Prec!$W:$W,$L$2)</f>
        <v>60</v>
      </c>
      <c r="R147" s="320"/>
      <c r="S147" s="216">
        <f t="shared" si="89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</row>
    <row r="148" spans="1:54" ht="15.75" customHeight="1">
      <c r="A148" s="600" t="str">
        <f t="shared" ref="A148:A151" si="93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+SUMPRODUCT(('Budget original'!$A$8:$A$496=$A148)*('Budget original'!$C$3:$AO$3=F$2),'Budget original'!$C$8:$AO$496)</f>
        <v>782.87768732213056</v>
      </c>
      <c r="G148" s="319"/>
      <c r="H148" s="195"/>
      <c r="I148" s="196">
        <f>+SUMPRODUCT(('Budget révisé'!$A$8:$A$496=$A148)*('Budget révisé'!$C$3:$AO$3=I$2),'Budget révisé'!$C$8:$AO$496)</f>
        <v>782.87768732213056</v>
      </c>
      <c r="J148" s="320"/>
      <c r="K148" s="195"/>
      <c r="L148" s="1038">
        <f>SUMIFS(BV_Data_An_Cour!$O:$O,BV_Data_An_Cour!$U:$U,$B148,BV_Data_An_Cour!$V:$V,$C148,BV_Data_An_Cour!$W:$W,$L$2)</f>
        <v>0</v>
      </c>
      <c r="M148" s="320"/>
      <c r="N148" s="321">
        <f t="shared" ref="N148:N151" si="94">L148-I148</f>
        <v>-782.87768732213056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5">L148-Q148</f>
        <v>0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</row>
    <row r="149" spans="1:54" ht="15.75" customHeight="1">
      <c r="A149" s="600" t="str">
        <f t="shared" si="93"/>
        <v>Véhicules usagés[...]</v>
      </c>
      <c r="B149" s="24" t="s">
        <v>144</v>
      </c>
      <c r="C149" s="281" t="s">
        <v>42</v>
      </c>
      <c r="D149" s="318"/>
      <c r="E149" s="195"/>
      <c r="F149" s="196">
        <f>+SUMPRODUCT(('Budget original'!$A$8:$A$496=$A149)*('Budget original'!$C$3:$AO$3=F$2),'Budget original'!$C$8:$AO$496)</f>
        <v>0</v>
      </c>
      <c r="G149" s="319"/>
      <c r="H149" s="195"/>
      <c r="I149" s="196">
        <f>+SUMPRODUCT(('Budget révisé'!$A$8:$A$496=$A149)*('Budget révisé'!$C$3:$AO$3=I$2),'Budget révisé'!$C$8:$AO$496)</f>
        <v>0</v>
      </c>
      <c r="J149" s="320"/>
      <c r="K149" s="195"/>
      <c r="L149" s="197">
        <f>SUMIFS(BV_Data_An_Cour!$P:$P,BV_Data_An_Cour!$U:$U,$B149,BV_Data_An_Cour!$V:$V,$C149,BV_Data_An_Cour!$W:$W,$L$2)</f>
        <v>0</v>
      </c>
      <c r="M149" s="320"/>
      <c r="N149" s="321">
        <f t="shared" si="94"/>
        <v>0</v>
      </c>
      <c r="O149" s="320"/>
      <c r="P149" s="195"/>
      <c r="Q149" s="197">
        <f>SUMIFS(BV_Data_An_Prec!$P:$P,BV_Data_An_Prec!$U:$U,$B149,BV_Data_An_Prec!$V:$V,$C149,BV_Data_An_Prec!$W:$W,$L$2)</f>
        <v>0</v>
      </c>
      <c r="R149" s="320"/>
      <c r="S149" s="216">
        <f t="shared" si="95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532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</row>
    <row r="150" spans="1:54" ht="15.75" customHeight="1">
      <c r="A150" s="600" t="str">
        <f t="shared" si="93"/>
        <v>Véhicules usagés[...]</v>
      </c>
      <c r="B150" s="24" t="s">
        <v>144</v>
      </c>
      <c r="C150" s="281" t="s">
        <v>42</v>
      </c>
      <c r="D150" s="318"/>
      <c r="E150" s="195"/>
      <c r="F150" s="196">
        <f>+SUMPRODUCT(('Budget original'!$A$8:$A$496=$A150)*('Budget original'!$C$3:$AO$3=F$2),'Budget original'!$C$8:$AO$496)</f>
        <v>0</v>
      </c>
      <c r="G150" s="319"/>
      <c r="H150" s="195"/>
      <c r="I150" s="196">
        <f>+SUMPRODUCT(('Budget révisé'!$A$8:$A$496=$A150)*('Budget révisé'!$C$3:$AO$3=I$2),'Budget révisé'!$C$8:$AO$496)</f>
        <v>0</v>
      </c>
      <c r="J150" s="320"/>
      <c r="K150" s="195"/>
      <c r="L150" s="197">
        <f>SUMIFS(BV_Data_An_Cour!$P:$P,BV_Data_An_Cour!$U:$U,$B150,BV_Data_An_Cour!$V:$V,$C150,BV_Data_An_Cour!$W:$W,$L$2)</f>
        <v>0</v>
      </c>
      <c r="M150" s="320"/>
      <c r="N150" s="321">
        <f t="shared" si="94"/>
        <v>0</v>
      </c>
      <c r="O150" s="320"/>
      <c r="P150" s="195"/>
      <c r="Q150" s="197">
        <f>SUMIFS(BV_Data_An_Prec!$P:$P,BV_Data_An_Prec!$U:$U,$B150,BV_Data_An_Prec!$V:$V,$C150,BV_Data_An_Prec!$W:$W,$L$2)</f>
        <v>0</v>
      </c>
      <c r="R150" s="320"/>
      <c r="S150" s="216">
        <f t="shared" si="95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532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</row>
    <row r="151" spans="1:54" ht="15.75" customHeight="1">
      <c r="A151" s="600" t="str">
        <f t="shared" si="93"/>
        <v>Véhicules usagés[...]</v>
      </c>
      <c r="B151" s="24" t="s">
        <v>144</v>
      </c>
      <c r="C151" s="281" t="s">
        <v>42</v>
      </c>
      <c r="D151" s="318"/>
      <c r="E151" s="195"/>
      <c r="F151" s="196">
        <f>+SUMPRODUCT(('Budget original'!$A$8:$A$496=$A151)*('Budget original'!$C$3:$AO$3=F$2),'Budget original'!$C$8:$AO$496)</f>
        <v>0</v>
      </c>
      <c r="G151" s="319"/>
      <c r="H151" s="195"/>
      <c r="I151" s="196">
        <f>+SUMPRODUCT(('Budget révisé'!$A$8:$A$496=$A151)*('Budget révisé'!$C$3:$AO$3=I$2),'Budget révisé'!$C$8:$AO$496)</f>
        <v>0</v>
      </c>
      <c r="J151" s="320"/>
      <c r="K151" s="195"/>
      <c r="L151" s="197">
        <f>SUMIFS(BV_Data_An_Cour!$P:$P,BV_Data_An_Cour!$U:$U,$B151,BV_Data_An_Cour!$V:$V,$C151,BV_Data_An_Cour!$W:$W,$L$2)</f>
        <v>0</v>
      </c>
      <c r="M151" s="320"/>
      <c r="N151" s="321">
        <f t="shared" si="94"/>
        <v>0</v>
      </c>
      <c r="O151" s="320"/>
      <c r="P151" s="195"/>
      <c r="Q151" s="197">
        <f>SUMIFS(BV_Data_An_Prec!$P:$P,BV_Data_An_Prec!$U:$U,$B151,BV_Data_An_Prec!$V:$V,$C151,BV_Data_An_Prec!$W:$W,$L$2)</f>
        <v>0</v>
      </c>
      <c r="R151" s="320"/>
      <c r="S151" s="216">
        <f t="shared" si="95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532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</row>
    <row r="152" spans="1:54" ht="15.75" customHeight="1">
      <c r="A152" s="600" t="str">
        <f t="shared" si="54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8.0020880624126378E-2</v>
      </c>
      <c r="L152" s="41">
        <f>+SUM(L135:L151)</f>
        <v>3211.47</v>
      </c>
      <c r="M152" s="44"/>
      <c r="N152" s="41">
        <f t="shared" si="88"/>
        <v>-5040.861333942099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si="89"/>
        <v>-5977.02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532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</row>
    <row r="153" spans="1:54" ht="15.75" customHeight="1">
      <c r="A153" s="600" t="str">
        <f t="shared" si="54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532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</row>
    <row r="154" spans="1:54" ht="15.75" customHeight="1">
      <c r="A154" s="600" t="str">
        <f t="shared" si="54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1.3026795970388392</v>
      </c>
      <c r="L154" s="41">
        <f>L121+L134+L152</f>
        <v>52280.310000000005</v>
      </c>
      <c r="M154" s="44"/>
      <c r="N154" s="46">
        <f>L154-I154</f>
        <v>-11209.322030209507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-17826.879999999997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532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</row>
    <row r="155" spans="1:54" ht="15.75" customHeight="1">
      <c r="A155" s="600" t="str">
        <f t="shared" si="54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+SUMPRODUCT(('Budget original'!$A$8:$A$496=$A155)*('Budget original'!$C$3:$AO$3=F$2),'Budget original'!$C$8:$AO$496)</f>
        <v>0</v>
      </c>
      <c r="G155" s="433"/>
      <c r="H155" s="432"/>
      <c r="I155" s="196">
        <f>+SUMPRODUCT(('Budget révisé'!$A$8:$A$496=$A155)*('Budget révisé'!$C$3:$AO$3=I$2),'Budget révisé'!$C$8:$AO$496)</f>
        <v>0</v>
      </c>
      <c r="J155" s="433"/>
      <c r="K155" s="432"/>
      <c r="L155" s="1037">
        <f>-SUMIFS(BV_Data_An_Cour!$P:$P,BV_Data_An_Cour!$U:$U,$B155,BV_Data_An_Cour!$V:$V,$C155,BV_Data_An_Cour!$W:$W,$L$2)</f>
        <v>0</v>
      </c>
      <c r="M155" s="320"/>
      <c r="N155" s="321">
        <f t="shared" ref="N155:N157" si="96">L155-I155</f>
        <v>0</v>
      </c>
      <c r="O155" s="433"/>
      <c r="P155" s="432"/>
      <c r="Q155" s="197">
        <f>-SUMIFS(BV_Data_An_Prec!$P:$P,BV_Data_An_Prec!$U:$U,$B155,BV_Data_An_Prec!$V:$V,$C155,BV_Data_An_Prec!$W:$W,$L$2)</f>
        <v>0</v>
      </c>
      <c r="R155" s="320"/>
      <c r="S155" s="216">
        <f t="shared" ref="S155:S157" si="97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532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</row>
    <row r="156" spans="1:54" ht="15.75" customHeight="1">
      <c r="A156" s="600" t="str">
        <f t="shared" si="54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+SUMPRODUCT(('Budget original'!$A$8:$A$496=$A156)*('Budget original'!$C$3:$AO$3=F$2),'Budget original'!$C$8:$AO$496)</f>
        <v>0</v>
      </c>
      <c r="G156" s="433"/>
      <c r="H156" s="432"/>
      <c r="I156" s="196">
        <f>+SUMPRODUCT(('Budget révisé'!$A$8:$A$496=$A156)*('Budget révisé'!$C$3:$AO$3=I$2),'Budget révisé'!$C$8:$AO$496)</f>
        <v>0</v>
      </c>
      <c r="J156" s="433"/>
      <c r="K156" s="432"/>
      <c r="L156" s="197">
        <f>-SUMIFS(BV_Data_An_Cour!$P:$P,BV_Data_An_Cour!$U:$U,$B156,BV_Data_An_Cour!$V:$V,$C156,BV_Data_An_Cour!$W:$W,$L$2)</f>
        <v>0</v>
      </c>
      <c r="M156" s="320"/>
      <c r="N156" s="321">
        <f t="shared" si="96"/>
        <v>0</v>
      </c>
      <c r="O156" s="433"/>
      <c r="P156" s="432"/>
      <c r="Q156" s="197">
        <f>-SUMIFS(BV_Data_An_Prec!$P:$P,BV_Data_An_Prec!$U:$U,$B156,BV_Data_An_Prec!$V:$V,$C156,BV_Data_An_Prec!$W:$W,$L$2)</f>
        <v>0</v>
      </c>
      <c r="R156" s="320"/>
      <c r="S156" s="216">
        <f t="shared" si="97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532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</row>
    <row r="157" spans="1:54" ht="15.75" customHeight="1">
      <c r="A157" s="600" t="str">
        <f t="shared" si="54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+SUMPRODUCT(('Budget original'!$A$8:$A$496=$A157)*('Budget original'!$C$3:$AO$3=F$2),'Budget original'!$C$8:$AO$496)</f>
        <v>0</v>
      </c>
      <c r="G157" s="319"/>
      <c r="H157" s="195"/>
      <c r="I157" s="196">
        <f>+SUMPRODUCT(('Budget révisé'!$A$8:$A$496=$A157)*('Budget révisé'!$C$3:$AO$3=I$2),'Budget révisé'!$C$8:$AO$496)</f>
        <v>0</v>
      </c>
      <c r="J157" s="320"/>
      <c r="K157" s="195"/>
      <c r="L157" s="197">
        <f>-SUMIFS(BV_Data_An_Cour!$P:$P,BV_Data_An_Cour!$U:$U,$B157,BV_Data_An_Cour!$V:$V,$C157,BV_Data_An_Cour!$W:$W,$L$2)</f>
        <v>0</v>
      </c>
      <c r="M157" s="320"/>
      <c r="N157" s="321">
        <f t="shared" si="96"/>
        <v>0</v>
      </c>
      <c r="O157" s="320"/>
      <c r="P157" s="195"/>
      <c r="Q157" s="197">
        <f>-SUMIFS(BV_Data_An_Prec!$P:$P,BV_Data_An_Prec!$U:$U,$B157,BV_Data_An_Prec!$V:$V,$C157,BV_Data_An_Prec!$W:$W,$L$2)</f>
        <v>0</v>
      </c>
      <c r="R157" s="320"/>
      <c r="S157" s="216">
        <f t="shared" si="97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532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</row>
    <row r="158" spans="1:54" ht="15.75" customHeight="1">
      <c r="A158" s="600" t="str">
        <f t="shared" ref="A158:A161" si="98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+SUMPRODUCT(('Budget original'!$A$8:$A$496=$A158)*('Budget original'!$C$3:$AO$3=F$2),'Budget original'!$C$8:$AO$496)</f>
        <v>6388.1066408329252</v>
      </c>
      <c r="G158" s="319"/>
      <c r="H158" s="195"/>
      <c r="I158" s="196">
        <f>+SUMPRODUCT(('Budget révisé'!$A$8:$A$496=$A158)*('Budget révisé'!$C$3:$AO$3=I$2),'Budget révisé'!$C$8:$AO$496)</f>
        <v>6388.1066408329252</v>
      </c>
      <c r="J158" s="320"/>
      <c r="K158" s="195"/>
      <c r="L158" s="572">
        <f>-SUMIFS(BV_Data_An_Cour!$P:$P,BV_Data_An_Cour!$U:$U,$B158,BV_Data_An_Cour!$V:$V,$C158,BV_Data_An_Cour!$W:$W,$L$2)</f>
        <v>0</v>
      </c>
      <c r="M158" s="320"/>
      <c r="N158" s="321">
        <f t="shared" ref="N158" si="99">L158-I158</f>
        <v>-6388.1066408329252</v>
      </c>
      <c r="O158" s="320"/>
      <c r="P158" s="195"/>
      <c r="Q158" s="197">
        <f>-SUMIFS(BV_Data_An_Prec!$P:$P,BV_Data_An_Prec!$U:$U,$B158,BV_Data_An_Prec!$V:$V,$C158,BV_Data_An_Prec!$W:$W,$L$2)</f>
        <v>0</v>
      </c>
      <c r="R158" s="320"/>
      <c r="S158" s="216">
        <f t="shared" ref="S158" si="100">L158-Q158</f>
        <v>0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532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</row>
    <row r="159" spans="1:54" ht="15.75" customHeight="1">
      <c r="A159" s="600" t="str">
        <f t="shared" si="98"/>
        <v>Véhicules usagés[...]</v>
      </c>
      <c r="B159" s="24" t="s">
        <v>144</v>
      </c>
      <c r="C159" s="281" t="s">
        <v>42</v>
      </c>
      <c r="D159" s="318"/>
      <c r="E159" s="195"/>
      <c r="F159" s="196">
        <f>+SUMPRODUCT(('Budget original'!$A$8:$A$496=$A159)*('Budget original'!$C$3:$AO$3=F$2),'Budget original'!$C$8:$AO$496)</f>
        <v>0</v>
      </c>
      <c r="G159" s="319"/>
      <c r="H159" s="195"/>
      <c r="I159" s="196">
        <f>+SUMPRODUCT(('Budget révisé'!$A$8:$A$496=$A159)*('Budget révisé'!$C$3:$AO$3=I$2),'Budget révisé'!$C$8:$AO$496)</f>
        <v>0</v>
      </c>
      <c r="J159" s="320"/>
      <c r="K159" s="195"/>
      <c r="L159" s="572">
        <f>-SUMIFS(BV_Data_An_Cour!$P:$P,BV_Data_An_Cour!$U:$U,$B159,BV_Data_An_Cour!$V:$V,$C159,BV_Data_An_Cour!$W:$W,$L$2)</f>
        <v>0</v>
      </c>
      <c r="M159" s="320"/>
      <c r="N159" s="321">
        <f t="shared" ref="N159:N161" si="101">L159-I159</f>
        <v>0</v>
      </c>
      <c r="O159" s="320"/>
      <c r="P159" s="195"/>
      <c r="Q159" s="197">
        <f>-SUMIFS(BV_Data_An_Prec!$P:$P,BV_Data_An_Prec!$U:$U,$B159,BV_Data_An_Prec!$V:$V,$C159,BV_Data_An_Prec!$W:$W,$L$2)</f>
        <v>0</v>
      </c>
      <c r="R159" s="320"/>
      <c r="S159" s="216">
        <f t="shared" ref="S159:S161" si="102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532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</row>
    <row r="160" spans="1:54" ht="15.75" customHeight="1">
      <c r="A160" s="600" t="str">
        <f t="shared" si="98"/>
        <v>Véhicules usagés[...]</v>
      </c>
      <c r="B160" s="24" t="s">
        <v>144</v>
      </c>
      <c r="C160" s="281" t="s">
        <v>42</v>
      </c>
      <c r="D160" s="318"/>
      <c r="E160" s="195"/>
      <c r="F160" s="196">
        <f>+SUMPRODUCT(('Budget original'!$A$8:$A$496=$A160)*('Budget original'!$C$3:$AO$3=F$2),'Budget original'!$C$8:$AO$496)</f>
        <v>0</v>
      </c>
      <c r="G160" s="319"/>
      <c r="H160" s="195"/>
      <c r="I160" s="196">
        <f>+SUMPRODUCT(('Budget révisé'!$A$8:$A$496=$A160)*('Budget révisé'!$C$3:$AO$3=I$2),'Budget révisé'!$C$8:$AO$496)</f>
        <v>0</v>
      </c>
      <c r="J160" s="320"/>
      <c r="K160" s="195"/>
      <c r="L160" s="572">
        <f>-SUMIFS(BV_Data_An_Cour!$P:$P,BV_Data_An_Cour!$U:$U,$B160,BV_Data_An_Cour!$V:$V,$C160,BV_Data_An_Cour!$W:$W,$L$2)</f>
        <v>0</v>
      </c>
      <c r="M160" s="320"/>
      <c r="N160" s="321">
        <f t="shared" si="101"/>
        <v>0</v>
      </c>
      <c r="O160" s="320"/>
      <c r="P160" s="195"/>
      <c r="Q160" s="197">
        <f>-SUMIFS(BV_Data_An_Prec!$P:$P,BV_Data_An_Prec!$U:$U,$B160,BV_Data_An_Prec!$V:$V,$C160,BV_Data_An_Prec!$W:$W,$L$2)</f>
        <v>0</v>
      </c>
      <c r="R160" s="320"/>
      <c r="S160" s="216">
        <f t="shared" si="102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532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</row>
    <row r="161" spans="1:54" ht="15.75" customHeight="1">
      <c r="A161" s="600" t="str">
        <f t="shared" si="98"/>
        <v>Véhicules usagés[...]</v>
      </c>
      <c r="B161" s="24" t="s">
        <v>144</v>
      </c>
      <c r="C161" s="343" t="s">
        <v>42</v>
      </c>
      <c r="D161" s="324"/>
      <c r="E161" s="325"/>
      <c r="F161" s="196">
        <f>+SUMPRODUCT(('Budget original'!$A$8:$A$496=$A161)*('Budget original'!$C$3:$AO$3=F$2),'Budget original'!$C$8:$AO$496)</f>
        <v>0</v>
      </c>
      <c r="G161" s="319"/>
      <c r="H161" s="195"/>
      <c r="I161" s="196">
        <f>+SUMPRODUCT(('Budget révisé'!$A$8:$A$496=$A161)*('Budget révisé'!$C$3:$AO$3=I$2),'Budget révisé'!$C$8:$AO$496)</f>
        <v>0</v>
      </c>
      <c r="J161" s="320"/>
      <c r="K161" s="195"/>
      <c r="L161" s="572">
        <f>-SUMIFS(BV_Data_An_Cour!$P:$P,BV_Data_An_Cour!$U:$U,$B161,BV_Data_An_Cour!$V:$V,$C161,BV_Data_An_Cour!$W:$W,$L$2)</f>
        <v>0</v>
      </c>
      <c r="M161" s="320"/>
      <c r="N161" s="321">
        <f t="shared" si="101"/>
        <v>0</v>
      </c>
      <c r="O161" s="320"/>
      <c r="P161" s="195"/>
      <c r="Q161" s="197">
        <f>-SUMIFS(BV_Data_An_Prec!$P:$P,BV_Data_An_Prec!$U:$U,$B161,BV_Data_An_Prec!$V:$V,$C161,BV_Data_An_Prec!$W:$W,$L$2)</f>
        <v>0</v>
      </c>
      <c r="R161" s="320"/>
      <c r="S161" s="216">
        <f t="shared" si="102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532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</row>
    <row r="162" spans="1:54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0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532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</row>
    <row r="163" spans="1:54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532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</row>
    <row r="164" spans="1:54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-12147.410000000025</v>
      </c>
      <c r="M164" s="362"/>
      <c r="N164" s="360">
        <f>L164-I164</f>
        <v>-7254.7518578395657</v>
      </c>
      <c r="O164" s="362"/>
      <c r="P164" s="363"/>
      <c r="Q164" s="360">
        <f>Q107-Q154+Q162</f>
        <v>-50387.799999999988</v>
      </c>
      <c r="R164" s="362"/>
      <c r="S164" s="364">
        <f>L164-Q164</f>
        <v>38240.389999999963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532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532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2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2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2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</row>
    <row r="169" spans="1:54" ht="15.75" customHeight="1" thickTop="1">
      <c r="B169" s="24"/>
      <c r="C169" s="280"/>
      <c r="D169" s="1105" t="s">
        <v>77</v>
      </c>
      <c r="E169" s="1106"/>
      <c r="F169" s="1107"/>
      <c r="G169" s="1108" t="s">
        <v>145</v>
      </c>
      <c r="H169" s="1106"/>
      <c r="I169" s="1107"/>
      <c r="J169" s="1108" t="s">
        <v>79</v>
      </c>
      <c r="K169" s="1106"/>
      <c r="L169" s="1107"/>
      <c r="M169" s="1108" t="s">
        <v>80</v>
      </c>
      <c r="N169" s="1107"/>
      <c r="O169" s="1105" t="s">
        <v>81</v>
      </c>
      <c r="P169" s="1106"/>
      <c r="Q169" s="1107"/>
      <c r="R169" s="1108" t="s">
        <v>82</v>
      </c>
      <c r="S169" s="1109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2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</row>
    <row r="170" spans="1:54" ht="15.75" customHeight="1">
      <c r="A170" s="600" t="str">
        <f t="shared" ref="A170:A227" si="103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532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</row>
    <row r="171" spans="1:54" ht="15.75" customHeight="1">
      <c r="A171" s="600" t="str">
        <f t="shared" si="103"/>
        <v>ServiceM/O Client</v>
      </c>
      <c r="B171" s="24" t="s">
        <v>155</v>
      </c>
      <c r="C171" s="281" t="s">
        <v>159</v>
      </c>
      <c r="D171" s="195">
        <f>+SUMPRODUCT(('Budget original'!$A$8:$A$496=$A171)*('Budget original'!$C$3:$AO$3=D$2),'Budget original'!$C$8:$AO$496)</f>
        <v>309.1242508979725</v>
      </c>
      <c r="E171" s="214">
        <f>+SUMPRODUCT(('Budget original'!$A$8:$A$496=$A171)*('Budget original'!$C$3:$AO$3=E$2),'Budget original'!$C$8:$AO$496)</f>
        <v>75870.988065822879</v>
      </c>
      <c r="F171" s="214">
        <f>+SUMPRODUCT(('Budget original'!$A$8:$A$496=$A171)*('Budget original'!$C$3:$AO$3=F$2),'Budget original'!$C$8:$AO$496)</f>
        <v>56941.626710577031</v>
      </c>
      <c r="G171" s="365">
        <f>+SUMPRODUCT(('Budget révisé'!$A$8:$A$496=$A171)*('Budget révisé'!$C$3:$AO$3=G$2),'Budget révisé'!$C$8:$AO$496)</f>
        <v>309.1242508979725</v>
      </c>
      <c r="H171" s="214">
        <f>+SUMPRODUCT(('Budget révisé'!$A$8:$A$496=$A171)*('Budget révisé'!$C$3:$AO$3=H$2),'Budget révisé'!$C$8:$AO$496)</f>
        <v>75870.988065822879</v>
      </c>
      <c r="I171" s="214">
        <f>+SUMPRODUCT(('Budget révisé'!$A$8:$A$496=$A171)*('Budget révisé'!$C$3:$AO$3=I$2),'Budget révisé'!$C$8:$AO$496)</f>
        <v>56941.626710577031</v>
      </c>
      <c r="J171" s="342">
        <f>-SUMIFS(BV_Data_An_Cour!$P:$P,BV_Data_An_Cour!$U:$U,$B171,BV_Data_An_Cour!$V:$V,$C171,BV_Data_An_Cour!$W:$W,J$2)</f>
        <v>214</v>
      </c>
      <c r="K171" s="196">
        <f>-SUMIFS(BV_Data_An_Cour!$P:$P,BV_Data_An_Cour!$X:$X,"Oui",BV_Data_An_Cour!$U:$U,$B171,BV_Data_An_Cour!$V:$V,$C171)</f>
        <v>51348.31</v>
      </c>
      <c r="L171" s="197">
        <f>-SUMIFS(BV_Data_An_Cour!$P:$P,BV_Data_An_Cour!$U:$U,$B171,BV_Data_An_Cour!$V:$V,$C171,BV_Data_An_Cour!$W:$W,$L$2)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-SUMIFS(BV_Data_An_Prec!$P:$P,BV_Data_An_Prec!$U:$U,$B171,BV_Data_An_Prec!$V:$V,$C171,BV_Data_An_Prec!$W:$W,O$2)</f>
        <v>300</v>
      </c>
      <c r="P171" s="196">
        <f>-SUMIFS(BV_Data_An_Prec!$P:$P,BV_Data_An_Prec!$X:$X,"Oui",BV_Data_An_Prec!$U:$U,$B171,BV_Data_An_Prec!$V:$V,$C171)</f>
        <v>69640.87</v>
      </c>
      <c r="Q171" s="197">
        <f>-SUMIFS(BV_Data_An_Prec!$P:$P,BV_Data_An_Prec!$U:$U,$B171,BV_Data_An_Prec!$V:$V,$C171,BV_Data_An_Prec!$W:$W,$L$2)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532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</row>
    <row r="172" spans="1:54" ht="15.75" customHeight="1">
      <c r="A172" s="600" t="str">
        <f t="shared" si="103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</row>
    <row r="173" spans="1:54" ht="15.75" customHeight="1">
      <c r="A173" s="600" t="str">
        <f t="shared" si="103"/>
        <v>Service</v>
      </c>
      <c r="B173" s="24" t="s">
        <v>155</v>
      </c>
      <c r="C173" s="343"/>
      <c r="D173" s="325"/>
      <c r="E173" s="375">
        <f t="shared" ref="E173" si="104">IFERROR(E171/D171,0)</f>
        <v>245.43848580441642</v>
      </c>
      <c r="F173" s="376"/>
      <c r="G173" s="327"/>
      <c r="H173" s="375">
        <f t="shared" ref="H173" si="105">IFERROR(H171/G171,0)</f>
        <v>245.43848580441642</v>
      </c>
      <c r="I173" s="376"/>
      <c r="J173" s="356"/>
      <c r="K173" s="606">
        <f t="shared" ref="K173" si="106">IFERROR(K171/J171,0)</f>
        <v>239.9453738317757</v>
      </c>
      <c r="L173" s="376"/>
      <c r="M173" s="378"/>
      <c r="N173" s="328"/>
      <c r="O173" s="356"/>
      <c r="P173" s="606">
        <f t="shared" ref="P173" si="107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532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</row>
    <row r="174" spans="1:54" ht="18" customHeight="1">
      <c r="A174" s="600" t="str">
        <f t="shared" si="103"/>
        <v>ServiceM/O Garantie</v>
      </c>
      <c r="B174" s="24" t="s">
        <v>155</v>
      </c>
      <c r="C174" s="368" t="s">
        <v>161</v>
      </c>
      <c r="D174" s="374">
        <f>+SUMPRODUCT(('Budget original'!$A$8:$A$496=$A174)*('Budget original'!$C$3:$AO$3=D$2),'Budget original'!$C$8:$AO$496)</f>
        <v>260.73056767022592</v>
      </c>
      <c r="E174" s="214">
        <f>+SUMPRODUCT(('Budget original'!$A$8:$A$496=$A174)*('Budget original'!$C$3:$AO$3=E$2),'Budget original'!$C$8:$AO$496)</f>
        <v>46079.956800909669</v>
      </c>
      <c r="F174" s="214">
        <f>+SUMPRODUCT(('Budget original'!$A$8:$A$496=$A174)*('Budget original'!$C$3:$AO$3=F$2),'Budget original'!$C$8:$AO$496)</f>
        <v>32171.38226530352</v>
      </c>
      <c r="G174" s="371">
        <f>+SUMPRODUCT(('Budget révisé'!$A$8:$A$496=$A174)*('Budget révisé'!$C$3:$AO$3=G$2),'Budget révisé'!$C$8:$AO$496)</f>
        <v>260.73056767022592</v>
      </c>
      <c r="H174" s="214">
        <f>+SUMPRODUCT(('Budget révisé'!$A$8:$A$496=$A174)*('Budget révisé'!$C$3:$AO$3=H$2),'Budget révisé'!$C$8:$AO$496)</f>
        <v>46079.956800909669</v>
      </c>
      <c r="I174" s="214">
        <f>+SUMPRODUCT(('Budget révisé'!$A$8:$A$496=$A174)*('Budget révisé'!$C$3:$AO$3=I$2),'Budget révisé'!$C$8:$AO$496)</f>
        <v>32171.38226530352</v>
      </c>
      <c r="J174" s="371">
        <f>-SUMIFS(BV_Data_An_Cour!$P:$P,BV_Data_An_Cour!$U:$U,$B174,BV_Data_An_Cour!$V:$V,$C174,BV_Data_An_Cour!$W:$W,J$2)</f>
        <v>294</v>
      </c>
      <c r="K174" s="203">
        <f>-SUMIFS(BV_Data_An_Cour!$P:$P,BV_Data_An_Cour!$X:$X,"Oui",BV_Data_An_Cour!$U:$U,$B174,BV_Data_An_Cour!$V:$V,$C174)</f>
        <v>68701.34</v>
      </c>
      <c r="L174" s="197">
        <f>-SUMIFS(BV_Data_An_Cour!$P:$P,BV_Data_An_Cour!$U:$U,$B174,BV_Data_An_Cour!$V:$V,$C174,BV_Data_An_Cour!$W:$W,$L$2)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-SUMIFS(BV_Data_An_Prec!$P:$P,BV_Data_An_Prec!$U:$U,$B174,BV_Data_An_Prec!$V:$V,$C174,BV_Data_An_Prec!$W:$W,O$2)</f>
        <v>294</v>
      </c>
      <c r="P174" s="203">
        <f>-SUMIFS(BV_Data_An_Prec!$P:$P,BV_Data_An_Prec!$X:$X,"Oui",BV_Data_An_Prec!$U:$U,$B174,BV_Data_An_Prec!$V:$V,$C174)</f>
        <v>54710.36</v>
      </c>
      <c r="Q174" s="197">
        <f>-SUMIFS(BV_Data_An_Prec!$P:$P,BV_Data_An_Prec!$U:$U,$B174,BV_Data_An_Prec!$V:$V,$C174,BV_Data_An_Prec!$W:$W,$L$2)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532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</row>
    <row r="175" spans="1:54" ht="15.75" customHeight="1">
      <c r="A175" s="600" t="str">
        <f t="shared" si="103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532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</row>
    <row r="176" spans="1:54" ht="15.75" customHeight="1">
      <c r="A176" s="600" t="str">
        <f t="shared" si="103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532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</row>
    <row r="177" spans="1:54" ht="15.75" customHeight="1">
      <c r="A177" s="600" t="str">
        <f t="shared" si="103"/>
        <v>ServiceM/O Interne</v>
      </c>
      <c r="B177" s="24" t="s">
        <v>155</v>
      </c>
      <c r="C177" s="281" t="s">
        <v>162</v>
      </c>
      <c r="D177" s="195">
        <f>+SUMPRODUCT(('Budget original'!$A$8:$A$496=$A177)*('Budget original'!$C$3:$AO$3=D$2),'Budget original'!$C$8:$AO$496)</f>
        <v>200.69466402901355</v>
      </c>
      <c r="E177" s="214">
        <f>+SUMPRODUCT(('Budget original'!$A$8:$A$496=$A177)*('Budget original'!$C$3:$AO$3=E$2),'Budget original'!$C$8:$AO$496)</f>
        <v>47328.252104281775</v>
      </c>
      <c r="F177" s="214">
        <f>+SUMPRODUCT(('Budget original'!$A$8:$A$496=$A177)*('Budget original'!$C$3:$AO$3=F$2),'Budget original'!$C$8:$AO$496)</f>
        <v>34702.332573736632</v>
      </c>
      <c r="G177" s="320">
        <f>+SUMPRODUCT(('Budget révisé'!$A$8:$A$496=$A177)*('Budget révisé'!$C$3:$AO$3=G$2),'Budget révisé'!$C$8:$AO$496)</f>
        <v>200.69466402901355</v>
      </c>
      <c r="H177" s="214">
        <f>+SUMPRODUCT(('Budget révisé'!$A$8:$A$496=$A177)*('Budget révisé'!$C$3:$AO$3=H$2),'Budget révisé'!$C$8:$AO$496)</f>
        <v>47328.252104281775</v>
      </c>
      <c r="I177" s="214">
        <f>+SUMPRODUCT(('Budget révisé'!$A$8:$A$496=$A177)*('Budget révisé'!$C$3:$AO$3=I$2),'Budget révisé'!$C$8:$AO$496)</f>
        <v>34702.332573736632</v>
      </c>
      <c r="J177" s="342">
        <f>-SUMIFS(BV_Data_An_Cour!$P:$P,BV_Data_An_Cour!$U:$U,$B177,BV_Data_An_Cour!$V:$V,$C177,BV_Data_An_Cour!$W:$W,J$2)</f>
        <v>166</v>
      </c>
      <c r="K177" s="203">
        <f>-SUMIFS(BV_Data_An_Cour!$P:$P,BV_Data_An_Cour!$X:$X,"Oui",BV_Data_An_Cour!$U:$U,$B177,BV_Data_An_Cour!$V:$V,$C177)</f>
        <v>31066.5</v>
      </c>
      <c r="L177" s="197">
        <f>-SUMIFS(BV_Data_An_Cour!$P:$P,BV_Data_An_Cour!$U:$U,$B177,BV_Data_An_Cour!$V:$V,$C177,BV_Data_An_Cour!$W:$W,$L$2)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08">L177-I177</f>
        <v>-12246.492573736636</v>
      </c>
      <c r="O177" s="342">
        <f>-SUMIFS(BV_Data_An_Prec!$P:$P,BV_Data_An_Prec!$U:$U,$B177,BV_Data_An_Prec!$V:$V,$C177,BV_Data_An_Prec!$W:$W,O$2)</f>
        <v>226</v>
      </c>
      <c r="P177" s="203">
        <f>-SUMIFS(BV_Data_An_Prec!$P:$P,BV_Data_An_Prec!$X:$X,"Oui",BV_Data_An_Prec!$U:$U,$B177,BV_Data_An_Prec!$V:$V,$C177)</f>
        <v>38396.53</v>
      </c>
      <c r="Q177" s="197">
        <f>-SUMIFS(BV_Data_An_Prec!$P:$P,BV_Data_An_Prec!$U:$U,$B177,BV_Data_An_Prec!$V:$V,$C177,BV_Data_An_Prec!$W:$W,$L$2)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532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</row>
    <row r="178" spans="1:54" ht="15.75" customHeight="1">
      <c r="A178" s="600" t="str">
        <f t="shared" si="103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08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</row>
    <row r="179" spans="1:54" ht="15.75" customHeight="1">
      <c r="A179" s="600" t="str">
        <f t="shared" si="103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532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</row>
    <row r="180" spans="1:54" ht="15.75" customHeight="1">
      <c r="A180" s="600" t="str">
        <f t="shared" si="103"/>
        <v>ServiceM/O Esthétique</v>
      </c>
      <c r="B180" s="24" t="s">
        <v>155</v>
      </c>
      <c r="C180" s="368" t="s">
        <v>163</v>
      </c>
      <c r="D180" s="369">
        <f>+SUMPRODUCT(('Budget original'!$A$8:$A$496=$A180)*('Budget original'!$C$3:$AO$3=D$2),'Budget original'!$C$8:$AO$496)</f>
        <v>0</v>
      </c>
      <c r="E180" s="214">
        <f>+SUMPRODUCT(('Budget original'!$A$8:$A$496=$A180)*('Budget original'!$C$3:$AO$3=E$2),'Budget original'!$C$8:$AO$496)</f>
        <v>270.33034111310593</v>
      </c>
      <c r="F180" s="214">
        <f>+SUMPRODUCT(('Budget original'!$A$8:$A$496=$A180)*('Budget original'!$C$3:$AO$3=F$2),'Budget original'!$C$8:$AO$496)</f>
        <v>200.04445242369837</v>
      </c>
      <c r="G180" s="385">
        <f>+SUMPRODUCT(('Budget révisé'!$A$8:$A$496=$A180)*('Budget révisé'!$C$3:$AO$3=G$2),'Budget révisé'!$C$8:$AO$496)</f>
        <v>0</v>
      </c>
      <c r="H180" s="214">
        <f>+SUMPRODUCT(('Budget révisé'!$A$8:$A$496=$A180)*('Budget révisé'!$C$3:$AO$3=H$2),'Budget révisé'!$C$8:$AO$496)</f>
        <v>270.33034111310593</v>
      </c>
      <c r="I180" s="214">
        <f>+SUMPRODUCT(('Budget révisé'!$A$8:$A$496=$A180)*('Budget révisé'!$C$3:$AO$3=I$2),'Budget révisé'!$C$8:$AO$496)</f>
        <v>200.04445242369837</v>
      </c>
      <c r="J180" s="371">
        <f>-SUMIFS(BV_Data_An_Cour!$P:$P,BV_Data_An_Cour!$U:$U,$B180,BV_Data_An_Cour!$V:$V,$C180,BV_Data_An_Cour!$W:$W,J$2)</f>
        <v>0</v>
      </c>
      <c r="K180" s="203">
        <f>-SUMIFS(BV_Data_An_Cour!$P:$P,BV_Data_An_Cour!$X:$X,"Oui",BV_Data_An_Cour!$U:$U,$B180,BV_Data_An_Cour!$V:$V,$C180)</f>
        <v>0</v>
      </c>
      <c r="L180" s="198">
        <f>-SUMIFS(BV_Data_An_Cour!$P:$P,BV_Data_An_Cour!$U:$U,$B180,BV_Data_An_Cour!$V:$V,$C180,BV_Data_An_Cour!$W:$W,$L$2)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-SUMIFS(BV_Data_An_Prec!$P:$P,BV_Data_An_Prec!$U:$U,$B180,BV_Data_An_Prec!$V:$V,$C180,BV_Data_An_Prec!$W:$W,O$2)</f>
        <v>0</v>
      </c>
      <c r="P180" s="203">
        <f>-SUMIFS(BV_Data_An_Prec!$P:$P,BV_Data_An_Prec!$X:$X,"Oui",BV_Data_An_Prec!$U:$U,$B180,BV_Data_An_Prec!$V:$V,$C180)</f>
        <v>0</v>
      </c>
      <c r="Q180" s="198">
        <f>-SUMIFS(BV_Data_An_Prec!$P:$P,BV_Data_An_Prec!$U:$U,$B180,BV_Data_An_Prec!$V:$V,$C180,BV_Data_An_Prec!$W:$W,$L$2)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</row>
    <row r="181" spans="1:54" ht="15.75" customHeight="1">
      <c r="A181" s="600" t="str">
        <f t="shared" si="103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532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</row>
    <row r="182" spans="1:54" ht="15.75" customHeight="1">
      <c r="A182" s="600" t="str">
        <f t="shared" si="103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</row>
    <row r="183" spans="1:54" ht="26.25" customHeight="1" thickBot="1">
      <c r="A183" s="600" t="str">
        <f t="shared" si="103"/>
        <v>ServiceAjustement M/O</v>
      </c>
      <c r="B183" s="24" t="s">
        <v>155</v>
      </c>
      <c r="C183" s="281" t="s">
        <v>164</v>
      </c>
      <c r="D183" s="195"/>
      <c r="E183" s="195"/>
      <c r="F183" s="321">
        <f>+SUMPRODUCT(('Budget original'!$A$8:$A$496=$A183)*('Budget original'!$C$3:$AO$3=F$2),'Budget original'!$C$8:$AO$496)</f>
        <v>-2959.7191851556272</v>
      </c>
      <c r="G183" s="320"/>
      <c r="H183" s="214"/>
      <c r="I183" s="214">
        <f>+SUMPRODUCT(('Budget révisé'!$A$8:$A$496=$A183)*('Budget révisé'!$C$3:$AO$3=I$2),'Budget révisé'!$C$8:$AO$496)</f>
        <v>-2959.7191851556272</v>
      </c>
      <c r="J183" s="342"/>
      <c r="K183" s="214"/>
      <c r="L183" s="197">
        <f>-SUMIFS(BV_Data_An_Cour!$P:$P,BV_Data_An_Cour!$U:$U,$B183,BV_Data_An_Cour!$V:$V,$C183,BV_Data_An_Cour!$W:$W,$L$2)</f>
        <v>-868.59</v>
      </c>
      <c r="M183" s="388"/>
      <c r="N183" s="321">
        <f t="shared" ref="N183:N184" si="109">L183-I183</f>
        <v>2091.1291851556271</v>
      </c>
      <c r="O183" s="342"/>
      <c r="P183" s="214"/>
      <c r="Q183" s="197">
        <f>-SUMIFS(BV_Data_An_Prec!$P:$P,BV_Data_An_Prec!$U:$U,$B183,BV_Data_An_Prec!$V:$V,$C183,BV_Data_An_Prec!$W:$W,$L$2)</f>
        <v>-3920.28</v>
      </c>
      <c r="R183" s="226"/>
      <c r="S183" s="216">
        <f t="shared" ref="S183:S184" si="110">L183-Q183</f>
        <v>3051.69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532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</row>
    <row r="184" spans="1:54" ht="15.75" customHeight="1" thickTop="1">
      <c r="A184" s="600" t="str">
        <f t="shared" si="103"/>
        <v>ServiceSous-total M/O</v>
      </c>
      <c r="B184" s="24" t="s">
        <v>155</v>
      </c>
      <c r="C184" s="397" t="s">
        <v>165</v>
      </c>
      <c r="D184" s="58"/>
      <c r="E184" s="58">
        <f t="shared" ref="E184:F184" si="111">E171+E174+E177+E180+E183</f>
        <v>169549.52731212744</v>
      </c>
      <c r="F184" s="59">
        <f t="shared" si="111"/>
        <v>121055.66681688525</v>
      </c>
      <c r="G184" s="60"/>
      <c r="H184" s="58">
        <f t="shared" ref="H184:L184" si="112">H171+H174+H177+H180+H183</f>
        <v>169549.52731212744</v>
      </c>
      <c r="I184" s="59">
        <f t="shared" si="112"/>
        <v>121055.66681688525</v>
      </c>
      <c r="J184" s="60">
        <f t="shared" si="112"/>
        <v>674</v>
      </c>
      <c r="K184" s="58">
        <f t="shared" si="112"/>
        <v>151116.15</v>
      </c>
      <c r="L184" s="59">
        <f t="shared" si="112"/>
        <v>106975.38999999998</v>
      </c>
      <c r="M184" s="61">
        <f>(K184-H184)/H184</f>
        <v>-0.10871972104170503</v>
      </c>
      <c r="N184" s="59">
        <f t="shared" si="109"/>
        <v>-14080.276816885264</v>
      </c>
      <c r="O184" s="60">
        <f t="shared" ref="O184:Q184" si="113">O171+O174+O177+O180+O183</f>
        <v>820</v>
      </c>
      <c r="P184" s="58">
        <f t="shared" si="113"/>
        <v>162747.76</v>
      </c>
      <c r="Q184" s="59">
        <f t="shared" si="113"/>
        <v>113878.90999999999</v>
      </c>
      <c r="R184" s="398">
        <f>IF(O184=0,0,J184/O184)</f>
        <v>0.82195121951219507</v>
      </c>
      <c r="S184" s="399">
        <f t="shared" si="110"/>
        <v>-6903.5200000000041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532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</row>
    <row r="185" spans="1:54" ht="15.75" customHeight="1">
      <c r="A185" s="600" t="str">
        <f t="shared" si="103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0.7079017695990798</v>
      </c>
      <c r="M185" s="64"/>
      <c r="N185" s="63">
        <f>N184/I184</f>
        <v>-0.11631241384332534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-8398.9412462908058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532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</row>
    <row r="186" spans="1:54" ht="15.75" customHeight="1">
      <c r="A186" s="600" t="str">
        <f t="shared" si="103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532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</row>
    <row r="187" spans="1:54" ht="15.75" customHeight="1">
      <c r="A187" s="600" t="str">
        <f t="shared" si="103"/>
        <v>ServiceSous-traitement</v>
      </c>
      <c r="B187" s="24" t="s">
        <v>155</v>
      </c>
      <c r="C187" s="308" t="s">
        <v>167</v>
      </c>
      <c r="D187" s="245"/>
      <c r="E187" s="245">
        <f>+SUMPRODUCT(('Budget original'!$A$8:$A$496=$A187)*('Budget original'!$C$3:$AO$3=E$2),'Budget original'!$C$8:$AO$496)</f>
        <v>19187.075768751314</v>
      </c>
      <c r="F187" s="245">
        <f>+SUMPRODUCT(('Budget original'!$A$8:$A$496=$A187)*('Budget original'!$C$3:$AO$3=F$2),'Budget original'!$C$8:$AO$496)</f>
        <v>4604.8981845003154</v>
      </c>
      <c r="G187" s="247"/>
      <c r="H187" s="245">
        <f>+SUMPRODUCT(('Budget révisé'!$A$8:$A$496=$A187)*('Budget révisé'!$C$3:$AO$3=H$2),'Budget révisé'!$C$8:$AO$496)</f>
        <v>19187.075768751314</v>
      </c>
      <c r="I187" s="245">
        <f>+SUMPRODUCT(('Budget révisé'!$A$8:$A$496=$A187)*('Budget révisé'!$C$3:$AO$3=I$2),'Budget révisé'!$C$8:$AO$496)</f>
        <v>4604.8981845003154</v>
      </c>
      <c r="J187" s="247"/>
      <c r="K187" s="248">
        <f>-SUMIFS(BV_Data_An_Cour!$P:$P,BV_Data_An_Cour!$X:$X,"Oui",BV_Data_An_Cour!$U:$U,$B187,BV_Data_An_Cour!$V:$V,$C187)</f>
        <v>7855.2</v>
      </c>
      <c r="L187" s="298">
        <f>-SUMIFS(BV_Data_An_Cour!$P:$P,BV_Data_An_Cour!$U:$U,$B187,BV_Data_An_Cour!$V:$V,$C187,BV_Data_An_Cour!$W:$W,$L$2)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-SUMIFS(BV_Data_An_Prec!$P:$P,BV_Data_An_Prec!$X:$X,"Oui",BV_Data_An_Prec!$U:$U,$B187,BV_Data_An_Prec!$V:$V,$C187)</f>
        <v>26864.41</v>
      </c>
      <c r="Q187" s="298">
        <f>-SUMIFS(BV_Data_An_Prec!$P:$P,BV_Data_An_Prec!$U:$U,$B187,BV_Data_An_Prec!$V:$V,$C187,BV_Data_An_Prec!$W:$W,$L$2)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532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</row>
    <row r="188" spans="1:54" ht="15.75" customHeight="1">
      <c r="A188" s="600" t="str">
        <f t="shared" si="103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</row>
    <row r="189" spans="1:54" ht="15.75" customHeight="1">
      <c r="A189" s="600" t="str">
        <f t="shared" si="103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532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</row>
    <row r="190" spans="1:54" ht="15.75" customHeight="1">
      <c r="A190" s="600" t="str">
        <f t="shared" si="103"/>
        <v>ServiceM.O. Recond. MCPA</v>
      </c>
      <c r="B190" s="24" t="s">
        <v>155</v>
      </c>
      <c r="C190" s="308" t="s">
        <v>168</v>
      </c>
      <c r="D190" s="250"/>
      <c r="E190" s="245">
        <f>+SUMPRODUCT(('Budget original'!$A$8:$A$496=$A190)*('Budget original'!$C$3:$AO$3=E$2),'Budget original'!$C$8:$AO$496)</f>
        <v>0</v>
      </c>
      <c r="F190" s="245">
        <f>+SUMPRODUCT(('Budget original'!$A$8:$A$496=$A190)*('Budget original'!$C$3:$AO$3=F$2),'Budget original'!$C$8:$AO$496)</f>
        <v>0</v>
      </c>
      <c r="G190" s="244"/>
      <c r="H190" s="245">
        <f>+SUMPRODUCT(('Budget révisé'!$A$8:$A$496=$A190)*('Budget révisé'!$C$3:$AO$3=H$2),'Budget révisé'!$C$8:$AO$496)</f>
        <v>0</v>
      </c>
      <c r="I190" s="245">
        <f>+SUMPRODUCT(('Budget révisé'!$A$8:$A$496=$A190)*('Budget révisé'!$C$3:$AO$3=I$2),'Budget révisé'!$C$8:$AO$496)</f>
        <v>0</v>
      </c>
      <c r="J190" s="253"/>
      <c r="K190" s="248">
        <f>-SUMIFS(BV_Data_An_Cour!$P:$P,BV_Data_An_Cour!$X:$X,"Oui",BV_Data_An_Cour!$U:$U,$B190,BV_Data_An_Cour!$V:$V,$C190)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-SUMIFS(BV_Data_An_Prec!$P:$P,BV_Data_An_Prec!$X:$X,"Oui",BV_Data_An_Prec!$U:$U,$B190,BV_Data_An_Prec!$V:$V,$C190)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</row>
    <row r="191" spans="1:54" ht="15.75" customHeight="1">
      <c r="A191" s="600" t="str">
        <f t="shared" si="103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532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</row>
    <row r="192" spans="1:54" ht="15.75" customHeight="1" thickBot="1">
      <c r="A192" s="600" t="str">
        <f t="shared" si="103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532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</row>
    <row r="193" spans="1:54" ht="15.75" customHeight="1" thickTop="1">
      <c r="A193" s="600" t="str">
        <f t="shared" si="103"/>
        <v>ServiceTotal Mécanique</v>
      </c>
      <c r="B193" s="24" t="s">
        <v>155</v>
      </c>
      <c r="C193" s="286" t="s">
        <v>169</v>
      </c>
      <c r="D193" s="26"/>
      <c r="E193" s="26">
        <f t="shared" ref="E193:F193" si="114">E184+E187+E190</f>
        <v>188736.60308087876</v>
      </c>
      <c r="F193" s="28">
        <f t="shared" si="114"/>
        <v>125660.56500138556</v>
      </c>
      <c r="G193" s="29"/>
      <c r="H193" s="26">
        <f t="shared" ref="H193:I193" si="115">H184+H187+H190</f>
        <v>188736.60308087876</v>
      </c>
      <c r="I193" s="28">
        <f t="shared" si="115"/>
        <v>125660.56500138556</v>
      </c>
      <c r="J193" s="29"/>
      <c r="K193" s="26">
        <f>K184+K187+K190</f>
        <v>158971.35</v>
      </c>
      <c r="L193" s="28">
        <f t="shared" ref="L193" si="116">L184+L187+L190</f>
        <v>108076.13999999998</v>
      </c>
      <c r="M193" s="70">
        <f>L194-I194</f>
        <v>1.4048057434551953E-2</v>
      </c>
      <c r="N193" s="28">
        <f>L193-I193</f>
        <v>-17584.425001385578</v>
      </c>
      <c r="O193" s="29"/>
      <c r="P193" s="26">
        <f>P184+P187+P190</f>
        <v>189612.17</v>
      </c>
      <c r="Q193" s="28">
        <f t="shared" ref="Q193" si="117">Q184+Q187+Q190</f>
        <v>121152.04</v>
      </c>
      <c r="R193" s="70">
        <f>L194-Q194</f>
        <v>4.0900111420570928E-2</v>
      </c>
      <c r="S193" s="380">
        <f>L193-Q193</f>
        <v>-13075.900000000009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532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</row>
    <row r="194" spans="1:54" ht="15.75" customHeight="1" thickBot="1">
      <c r="A194" s="600" t="str">
        <f t="shared" si="103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0.67984665161363966</v>
      </c>
      <c r="M194" s="33"/>
      <c r="N194" s="34">
        <f>N193/I193</f>
        <v>-0.13993590591600227</v>
      </c>
      <c r="O194" s="31"/>
      <c r="P194" s="382"/>
      <c r="Q194" s="34">
        <f>Q193/P193</f>
        <v>0.63894654019306873</v>
      </c>
      <c r="R194" s="33"/>
      <c r="S194" s="289">
        <f>L193/S193</f>
        <v>-8.2652926376004636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</row>
    <row r="195" spans="1:54" ht="15.75" customHeight="1" thickTop="1">
      <c r="A195" s="600" t="str">
        <f t="shared" si="103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532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</row>
    <row r="196" spans="1:54" ht="15.75" customHeight="1">
      <c r="A196" s="600" t="str">
        <f t="shared" si="103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532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</row>
    <row r="197" spans="1:54" ht="15.75" customHeight="1">
      <c r="A197" s="600" t="str">
        <f t="shared" si="103"/>
        <v>ServiceSalaires cadres</v>
      </c>
      <c r="B197" s="24" t="s">
        <v>155</v>
      </c>
      <c r="C197" s="322" t="s">
        <v>112</v>
      </c>
      <c r="D197" s="195"/>
      <c r="E197" s="195"/>
      <c r="F197" s="196">
        <f>+SUMPRODUCT(('Budget original'!$A$8:$A$496=$A197)*('Budget original'!$C$3:$AO$3=F$2),'Budget original'!$C$8:$AO$496)</f>
        <v>12044.250946206896</v>
      </c>
      <c r="G197" s="320"/>
      <c r="H197" s="195"/>
      <c r="I197" s="196">
        <f>+SUMPRODUCT(('Budget révisé'!$A$8:$A$496=$A197)*('Budget révisé'!$C$3:$AO$3=I$2),'Budget révisé'!$C$8:$AO$496)</f>
        <v>12044.250946206896</v>
      </c>
      <c r="J197" s="320"/>
      <c r="K197" s="195"/>
      <c r="L197" s="197">
        <f>SUMIFS(BV_Data_An_Cour!$P:$P,BV_Data_An_Cour!$U:$U,$B197,BV_Data_An_Cour!$V:$V,$C197,BV_Data_An_Cour!$W:$W,$L$2)</f>
        <v>12230.15</v>
      </c>
      <c r="M197" s="320"/>
      <c r="N197" s="329"/>
      <c r="O197" s="320"/>
      <c r="P197" s="195"/>
      <c r="Q197" s="197">
        <f>SUMIFS(BV_Data_An_Prec!$P:$P,BV_Data_An_Prec!$U:$U,$B197,BV_Data_An_Prec!$V:$V,$C197,BV_Data_An_Prec!$W:$W,$L$2)</f>
        <v>14495.87</v>
      </c>
      <c r="R197" s="320"/>
      <c r="S197" s="416">
        <f>L197-Q197</f>
        <v>-2265.7200000000012</v>
      </c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39"/>
      <c r="AK197" s="239"/>
      <c r="AL197" s="239"/>
      <c r="AM197" s="250"/>
      <c r="AN197" s="250"/>
      <c r="AO197" s="532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</row>
    <row r="198" spans="1:54" ht="15.75" customHeight="1">
      <c r="A198" s="600" t="str">
        <f t="shared" si="103"/>
        <v>ServiceSalaires commis</v>
      </c>
      <c r="B198" s="24" t="s">
        <v>155</v>
      </c>
      <c r="C198" s="323" t="s">
        <v>113</v>
      </c>
      <c r="D198" s="318"/>
      <c r="E198" s="195"/>
      <c r="F198" s="194">
        <f>+SUMPRODUCT(('Budget original'!$A$8:$A$496=$A198)*('Budget original'!$C$3:$AO$3=F$2),'Budget original'!$C$8:$AO$496)</f>
        <v>8746.0360371034476</v>
      </c>
      <c r="G198" s="319"/>
      <c r="H198" s="195"/>
      <c r="I198" s="194">
        <f>+SUMPRODUCT(('Budget révisé'!$A$8:$A$496=$A198)*('Budget révisé'!$C$3:$AO$3=I$2),'Budget révisé'!$C$8:$AO$496)</f>
        <v>8746.0360371034476</v>
      </c>
      <c r="J198" s="320"/>
      <c r="K198" s="195"/>
      <c r="L198" s="197">
        <f>SUMIFS(BV_Data_An_Cour!$P:$P,BV_Data_An_Cour!$U:$U,$B198,BV_Data_An_Cour!$V:$V,$C198,BV_Data_An_Cour!$W:$W,$L$2)</f>
        <v>8211.75</v>
      </c>
      <c r="M198" s="320"/>
      <c r="N198" s="321">
        <f t="shared" ref="N198:N228" si="118">L198-I198</f>
        <v>-534.2860371034476</v>
      </c>
      <c r="O198" s="320"/>
      <c r="P198" s="195"/>
      <c r="Q198" s="197">
        <f>SUMIFS(BV_Data_An_Prec!$P:$P,BV_Data_An_Prec!$U:$U,$B198,BV_Data_An_Prec!$V:$V,$C198,BV_Data_An_Prec!$W:$W,$L$2)</f>
        <v>7646.95</v>
      </c>
      <c r="R198" s="320"/>
      <c r="S198" s="216">
        <f t="shared" ref="S198:S228" si="119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532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</row>
    <row r="199" spans="1:54" ht="15.75" customHeight="1">
      <c r="A199" s="600" t="str">
        <f t="shared" si="103"/>
        <v>ServiceSalaires autres</v>
      </c>
      <c r="B199" s="24" t="s">
        <v>155</v>
      </c>
      <c r="C199" s="322" t="s">
        <v>114</v>
      </c>
      <c r="D199" s="409"/>
      <c r="E199" s="369"/>
      <c r="F199" s="196">
        <f>+SUMPRODUCT(('Budget original'!$A$8:$A$496=$A199)*('Budget original'!$C$3:$AO$3=F$2),'Budget original'!$C$8:$AO$496)</f>
        <v>11814.360328496552</v>
      </c>
      <c r="G199" s="410"/>
      <c r="H199" s="369"/>
      <c r="I199" s="196">
        <f>+SUMPRODUCT(('Budget révisé'!$A$8:$A$496=$A199)*('Budget révisé'!$C$3:$AO$3=I$2),'Budget révisé'!$C$8:$AO$496)</f>
        <v>11814.360328496552</v>
      </c>
      <c r="J199" s="385"/>
      <c r="K199" s="369"/>
      <c r="L199" s="198">
        <f>SUMIFS(BV_Data_An_Cour!$P:$P,BV_Data_An_Cour!$U:$U,$B199,BV_Data_An_Cour!$V:$V,$C199,BV_Data_An_Cour!$W:$W,$L$2)</f>
        <v>14193.45</v>
      </c>
      <c r="M199" s="385"/>
      <c r="N199" s="373">
        <f t="shared" si="118"/>
        <v>2379.0896715034487</v>
      </c>
      <c r="O199" s="385"/>
      <c r="P199" s="369"/>
      <c r="Q199" s="198">
        <f>SUMIFS(BV_Data_An_Prec!$P:$P,BV_Data_An_Prec!$U:$U,$B199,BV_Data_An_Prec!$V:$V,$C199,BV_Data_An_Prec!$W:$W,$L$2)</f>
        <v>11116.14</v>
      </c>
      <c r="R199" s="385"/>
      <c r="S199" s="218">
        <f t="shared" si="119"/>
        <v>3077.3100000000013</v>
      </c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532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</row>
    <row r="200" spans="1:54" ht="15.75" customHeight="1">
      <c r="A200" s="600" t="str">
        <f t="shared" si="103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+SUMPRODUCT(('Budget original'!$A$8:$A$496=$A200)*('Budget original'!$C$3:$AO$3=F$2),'Budget original'!$C$8:$AO$496)</f>
        <v>30510.931475862068</v>
      </c>
      <c r="G200" s="319"/>
      <c r="H200" s="195"/>
      <c r="I200" s="196">
        <f>+SUMPRODUCT(('Budget révisé'!$A$8:$A$496=$A200)*('Budget révisé'!$C$3:$AO$3=I$2),'Budget révisé'!$C$8:$AO$496)</f>
        <v>30510.931475862068</v>
      </c>
      <c r="J200" s="320"/>
      <c r="K200" s="195"/>
      <c r="L200" s="197">
        <f>SUMIFS(BV_Data_An_Cour!$P:$P,BV_Data_An_Cour!$U:$U,$B200,BV_Data_An_Cour!$V:$V,$C200,BV_Data_An_Cour!$W:$W,$L$2)</f>
        <v>21182.68</v>
      </c>
      <c r="M200" s="320"/>
      <c r="N200" s="321">
        <f t="shared" si="118"/>
        <v>-9328.2514758620673</v>
      </c>
      <c r="O200" s="320"/>
      <c r="P200" s="195"/>
      <c r="Q200" s="197">
        <f>SUMIFS(BV_Data_An_Prec!$P:$P,BV_Data_An_Prec!$U:$U,$B200,BV_Data_An_Prec!$V:$V,$C200,BV_Data_An_Prec!$W:$W,$L$2)</f>
        <v>20897.27</v>
      </c>
      <c r="R200" s="320"/>
      <c r="S200" s="216">
        <f t="shared" si="119"/>
        <v>285.40999999999985</v>
      </c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</row>
    <row r="201" spans="1:54" ht="15.75" customHeight="1">
      <c r="A201" s="600" t="str">
        <f t="shared" si="103"/>
        <v>Service[...]</v>
      </c>
      <c r="B201" s="24" t="s">
        <v>155</v>
      </c>
      <c r="C201" s="281" t="s">
        <v>42</v>
      </c>
      <c r="D201" s="318"/>
      <c r="E201" s="195"/>
      <c r="F201" s="196">
        <f>+SUMPRODUCT(('Budget original'!$A$8:$A$496=$A201)*('Budget original'!$C$3:$AO$3=F$2),'Budget original'!$C$8:$AO$496)</f>
        <v>0</v>
      </c>
      <c r="G201" s="319"/>
      <c r="H201" s="195"/>
      <c r="I201" s="196">
        <f>+SUMPRODUCT(('Budget révisé'!$A$8:$A$496=$A201)*('Budget révisé'!$C$3:$AO$3=I$2),'Budget révisé'!$C$8:$AO$496)</f>
        <v>0</v>
      </c>
      <c r="J201" s="320"/>
      <c r="K201" s="195"/>
      <c r="L201" s="197">
        <f>SUMIFS(BV_Data_An_Cour!$P:$P,BV_Data_An_Cour!$U:$U,$B201,BV_Data_An_Cour!$V:$V,$C201,BV_Data_An_Cour!$W:$W,$L$2)</f>
        <v>0</v>
      </c>
      <c r="M201" s="320"/>
      <c r="N201" s="321">
        <f t="shared" si="118"/>
        <v>0</v>
      </c>
      <c r="O201" s="320"/>
      <c r="P201" s="195"/>
      <c r="Q201" s="197">
        <f>SUMIFS(BV_Data_An_Prec!$P:$P,BV_Data_An_Prec!$U:$U,$B201,BV_Data_An_Prec!$V:$V,$C201,BV_Data_An_Prec!$W:$W,$L$2)</f>
        <v>0</v>
      </c>
      <c r="R201" s="320"/>
      <c r="S201" s="216">
        <f t="shared" si="119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532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</row>
    <row r="202" spans="1:54" ht="15.75" customHeight="1">
      <c r="A202" s="600" t="str">
        <f t="shared" si="103"/>
        <v>Service[...]</v>
      </c>
      <c r="B202" s="24" t="s">
        <v>155</v>
      </c>
      <c r="C202" s="281" t="s">
        <v>42</v>
      </c>
      <c r="D202" s="318"/>
      <c r="E202" s="195"/>
      <c r="F202" s="196">
        <f>+SUMPRODUCT(('Budget original'!$A$8:$A$496=$A202)*('Budget original'!$C$3:$AO$3=F$2),'Budget original'!$C$8:$AO$496)</f>
        <v>0</v>
      </c>
      <c r="G202" s="319"/>
      <c r="H202" s="195"/>
      <c r="I202" s="196">
        <f>+SUMPRODUCT(('Budget révisé'!$A$8:$A$496=$A202)*('Budget révisé'!$C$3:$AO$3=I$2),'Budget révisé'!$C$8:$AO$496)</f>
        <v>0</v>
      </c>
      <c r="J202" s="320"/>
      <c r="K202" s="195"/>
      <c r="L202" s="197">
        <f>SUMIFS(BV_Data_An_Cour!$P:$P,BV_Data_An_Cour!$U:$U,$B202,BV_Data_An_Cour!$V:$V,$C202,BV_Data_An_Cour!$W:$W,$L$2)</f>
        <v>0</v>
      </c>
      <c r="M202" s="320"/>
      <c r="N202" s="321">
        <f t="shared" si="118"/>
        <v>0</v>
      </c>
      <c r="O202" s="320"/>
      <c r="P202" s="195"/>
      <c r="Q202" s="197">
        <f>SUMIFS(BV_Data_An_Prec!$P:$P,BV_Data_An_Prec!$U:$U,$B202,BV_Data_An_Prec!$V:$V,$C202,BV_Data_An_Prec!$W:$W,$L$2)</f>
        <v>0</v>
      </c>
      <c r="R202" s="320"/>
      <c r="S202" s="216">
        <f t="shared" si="119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532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</row>
    <row r="203" spans="1:54" ht="15.75" customHeight="1">
      <c r="A203" s="600" t="str">
        <f t="shared" si="103"/>
        <v>Service[...]</v>
      </c>
      <c r="B203" s="24" t="s">
        <v>155</v>
      </c>
      <c r="C203" s="281" t="s">
        <v>42</v>
      </c>
      <c r="D203" s="318"/>
      <c r="E203" s="195"/>
      <c r="F203" s="196">
        <f>+SUMPRODUCT(('Budget original'!$A$8:$A$496=$A203)*('Budget original'!$C$3:$AO$3=F$2),'Budget original'!$C$8:$AO$496)</f>
        <v>0</v>
      </c>
      <c r="G203" s="319"/>
      <c r="H203" s="195"/>
      <c r="I203" s="196">
        <f>+SUMPRODUCT(('Budget révisé'!$A$8:$A$496=$A203)*('Budget révisé'!$C$3:$AO$3=I$2),'Budget révisé'!$C$8:$AO$496)</f>
        <v>0</v>
      </c>
      <c r="J203" s="320"/>
      <c r="K203" s="195"/>
      <c r="L203" s="197">
        <f>SUMIFS(BV_Data_An_Cour!$P:$P,BV_Data_An_Cour!$U:$U,$B203,BV_Data_An_Cour!$V:$V,$C203,BV_Data_An_Cour!$W:$W,$L$2)</f>
        <v>0</v>
      </c>
      <c r="M203" s="320"/>
      <c r="N203" s="321">
        <f t="shared" ref="N203:N204" si="120">L203-I203</f>
        <v>0</v>
      </c>
      <c r="O203" s="320"/>
      <c r="P203" s="195"/>
      <c r="Q203" s="197">
        <f>SUMIFS(BV_Data_An_Prec!$P:$P,BV_Data_An_Prec!$U:$U,$B203,BV_Data_An_Prec!$V:$V,$C203,BV_Data_An_Prec!$W:$W,$L$2)</f>
        <v>0</v>
      </c>
      <c r="R203" s="320"/>
      <c r="S203" s="216">
        <f t="shared" ref="S203:S204" si="121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</row>
    <row r="204" spans="1:54" ht="15.75" customHeight="1">
      <c r="A204" s="600" t="str">
        <f t="shared" si="103"/>
        <v>ServiceSalaires en absences</v>
      </c>
      <c r="B204" s="24" t="s">
        <v>155</v>
      </c>
      <c r="C204" s="323" t="s">
        <v>116</v>
      </c>
      <c r="D204" s="318"/>
      <c r="E204" s="195"/>
      <c r="F204" s="196">
        <f>+SUMPRODUCT(('Budget original'!$A$8:$A$496=$A204)*('Budget original'!$C$3:$AO$3=F$2),'Budget original'!$C$8:$AO$496)</f>
        <v>16673.690254520276</v>
      </c>
      <c r="G204" s="319"/>
      <c r="H204" s="195"/>
      <c r="I204" s="196">
        <f>+SUMPRODUCT(('Budget révisé'!$A$8:$A$496=$A204)*('Budget révisé'!$C$3:$AO$3=I$2),'Budget révisé'!$C$8:$AO$496)</f>
        <v>16673.690254520276</v>
      </c>
      <c r="J204" s="320"/>
      <c r="K204" s="195"/>
      <c r="L204" s="197">
        <f>SUMIFS(BV_Data_An_Cour!$P:$P,BV_Data_An_Cour!$U:$U,$B204,BV_Data_An_Cour!$V:$V,$C204,BV_Data_An_Cour!$W:$W,$L$2)</f>
        <v>9419.06</v>
      </c>
      <c r="M204" s="320"/>
      <c r="N204" s="321">
        <f t="shared" si="120"/>
        <v>-7254.6302545202761</v>
      </c>
      <c r="O204" s="320"/>
      <c r="P204" s="195"/>
      <c r="Q204" s="197">
        <f>SUMIFS(BV_Data_An_Prec!$P:$P,BV_Data_An_Prec!$U:$U,$B204,BV_Data_An_Prec!$V:$V,$C204,BV_Data_An_Prec!$W:$W,$L$2)</f>
        <v>12514.58</v>
      </c>
      <c r="R204" s="320"/>
      <c r="S204" s="216">
        <f t="shared" si="121"/>
        <v>-3095.5200000000004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532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</row>
    <row r="205" spans="1:54" ht="15.75" customHeight="1">
      <c r="A205" s="600" t="str">
        <f t="shared" si="103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+SUMPRODUCT(('Budget original'!$A$8:$A$496=$A205)*('Budget original'!$C$3:$AO$3=F$2),'Budget original'!$C$8:$AO$496)</f>
        <v>16673.690254520276</v>
      </c>
      <c r="G205" s="410"/>
      <c r="H205" s="369"/>
      <c r="I205" s="446">
        <f>+SUMPRODUCT(('Budget révisé'!$A$8:$A$496=$A205)*('Budget révisé'!$C$3:$AO$3=I$2),'Budget révisé'!$C$8:$AO$496)</f>
        <v>16673.690254520276</v>
      </c>
      <c r="J205" s="385"/>
      <c r="K205" s="369"/>
      <c r="L205" s="198">
        <f>SUMIFS(BV_Data_An_Cour!$P:$P,BV_Data_An_Cour!$U:$U,$B205,BV_Data_An_Cour!$V:$V,$C205,BV_Data_An_Cour!$W:$W,$L$2)</f>
        <v>13265.27</v>
      </c>
      <c r="M205" s="385"/>
      <c r="N205" s="373">
        <f t="shared" si="118"/>
        <v>-3408.4202545202752</v>
      </c>
      <c r="O205" s="385"/>
      <c r="P205" s="369"/>
      <c r="Q205" s="198">
        <f>SUMIFS(BV_Data_An_Prec!$P:$P,BV_Data_An_Prec!$U:$U,$B205,BV_Data_An_Prec!$V:$V,$C205,BV_Data_An_Prec!$W:$W,$L$2)</f>
        <v>10453.51</v>
      </c>
      <c r="R205" s="385"/>
      <c r="S205" s="218">
        <f t="shared" si="119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532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</row>
    <row r="206" spans="1:54" ht="15.75" customHeight="1">
      <c r="A206" s="600" t="str">
        <f t="shared" si="103"/>
        <v>ServiceBénéfices marginaux</v>
      </c>
      <c r="B206" s="24" t="s">
        <v>155</v>
      </c>
      <c r="C206" s="297" t="s">
        <v>118</v>
      </c>
      <c r="D206" s="318"/>
      <c r="E206" s="195"/>
      <c r="F206" s="196">
        <f>+SUMPRODUCT(('Budget original'!$A$8:$A$496=$A206)*('Budget original'!$C$3:$AO$3=F$2),'Budget original'!$C$8:$AO$496)</f>
        <v>11949.478015739529</v>
      </c>
      <c r="G206" s="319"/>
      <c r="H206" s="195"/>
      <c r="I206" s="196">
        <f>+SUMPRODUCT(('Budget révisé'!$A$8:$A$496=$A206)*('Budget révisé'!$C$3:$AO$3=I$2),'Budget révisé'!$C$8:$AO$496)</f>
        <v>11949.478015739529</v>
      </c>
      <c r="J206" s="320"/>
      <c r="K206" s="195"/>
      <c r="L206" s="197">
        <f>SUMIFS(BV_Data_An_Cour!$P:$P,BV_Data_An_Cour!$U:$U,$B206,BV_Data_An_Cour!$V:$V,$C206,BV_Data_An_Cour!$W:$W,$L$2)</f>
        <v>4597.8499999999995</v>
      </c>
      <c r="M206" s="320"/>
      <c r="N206" s="321">
        <f t="shared" si="118"/>
        <v>-7351.6280157395295</v>
      </c>
      <c r="O206" s="320"/>
      <c r="P206" s="195"/>
      <c r="Q206" s="197">
        <f>SUMIFS(BV_Data_An_Prec!$P:$P,BV_Data_An_Prec!$U:$U,$B206,BV_Data_An_Prec!$V:$V,$C206,BV_Data_An_Prec!$W:$W,$L$2)</f>
        <v>7642.54</v>
      </c>
      <c r="R206" s="320"/>
      <c r="S206" s="216">
        <f t="shared" si="119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532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</row>
    <row r="207" spans="1:54" ht="15.75" customHeight="1">
      <c r="A207" s="600" t="str">
        <f t="shared" si="103"/>
        <v>ServiceCsst</v>
      </c>
      <c r="B207" s="24" t="s">
        <v>155</v>
      </c>
      <c r="C207" s="297" t="s">
        <v>119</v>
      </c>
      <c r="D207" s="318"/>
      <c r="E207" s="195"/>
      <c r="F207" s="196">
        <f>+SUMPRODUCT(('Budget original'!$A$8:$A$496=$A207)*('Budget original'!$C$3:$AO$3=F$2),'Budget original'!$C$8:$AO$496)</f>
        <v>2778.948375753379</v>
      </c>
      <c r="G207" s="319"/>
      <c r="H207" s="195"/>
      <c r="I207" s="196">
        <f>+SUMPRODUCT(('Budget révisé'!$A$8:$A$496=$A207)*('Budget révisé'!$C$3:$AO$3=I$2),'Budget révisé'!$C$8:$AO$496)</f>
        <v>2778.948375753379</v>
      </c>
      <c r="J207" s="320"/>
      <c r="K207" s="195"/>
      <c r="L207" s="197">
        <f>SUMIFS(BV_Data_An_Cour!$P:$P,BV_Data_An_Cour!$U:$U,$B207,BV_Data_An_Cour!$V:$V,$C207,BV_Data_An_Cour!$W:$W,$L$2)</f>
        <v>0</v>
      </c>
      <c r="M207" s="320"/>
      <c r="N207" s="321">
        <f t="shared" si="118"/>
        <v>-2778.948375753379</v>
      </c>
      <c r="O207" s="320"/>
      <c r="P207" s="195"/>
      <c r="Q207" s="197">
        <f>SUMIFS(BV_Data_An_Prec!$P:$P,BV_Data_An_Prec!$U:$U,$B207,BV_Data_An_Prec!$V:$V,$C207,BV_Data_An_Prec!$W:$W,$L$2)</f>
        <v>2836.55</v>
      </c>
      <c r="R207" s="320"/>
      <c r="S207" s="216">
        <f t="shared" si="119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532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</row>
    <row r="208" spans="1:54" ht="15.75" customHeight="1">
      <c r="A208" s="600" t="str">
        <f t="shared" si="103"/>
        <v>Service[...]</v>
      </c>
      <c r="B208" s="24" t="s">
        <v>155</v>
      </c>
      <c r="C208" s="308" t="s">
        <v>42</v>
      </c>
      <c r="D208" s="324"/>
      <c r="E208" s="325"/>
      <c r="F208" s="196">
        <f>+SUMPRODUCT(('Budget original'!$A$8:$A$496=$A208)*('Budget original'!$C$3:$AO$3=F$2),'Budget original'!$C$8:$AO$496)</f>
        <v>0</v>
      </c>
      <c r="G208" s="326"/>
      <c r="H208" s="325"/>
      <c r="I208" s="196">
        <f>+SUMPRODUCT(('Budget révisé'!$A$8:$A$496=$A208)*('Budget révisé'!$C$3:$AO$3=I$2),'Budget révisé'!$C$8:$AO$496)</f>
        <v>0</v>
      </c>
      <c r="J208" s="327"/>
      <c r="K208" s="325"/>
      <c r="L208" s="197">
        <f>SUMIFS(BV_Data_An_Cour!$P:$P,BV_Data_An_Cour!$U:$U,$B208,BV_Data_An_Cour!$V:$V,$C208,BV_Data_An_Cour!$W:$W,$L$2)</f>
        <v>0</v>
      </c>
      <c r="M208" s="327"/>
      <c r="N208" s="328">
        <f t="shared" si="118"/>
        <v>0</v>
      </c>
      <c r="O208" s="327"/>
      <c r="P208" s="325"/>
      <c r="Q208" s="197">
        <f>SUMIFS(BV_Data_An_Prec!$P:$P,BV_Data_An_Prec!$U:$U,$B208,BV_Data_An_Prec!$V:$V,$C208,BV_Data_An_Prec!$W:$W,$L$2)</f>
        <v>0</v>
      </c>
      <c r="R208" s="327"/>
      <c r="S208" s="219">
        <f t="shared" si="119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532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</row>
    <row r="209" spans="1:54" ht="15.75" customHeight="1">
      <c r="A209" s="600" t="str">
        <f t="shared" si="103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0.76890431134938775</v>
      </c>
      <c r="L209" s="41">
        <f>+SUM(L197:L208)</f>
        <v>83100.210000000006</v>
      </c>
      <c r="M209" s="43"/>
      <c r="N209" s="46">
        <f t="shared" si="118"/>
        <v>-28091.175688202406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19"/>
        <v>-4503.1999999999825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532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</row>
    <row r="210" spans="1:54" ht="15.75" customHeight="1">
      <c r="A210" s="600" t="str">
        <f t="shared" si="103"/>
        <v>ServicePublicité 2</v>
      </c>
      <c r="B210" s="24" t="s">
        <v>155</v>
      </c>
      <c r="C210" s="568" t="s">
        <v>121</v>
      </c>
      <c r="D210" s="318"/>
      <c r="E210" s="195"/>
      <c r="F210" s="196">
        <f>+SUMPRODUCT(('Budget original'!$A$8:$A$496=$A210)*('Budget original'!$C$3:$AO$3=F$2),'Budget original'!$C$8:$AO$496)</f>
        <v>7073.1916666666666</v>
      </c>
      <c r="G210" s="319"/>
      <c r="H210" s="195"/>
      <c r="I210" s="196">
        <f>+SUMPRODUCT(('Budget révisé'!$A$8:$A$496=$A210)*('Budget révisé'!$C$3:$AO$3=I$2),'Budget révisé'!$C$8:$AO$496)</f>
        <v>7073.1916666666666</v>
      </c>
      <c r="J210" s="320"/>
      <c r="K210" s="195"/>
      <c r="L210" s="197">
        <f>SUMIFS(BV_Data_An_Cour!$P:$P,BV_Data_An_Cour!$U:$U,$B210,BV_Data_An_Cour!$V:$V,$C210,BV_Data_An_Cour!$W:$W,$L$2)</f>
        <v>5848.16</v>
      </c>
      <c r="M210" s="320"/>
      <c r="N210" s="321">
        <f t="shared" si="118"/>
        <v>-1225.0316666666668</v>
      </c>
      <c r="O210" s="320"/>
      <c r="P210" s="195"/>
      <c r="Q210" s="197">
        <f>SUMIFS(BV_Data_An_Prec!$P:$P,BV_Data_An_Prec!$U:$U,$B210,BV_Data_An_Prec!$V:$V,$C210,BV_Data_An_Prec!$W:$W,$L$2)</f>
        <v>11306.3</v>
      </c>
      <c r="R210" s="320"/>
      <c r="S210" s="216">
        <f t="shared" si="119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532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</row>
    <row r="211" spans="1:54" ht="15.75" customHeight="1">
      <c r="A211" s="600" t="str">
        <f t="shared" si="103"/>
        <v>ServiceService gratuit 2</v>
      </c>
      <c r="B211" s="24" t="s">
        <v>155</v>
      </c>
      <c r="C211" s="281" t="s">
        <v>122</v>
      </c>
      <c r="D211" s="318"/>
      <c r="E211" s="195"/>
      <c r="F211" s="196">
        <f>+SUMPRODUCT(('Budget original'!$A$8:$A$496=$A211)*('Budget original'!$C$3:$AO$3=F$2),'Budget original'!$C$8:$AO$496)</f>
        <v>1758.9169876094636</v>
      </c>
      <c r="G211" s="319"/>
      <c r="H211" s="195"/>
      <c r="I211" s="196">
        <f>+SUMPRODUCT(('Budget révisé'!$A$8:$A$496=$A211)*('Budget révisé'!$C$3:$AO$3=I$2),'Budget révisé'!$C$8:$AO$496)</f>
        <v>1758.9169876094636</v>
      </c>
      <c r="J211" s="320"/>
      <c r="K211" s="195"/>
      <c r="L211" s="197">
        <f>SUMIFS(BV_Data_An_Cour!$P:$P,BV_Data_An_Cour!$U:$U,$B211,BV_Data_An_Cour!$V:$V,$C211,BV_Data_An_Cour!$W:$W,$L$2)</f>
        <v>166.99</v>
      </c>
      <c r="M211" s="320"/>
      <c r="N211" s="321">
        <f t="shared" si="118"/>
        <v>-1591.9269876094636</v>
      </c>
      <c r="O211" s="320"/>
      <c r="P211" s="195"/>
      <c r="Q211" s="197">
        <f>SUMIFS(BV_Data_An_Prec!$P:$P,BV_Data_An_Prec!$U:$U,$B211,BV_Data_An_Prec!$V:$V,$C211,BV_Data_An_Prec!$W:$W,$L$2)</f>
        <v>1109.1399999999999</v>
      </c>
      <c r="R211" s="320"/>
      <c r="S211" s="216">
        <f t="shared" si="119"/>
        <v>-942.14999999999986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532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</row>
    <row r="212" spans="1:54" ht="15.75" customHeight="1">
      <c r="A212" s="600" t="str">
        <f t="shared" si="103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+SUMPRODUCT(('Budget original'!$A$8:$A$496=$A212)*('Budget original'!$C$3:$AO$3=F$2),'Budget original'!$C$8:$AO$496)</f>
        <v>16764.080000000002</v>
      </c>
      <c r="G212" s="326"/>
      <c r="H212" s="325"/>
      <c r="I212" s="194">
        <f>+SUMPRODUCT(('Budget révisé'!$A$8:$A$496=$A212)*('Budget révisé'!$C$3:$AO$3=I$2),'Budget révisé'!$C$8:$AO$496)</f>
        <v>16764.080000000002</v>
      </c>
      <c r="J212" s="327"/>
      <c r="K212" s="325"/>
      <c r="L212" s="197">
        <f>SUMIFS(BV_Data_An_Cour!$P:$P,BV_Data_An_Cour!$U:$U,$B212,BV_Data_An_Cour!$V:$V,$C212,BV_Data_An_Cour!$W:$W,$L$2)</f>
        <v>12067.73</v>
      </c>
      <c r="M212" s="327"/>
      <c r="N212" s="328">
        <f t="shared" si="118"/>
        <v>-4696.3500000000022</v>
      </c>
      <c r="O212" s="327"/>
      <c r="P212" s="325"/>
      <c r="Q212" s="197">
        <f>SUMIFS(BV_Data_An_Prec!$P:$P,BV_Data_An_Prec!$U:$U,$B212,BV_Data_An_Prec!$V:$V,$C212,BV_Data_An_Prec!$W:$W,$L$2)</f>
        <v>11357.03</v>
      </c>
      <c r="R212" s="327"/>
      <c r="S212" s="219">
        <f t="shared" si="119"/>
        <v>710.69999999999891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532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</row>
    <row r="213" spans="1:54" ht="15.75" customHeight="1">
      <c r="A213" s="600" t="str">
        <f t="shared" si="103"/>
        <v>ServiceInformatique</v>
      </c>
      <c r="B213" s="24" t="s">
        <v>155</v>
      </c>
      <c r="C213" s="281" t="s">
        <v>124</v>
      </c>
      <c r="D213" s="318"/>
      <c r="E213" s="195"/>
      <c r="F213" s="196">
        <f>+SUMPRODUCT(('Budget original'!$A$8:$A$496=$A213)*('Budget original'!$C$3:$AO$3=F$2),'Budget original'!$C$8:$AO$496)</f>
        <v>4425.5472</v>
      </c>
      <c r="G213" s="319"/>
      <c r="H213" s="195"/>
      <c r="I213" s="196">
        <f>+SUMPRODUCT(('Budget révisé'!$A$8:$A$496=$A213)*('Budget révisé'!$C$3:$AO$3=I$2),'Budget révisé'!$C$8:$AO$496)</f>
        <v>4425.5472</v>
      </c>
      <c r="J213" s="320"/>
      <c r="K213" s="195"/>
      <c r="L213" s="198">
        <f>SUMIFS(BV_Data_An_Cour!$P:$P,BV_Data_An_Cour!$U:$U,$B213,BV_Data_An_Cour!$V:$V,$C213,BV_Data_An_Cour!$W:$W,$L$2)</f>
        <v>3947.31</v>
      </c>
      <c r="M213" s="320"/>
      <c r="N213" s="321">
        <f t="shared" si="118"/>
        <v>-478.23720000000003</v>
      </c>
      <c r="O213" s="320"/>
      <c r="P213" s="195"/>
      <c r="Q213" s="198">
        <f>SUMIFS(BV_Data_An_Prec!$P:$P,BV_Data_An_Prec!$U:$U,$B213,BV_Data_An_Prec!$V:$V,$C213,BV_Data_An_Prec!$W:$W,$L$2)</f>
        <v>3548.54</v>
      </c>
      <c r="R213" s="320"/>
      <c r="S213" s="216">
        <f t="shared" si="119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532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</row>
    <row r="214" spans="1:54" ht="15.75" customHeight="1">
      <c r="A214" s="600" t="str">
        <f t="shared" si="103"/>
        <v>ServiceFrais de déplacement</v>
      </c>
      <c r="B214" s="24" t="s">
        <v>155</v>
      </c>
      <c r="C214" s="281" t="s">
        <v>125</v>
      </c>
      <c r="D214" s="318"/>
      <c r="E214" s="195"/>
      <c r="F214" s="196">
        <f>+SUMPRODUCT(('Budget original'!$A$8:$A$496=$A214)*('Budget original'!$C$3:$AO$3=F$2),'Budget original'!$C$8:$AO$496)</f>
        <v>1197.3725999999999</v>
      </c>
      <c r="G214" s="319"/>
      <c r="H214" s="195"/>
      <c r="I214" s="196">
        <f>+SUMPRODUCT(('Budget révisé'!$A$8:$A$496=$A214)*('Budget révisé'!$C$3:$AO$3=I$2),'Budget révisé'!$C$8:$AO$496)</f>
        <v>1197.3725999999999</v>
      </c>
      <c r="J214" s="320"/>
      <c r="K214" s="195"/>
      <c r="L214" s="197">
        <f>SUMIFS(BV_Data_An_Cour!$P:$P,BV_Data_An_Cour!$U:$U,$B214,BV_Data_An_Cour!$V:$V,$C214,BV_Data_An_Cour!$W:$W,$L$2)</f>
        <v>46.51</v>
      </c>
      <c r="M214" s="320"/>
      <c r="N214" s="321">
        <f t="shared" si="118"/>
        <v>-1150.8625999999999</v>
      </c>
      <c r="O214" s="320"/>
      <c r="P214" s="195"/>
      <c r="Q214" s="197">
        <f>SUMIFS(BV_Data_An_Prec!$P:$P,BV_Data_An_Prec!$U:$U,$B214,BV_Data_An_Prec!$V:$V,$C214,BV_Data_An_Prec!$W:$W,$L$2)</f>
        <v>1458.48</v>
      </c>
      <c r="R214" s="320"/>
      <c r="S214" s="216">
        <f t="shared" si="119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532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</row>
    <row r="215" spans="1:54" ht="15.75" customHeight="1">
      <c r="A215" s="600" t="str">
        <f t="shared" si="103"/>
        <v>ServiceServices extérieurs</v>
      </c>
      <c r="B215" s="24" t="s">
        <v>155</v>
      </c>
      <c r="C215" s="343" t="s">
        <v>126</v>
      </c>
      <c r="D215" s="324"/>
      <c r="E215" s="325"/>
      <c r="F215" s="194">
        <f>+SUMPRODUCT(('Budget original'!$A$8:$A$496=$A215)*('Budget original'!$C$3:$AO$3=F$2),'Budget original'!$C$8:$AO$496)</f>
        <v>3513.5209999999993</v>
      </c>
      <c r="G215" s="326"/>
      <c r="H215" s="325"/>
      <c r="I215" s="194">
        <f>+SUMPRODUCT(('Budget révisé'!$A$8:$A$496=$A215)*('Budget révisé'!$C$3:$AO$3=I$2),'Budget révisé'!$C$8:$AO$496)</f>
        <v>3513.5209999999993</v>
      </c>
      <c r="J215" s="327"/>
      <c r="K215" s="325"/>
      <c r="L215" s="197">
        <f>SUMIFS(BV_Data_An_Cour!$P:$P,BV_Data_An_Cour!$U:$U,$B215,BV_Data_An_Cour!$V:$V,$C215,BV_Data_An_Cour!$W:$W,$L$2)</f>
        <v>1597.88</v>
      </c>
      <c r="M215" s="327"/>
      <c r="N215" s="328">
        <f t="shared" si="118"/>
        <v>-1915.6409999999992</v>
      </c>
      <c r="O215" s="327"/>
      <c r="P215" s="325"/>
      <c r="Q215" s="197">
        <f>SUMIFS(BV_Data_An_Prec!$P:$P,BV_Data_An_Prec!$U:$U,$B215,BV_Data_An_Prec!$V:$V,$C215,BV_Data_An_Prec!$W:$W,$L$2)</f>
        <v>9767.6</v>
      </c>
      <c r="R215" s="327"/>
      <c r="S215" s="219">
        <f t="shared" si="119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532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</row>
    <row r="216" spans="1:54" ht="15.75" customHeight="1">
      <c r="A216" s="600" t="str">
        <f t="shared" ref="A216" si="122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SUMIFS(BV_Data_An_Cour!$P:$P,BV_Data_An_Cour!$U:$U,$B216,BV_Data_An_Cour!$V:$V,$C216,BV_Data_An_Cour!$W:$W,$L$2)</f>
        <v>0</v>
      </c>
      <c r="M216" s="320"/>
      <c r="N216" s="321">
        <f t="shared" ref="N216" si="123">L216-I216</f>
        <v>0</v>
      </c>
      <c r="O216" s="320"/>
      <c r="P216" s="195"/>
      <c r="Q216" s="198">
        <f>SUMIFS(BV_Data_An_Prec!$P:$P,BV_Data_An_Prec!$U:$U,$B216,BV_Data_An_Prec!$V:$V,$C216,BV_Data_An_Prec!$W:$W,$L$2)</f>
        <v>0</v>
      </c>
      <c r="R216" s="320"/>
      <c r="S216" s="216">
        <f t="shared" ref="S216" si="124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532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</row>
    <row r="217" spans="1:54" ht="15.75" customHeight="1">
      <c r="A217" s="600" t="str">
        <f t="shared" si="103"/>
        <v>ServiceFournitures autres</v>
      </c>
      <c r="B217" s="24" t="s">
        <v>155</v>
      </c>
      <c r="C217" s="281" t="s">
        <v>127</v>
      </c>
      <c r="D217" s="318"/>
      <c r="E217" s="195"/>
      <c r="F217" s="196">
        <f>+SUMPRODUCT(('Budget original'!$A$8:$A$496=$A217)*('Budget original'!$C$3:$AO$3=F$2),'Budget original'!$C$8:$AO$496)</f>
        <v>546</v>
      </c>
      <c r="G217" s="319"/>
      <c r="H217" s="195"/>
      <c r="I217" s="196">
        <f>+SUMPRODUCT(('Budget révisé'!$A$8:$A$496=$A217)*('Budget révisé'!$C$3:$AO$3=I$2),'Budget révisé'!$C$8:$AO$496)</f>
        <v>546</v>
      </c>
      <c r="J217" s="320"/>
      <c r="K217" s="195"/>
      <c r="L217" s="197">
        <f>SUMIFS(BV_Data_An_Cour!$P:$P,BV_Data_An_Cour!$U:$U,$B217,BV_Data_An_Cour!$V:$V,$C217,BV_Data_An_Cour!$W:$W,$L$2)</f>
        <v>2168.02</v>
      </c>
      <c r="M217" s="320"/>
      <c r="N217" s="321">
        <f t="shared" si="118"/>
        <v>1622.02</v>
      </c>
      <c r="O217" s="320"/>
      <c r="P217" s="195"/>
      <c r="Q217" s="197">
        <f>SUMIFS(BV_Data_An_Prec!$P:$P,BV_Data_An_Prec!$U:$U,$B217,BV_Data_An_Prec!$V:$V,$C217,BV_Data_An_Prec!$W:$W,$L$2)</f>
        <v>420</v>
      </c>
      <c r="R217" s="320"/>
      <c r="S217" s="216">
        <f t="shared" si="119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532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</row>
    <row r="218" spans="1:54" ht="15.75" customHeight="1">
      <c r="A218" s="600" t="str">
        <f t="shared" si="103"/>
        <v>ServiceUniformes</v>
      </c>
      <c r="B218" s="24" t="s">
        <v>155</v>
      </c>
      <c r="C218" s="281" t="s">
        <v>128</v>
      </c>
      <c r="D218" s="318"/>
      <c r="E218" s="195"/>
      <c r="F218" s="196">
        <f>+SUMPRODUCT(('Budget original'!$A$8:$A$496=$A218)*('Budget original'!$C$3:$AO$3=F$2),'Budget original'!$C$8:$AO$496)</f>
        <v>1300</v>
      </c>
      <c r="G218" s="319"/>
      <c r="H218" s="195"/>
      <c r="I218" s="196">
        <f>+SUMPRODUCT(('Budget révisé'!$A$8:$A$496=$A218)*('Budget révisé'!$C$3:$AO$3=I$2),'Budget révisé'!$C$8:$AO$496)</f>
        <v>1300</v>
      </c>
      <c r="J218" s="320"/>
      <c r="K218" s="195"/>
      <c r="L218" s="197">
        <f>SUMIFS(BV_Data_An_Cour!$P:$P,BV_Data_An_Cour!$U:$U,$B218,BV_Data_An_Cour!$V:$V,$C218,BV_Data_An_Cour!$W:$W,$L$2)</f>
        <v>509.73</v>
      </c>
      <c r="M218" s="320"/>
      <c r="N218" s="321">
        <f t="shared" si="118"/>
        <v>-790.27</v>
      </c>
      <c r="O218" s="320"/>
      <c r="P218" s="195"/>
      <c r="Q218" s="197">
        <f>SUMIFS(BV_Data_An_Prec!$P:$P,BV_Data_An_Prec!$U:$U,$B218,BV_Data_An_Prec!$V:$V,$C218,BV_Data_An_Prec!$W:$W,$L$2)</f>
        <v>1300</v>
      </c>
      <c r="R218" s="320"/>
      <c r="S218" s="216">
        <f t="shared" si="119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532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</row>
    <row r="219" spans="1:54" ht="15.75" customHeight="1">
      <c r="A219" s="600" t="str">
        <f t="shared" si="103"/>
        <v>ServicePapeterie</v>
      </c>
      <c r="B219" s="24" t="s">
        <v>155</v>
      </c>
      <c r="C219" s="281" t="s">
        <v>129</v>
      </c>
      <c r="D219" s="318"/>
      <c r="E219" s="195"/>
      <c r="F219" s="196">
        <f>+SUMPRODUCT(('Budget original'!$A$8:$A$496=$A219)*('Budget original'!$C$3:$AO$3=F$2),'Budget original'!$C$8:$AO$496)</f>
        <v>523.19999999999993</v>
      </c>
      <c r="G219" s="319"/>
      <c r="H219" s="195"/>
      <c r="I219" s="196">
        <f>+SUMPRODUCT(('Budget révisé'!$A$8:$A$496=$A219)*('Budget révisé'!$C$3:$AO$3=I$2),'Budget révisé'!$C$8:$AO$496)</f>
        <v>523.19999999999993</v>
      </c>
      <c r="J219" s="320"/>
      <c r="K219" s="195"/>
      <c r="L219" s="572">
        <f>SUMIFS(BV_Data_An_Cour!$P:$P,BV_Data_An_Cour!$U:$U,$B219,BV_Data_An_Cour!$V:$V,$C219,BV_Data_An_Cour!$W:$W,$L$2)</f>
        <v>186.65</v>
      </c>
      <c r="M219" s="320"/>
      <c r="N219" s="321">
        <f t="shared" si="118"/>
        <v>-336.54999999999995</v>
      </c>
      <c r="O219" s="320"/>
      <c r="P219" s="195"/>
      <c r="Q219" s="572">
        <f>SUMIFS(BV_Data_An_Prec!$P:$P,BV_Data_An_Prec!$U:$U,$B219,BV_Data_An_Prec!$V:$V,$C219,BV_Data_An_Prec!$W:$W,$L$2)</f>
        <v>444</v>
      </c>
      <c r="R219" s="320"/>
      <c r="S219" s="216">
        <f t="shared" si="119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532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</row>
    <row r="220" spans="1:54" ht="15.75" customHeight="1">
      <c r="A220" s="600" t="str">
        <f t="shared" si="103"/>
        <v>ServiceTéléphone</v>
      </c>
      <c r="B220" s="24" t="s">
        <v>155</v>
      </c>
      <c r="C220" s="281" t="s">
        <v>130</v>
      </c>
      <c r="D220" s="318"/>
      <c r="E220" s="195"/>
      <c r="F220" s="196">
        <f>+SUMPRODUCT(('Budget original'!$A$8:$A$496=$A220)*('Budget original'!$C$3:$AO$3=F$2),'Budget original'!$C$8:$AO$496)</f>
        <v>461.18399999999997</v>
      </c>
      <c r="G220" s="319"/>
      <c r="H220" s="195"/>
      <c r="I220" s="196">
        <f>+SUMPRODUCT(('Budget révisé'!$A$8:$A$496=$A220)*('Budget révisé'!$C$3:$AO$3=I$2),'Budget révisé'!$C$8:$AO$496)</f>
        <v>461.18399999999997</v>
      </c>
      <c r="J220" s="320"/>
      <c r="K220" s="195"/>
      <c r="L220" s="197">
        <f>SUMIFS(BV_Data_An_Cour!$P:$P,BV_Data_An_Cour!$U:$U,$B220,BV_Data_An_Cour!$V:$V,$C220,BV_Data_An_Cour!$W:$W,$L$2)</f>
        <v>404.01</v>
      </c>
      <c r="M220" s="320"/>
      <c r="N220" s="321">
        <f t="shared" si="118"/>
        <v>-57.173999999999978</v>
      </c>
      <c r="O220" s="320"/>
      <c r="P220" s="195"/>
      <c r="Q220" s="197">
        <f>SUMIFS(BV_Data_An_Prec!$P:$P,BV_Data_An_Prec!$U:$U,$B220,BV_Data_An_Prec!$V:$V,$C220,BV_Data_An_Prec!$W:$W,$L$2)</f>
        <v>566.02</v>
      </c>
      <c r="R220" s="320"/>
      <c r="S220" s="216">
        <f t="shared" si="119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532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</row>
    <row r="221" spans="1:54" ht="15.75" customHeight="1">
      <c r="A221" s="600" t="str">
        <f t="shared" si="103"/>
        <v>ServiceFrais postaux</v>
      </c>
      <c r="B221" s="24" t="s">
        <v>155</v>
      </c>
      <c r="C221" s="281" t="s">
        <v>131</v>
      </c>
      <c r="D221" s="318"/>
      <c r="E221" s="195"/>
      <c r="F221" s="196">
        <f>+SUMPRODUCT(('Budget original'!$A$8:$A$496=$A221)*('Budget original'!$C$3:$AO$3=F$2),'Budget original'!$C$8:$AO$496)</f>
        <v>207.6</v>
      </c>
      <c r="G221" s="319"/>
      <c r="H221" s="195"/>
      <c r="I221" s="196">
        <f>+SUMPRODUCT(('Budget révisé'!$A$8:$A$496=$A221)*('Budget révisé'!$C$3:$AO$3=I$2),'Budget révisé'!$C$8:$AO$496)</f>
        <v>207.6</v>
      </c>
      <c r="J221" s="320"/>
      <c r="K221" s="195"/>
      <c r="L221" s="197">
        <f>SUMIFS(BV_Data_An_Cour!$P:$P,BV_Data_An_Cour!$U:$U,$B221,BV_Data_An_Cour!$V:$V,$C221,BV_Data_An_Cour!$W:$W,$L$2)</f>
        <v>48.91</v>
      </c>
      <c r="M221" s="320"/>
      <c r="N221" s="321">
        <f t="shared" si="118"/>
        <v>-158.69</v>
      </c>
      <c r="O221" s="320"/>
      <c r="P221" s="195"/>
      <c r="Q221" s="197">
        <f>SUMIFS(BV_Data_An_Prec!$P:$P,BV_Data_An_Prec!$U:$U,$B221,BV_Data_An_Prec!$V:$V,$C221,BV_Data_An_Prec!$W:$W,$L$2)</f>
        <v>157.51</v>
      </c>
      <c r="R221" s="320"/>
      <c r="S221" s="216">
        <f t="shared" si="119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532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</row>
    <row r="222" spans="1:54" ht="15.75" customHeight="1">
      <c r="A222" s="600" t="str">
        <f t="shared" si="103"/>
        <v>ServiceDivers</v>
      </c>
      <c r="B222" s="24" t="s">
        <v>155</v>
      </c>
      <c r="C222" s="281" t="s">
        <v>132</v>
      </c>
      <c r="D222" s="318"/>
      <c r="E222" s="195"/>
      <c r="F222" s="196">
        <f>+SUMPRODUCT(('Budget original'!$A$8:$A$496=$A222)*('Budget original'!$C$3:$AO$3=F$2),'Budget original'!$C$8:$AO$496)</f>
        <v>961.83999999999992</v>
      </c>
      <c r="G222" s="319"/>
      <c r="H222" s="195"/>
      <c r="I222" s="196">
        <f>+SUMPRODUCT(('Budget révisé'!$A$8:$A$496=$A222)*('Budget révisé'!$C$3:$AO$3=I$2),'Budget révisé'!$C$8:$AO$496)</f>
        <v>961.83999999999992</v>
      </c>
      <c r="J222" s="320"/>
      <c r="K222" s="195"/>
      <c r="L222" s="197">
        <f>SUMIFS(BV_Data_An_Cour!$P:$P,BV_Data_An_Cour!$U:$U,$B222,BV_Data_An_Cour!$V:$V,$C222,BV_Data_An_Cour!$W:$W,$L$2)</f>
        <v>189.22</v>
      </c>
      <c r="M222" s="320"/>
      <c r="N222" s="321">
        <f t="shared" si="118"/>
        <v>-772.61999999999989</v>
      </c>
      <c r="O222" s="320"/>
      <c r="P222" s="195"/>
      <c r="Q222" s="197">
        <f>SUMIFS(BV_Data_An_Prec!$P:$P,BV_Data_An_Prec!$U:$U,$B222,BV_Data_An_Prec!$V:$V,$C222,BV_Data_An_Prec!$W:$W,$L$2)</f>
        <v>1278.96</v>
      </c>
      <c r="R222" s="320"/>
      <c r="S222" s="216">
        <f t="shared" si="119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532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</row>
    <row r="223" spans="1:54" ht="15.75" customHeight="1">
      <c r="A223" s="600" t="str">
        <f t="shared" si="103"/>
        <v>ServiceFormation</v>
      </c>
      <c r="B223" s="24" t="s">
        <v>155</v>
      </c>
      <c r="C223" s="281" t="s">
        <v>133</v>
      </c>
      <c r="D223" s="318"/>
      <c r="E223" s="195"/>
      <c r="F223" s="196">
        <f>+SUMPRODUCT(('Budget original'!$A$8:$A$496=$A223)*('Budget original'!$C$3:$AO$3=F$2),'Budget original'!$C$8:$AO$496)</f>
        <v>1391.26</v>
      </c>
      <c r="G223" s="319"/>
      <c r="H223" s="195"/>
      <c r="I223" s="196">
        <f>+SUMPRODUCT(('Budget révisé'!$A$8:$A$496=$A223)*('Budget révisé'!$C$3:$AO$3=I$2),'Budget révisé'!$C$8:$AO$496)</f>
        <v>1391.26</v>
      </c>
      <c r="J223" s="320"/>
      <c r="K223" s="195"/>
      <c r="L223" s="197">
        <f>SUMIFS(BV_Data_An_Cour!$P:$P,BV_Data_An_Cour!$U:$U,$B223,BV_Data_An_Cour!$V:$V,$C223,BV_Data_An_Cour!$W:$W,$L$2)</f>
        <v>708.75</v>
      </c>
      <c r="M223" s="320"/>
      <c r="N223" s="321">
        <f t="shared" si="118"/>
        <v>-682.51</v>
      </c>
      <c r="O223" s="320"/>
      <c r="P223" s="195"/>
      <c r="Q223" s="197">
        <f>SUMIFS(BV_Data_An_Prec!$P:$P,BV_Data_An_Prec!$U:$U,$B223,BV_Data_An_Prec!$V:$V,$C223,BV_Data_An_Prec!$W:$W,$L$2)</f>
        <v>2786.67</v>
      </c>
      <c r="R223" s="320"/>
      <c r="S223" s="216">
        <f t="shared" si="119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532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</row>
    <row r="224" spans="1:54" ht="15.75" customHeight="1">
      <c r="A224" s="600" t="str">
        <f t="shared" si="103"/>
        <v>ServiceFrais bancaires</v>
      </c>
      <c r="B224" s="24" t="s">
        <v>155</v>
      </c>
      <c r="C224" s="281" t="s">
        <v>134</v>
      </c>
      <c r="D224" s="318"/>
      <c r="E224" s="195"/>
      <c r="F224" s="196">
        <f>+SUMPRODUCT(('Budget original'!$A$8:$A$496=$A224)*('Budget original'!$C$3:$AO$3=F$2),'Budget original'!$C$8:$AO$496)</f>
        <v>1565.7553746442611</v>
      </c>
      <c r="G224" s="319"/>
      <c r="H224" s="195"/>
      <c r="I224" s="196">
        <f>+SUMPRODUCT(('Budget révisé'!$A$8:$A$496=$A224)*('Budget révisé'!$C$3:$AO$3=I$2),'Budget révisé'!$C$8:$AO$496)</f>
        <v>1565.7553746442611</v>
      </c>
      <c r="J224" s="320"/>
      <c r="K224" s="195"/>
      <c r="L224" s="1038">
        <f>SUMIFS(BV_Data_An_Cour!$O:$O,BV_Data_An_Cour!$U:$U,$B224,BV_Data_An_Cour!$V:$V,$C224,BV_Data_An_Cour!$W:$W,$L$2)</f>
        <v>0</v>
      </c>
      <c r="M224" s="320"/>
      <c r="N224" s="321">
        <f t="shared" si="118"/>
        <v>-1565.7553746442611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19"/>
        <v>0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532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</row>
    <row r="225" spans="1:54" ht="15.75" customHeight="1">
      <c r="A225" s="600" t="str">
        <f t="shared" si="103"/>
        <v>Service[...]</v>
      </c>
      <c r="B225" s="24" t="s">
        <v>155</v>
      </c>
      <c r="C225" s="281" t="s">
        <v>42</v>
      </c>
      <c r="D225" s="318"/>
      <c r="E225" s="195"/>
      <c r="F225" s="196">
        <f>+SUMPRODUCT(('Budget original'!$A$8:$A$496=$A225)*('Budget original'!$C$3:$AO$3=F$2),'Budget original'!$C$8:$AO$496)</f>
        <v>0</v>
      </c>
      <c r="G225" s="319"/>
      <c r="H225" s="195"/>
      <c r="I225" s="196">
        <f>+SUMPRODUCT(('Budget révisé'!$A$8:$A$496=$A225)*('Budget révisé'!$C$3:$AO$3=I$2),'Budget révisé'!$C$8:$AO$496)</f>
        <v>0</v>
      </c>
      <c r="J225" s="320"/>
      <c r="K225" s="195"/>
      <c r="L225" s="197">
        <f>SUMIFS(BV_Data_An_Cour!$P:$P,BV_Data_An_Cour!$U:$U,$B225,BV_Data_An_Cour!$V:$V,$C225,BV_Data_An_Cour!$W:$W,$L$2)</f>
        <v>0</v>
      </c>
      <c r="M225" s="320"/>
      <c r="N225" s="321">
        <f t="shared" si="118"/>
        <v>0</v>
      </c>
      <c r="O225" s="320"/>
      <c r="P225" s="195"/>
      <c r="Q225" s="197">
        <f>SUMIFS(BV_Data_An_Prec!$P:$P,BV_Data_An_Prec!$U:$U,$B225,BV_Data_An_Prec!$V:$V,$C225,BV_Data_An_Prec!$W:$W,$L$2)</f>
        <v>0</v>
      </c>
      <c r="R225" s="320"/>
      <c r="S225" s="216">
        <f t="shared" si="119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532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</row>
    <row r="226" spans="1:54" ht="15.75" customHeight="1">
      <c r="A226" s="600" t="str">
        <f t="shared" ref="A226" si="125">+B226&amp;C226</f>
        <v>Service[...]</v>
      </c>
      <c r="B226" s="24" t="s">
        <v>155</v>
      </c>
      <c r="C226" s="281" t="s">
        <v>42</v>
      </c>
      <c r="D226" s="318"/>
      <c r="E226" s="195"/>
      <c r="F226" s="196">
        <f>+SUMPRODUCT(('Budget original'!$A$8:$A$496=$A226)*('Budget original'!$C$3:$AO$3=F$2),'Budget original'!$C$8:$AO$496)</f>
        <v>0</v>
      </c>
      <c r="G226" s="319"/>
      <c r="H226" s="195"/>
      <c r="I226" s="196">
        <f>+SUMPRODUCT(('Budget révisé'!$A$8:$A$496=$A226)*('Budget révisé'!$C$3:$AO$3=I$2),'Budget révisé'!$C$8:$AO$496)</f>
        <v>0</v>
      </c>
      <c r="J226" s="320"/>
      <c r="K226" s="195"/>
      <c r="L226" s="197">
        <f>SUMIFS(BV_Data_An_Cour!$P:$P,BV_Data_An_Cour!$U:$U,$B226,BV_Data_An_Cour!$V:$V,$C226,BV_Data_An_Cour!$W:$W,$L$2)</f>
        <v>0</v>
      </c>
      <c r="M226" s="320"/>
      <c r="N226" s="321">
        <f t="shared" ref="N226" si="126">L226-I226</f>
        <v>0</v>
      </c>
      <c r="O226" s="320"/>
      <c r="P226" s="195"/>
      <c r="Q226" s="197">
        <f>SUMIFS(BV_Data_An_Prec!$P:$P,BV_Data_An_Prec!$U:$U,$B226,BV_Data_An_Prec!$V:$V,$C226,BV_Data_An_Prec!$W:$W,$L$2)</f>
        <v>0</v>
      </c>
      <c r="R226" s="320"/>
      <c r="S226" s="216">
        <f t="shared" ref="S226" si="127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532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</row>
    <row r="227" spans="1:54" ht="15.75" customHeight="1">
      <c r="A227" s="600" t="str">
        <f t="shared" si="103"/>
        <v>Service[...]</v>
      </c>
      <c r="B227" s="24" t="s">
        <v>155</v>
      </c>
      <c r="C227" s="281" t="s">
        <v>42</v>
      </c>
      <c r="D227" s="318"/>
      <c r="E227" s="195"/>
      <c r="F227" s="196">
        <f>+SUMPRODUCT(('Budget original'!$A$8:$A$496=$A227)*('Budget original'!$C$3:$AO$3=F$2),'Budget original'!$C$8:$AO$496)</f>
        <v>0</v>
      </c>
      <c r="G227" s="319"/>
      <c r="H227" s="195"/>
      <c r="I227" s="196">
        <f>+SUMPRODUCT(('Budget révisé'!$A$8:$A$496=$A227)*('Budget révisé'!$C$3:$AO$3=I$2),'Budget révisé'!$C$8:$AO$496)</f>
        <v>0</v>
      </c>
      <c r="J227" s="320"/>
      <c r="K227" s="195"/>
      <c r="L227" s="197">
        <f>SUMIFS(BV_Data_An_Cour!$P:$P,BV_Data_An_Cour!$U:$U,$B227,BV_Data_An_Cour!$V:$V,$C227,BV_Data_An_Cour!$W:$W,$L$2)</f>
        <v>0</v>
      </c>
      <c r="M227" s="320"/>
      <c r="N227" s="321">
        <f t="shared" si="118"/>
        <v>0</v>
      </c>
      <c r="O227" s="320"/>
      <c r="P227" s="195"/>
      <c r="Q227" s="197">
        <f>SUMIFS(BV_Data_An_Prec!$P:$P,BV_Data_An_Prec!$U:$U,$B227,BV_Data_An_Prec!$V:$V,$C227,BV_Data_An_Prec!$W:$W,$L$2)</f>
        <v>0</v>
      </c>
      <c r="R227" s="320"/>
      <c r="S227" s="216">
        <f t="shared" si="119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532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</row>
    <row r="228" spans="1:54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0.25805760642450781</v>
      </c>
      <c r="L228" s="41">
        <f>+SUM(L210:L227)</f>
        <v>27889.87</v>
      </c>
      <c r="M228" s="44"/>
      <c r="N228" s="41">
        <f t="shared" si="118"/>
        <v>-13799.598828920392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si="119"/>
        <v>-17610.38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532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</row>
    <row r="229" spans="1:54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532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</row>
    <row r="230" spans="1:54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1.0269619177738956</v>
      </c>
      <c r="L230" s="41">
        <f>L209+L228</f>
        <v>110990.08</v>
      </c>
      <c r="M230" s="44"/>
      <c r="N230" s="46">
        <f t="shared" ref="N230:N232" si="128">L230-I230</f>
        <v>-41890.774517122787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-22113.579999999973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532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</row>
    <row r="231" spans="1:54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28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532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</row>
    <row r="232" spans="1:54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-2913.9400000000169</v>
      </c>
      <c r="M232" s="362"/>
      <c r="N232" s="360">
        <f t="shared" si="128"/>
        <v>24306.349515737209</v>
      </c>
      <c r="O232" s="362"/>
      <c r="P232" s="363"/>
      <c r="Q232" s="360">
        <f>Q193-Q230</f>
        <v>-11951.619999999981</v>
      </c>
      <c r="R232" s="362"/>
      <c r="S232" s="364">
        <f>L232-Q232</f>
        <v>9037.6799999999639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532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532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532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2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8"/>
      <c r="AK236" s="538"/>
      <c r="AL236" s="538"/>
      <c r="AM236" s="539"/>
      <c r="AN236" s="539"/>
      <c r="AO236" s="532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</row>
    <row r="237" spans="1:54" ht="15.75" customHeight="1" thickTop="1">
      <c r="B237" s="24"/>
      <c r="C237" s="280"/>
      <c r="D237" s="1105" t="s">
        <v>77</v>
      </c>
      <c r="E237" s="1106"/>
      <c r="F237" s="1107"/>
      <c r="G237" s="1108" t="s">
        <v>145</v>
      </c>
      <c r="H237" s="1106"/>
      <c r="I237" s="1107"/>
      <c r="J237" s="1108" t="s">
        <v>79</v>
      </c>
      <c r="K237" s="1106"/>
      <c r="L237" s="1107"/>
      <c r="M237" s="1108" t="s">
        <v>80</v>
      </c>
      <c r="N237" s="1107"/>
      <c r="O237" s="1105" t="s">
        <v>81</v>
      </c>
      <c r="P237" s="1106"/>
      <c r="Q237" s="1107"/>
      <c r="R237" s="1108" t="s">
        <v>82</v>
      </c>
      <c r="S237" s="1109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37"/>
      <c r="AK237" s="537"/>
      <c r="AL237" s="537"/>
      <c r="AM237" s="540"/>
      <c r="AN237" s="540"/>
      <c r="AO237" s="532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</row>
    <row r="238" spans="1:54" ht="15.75" customHeight="1">
      <c r="A238" s="600" t="str">
        <f t="shared" ref="A238:A283" si="129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39"/>
      <c r="AK238" s="239"/>
      <c r="AL238" s="239"/>
      <c r="AM238" s="250"/>
      <c r="AN238" s="250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</row>
    <row r="239" spans="1:54" ht="15.75" customHeight="1">
      <c r="A239" s="600" t="str">
        <f t="shared" si="129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39"/>
      <c r="AK239" s="239"/>
      <c r="AL239" s="239"/>
      <c r="AM239" s="250"/>
      <c r="AN239" s="250"/>
      <c r="AO239" s="532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</row>
    <row r="240" spans="1:54" ht="15.75" customHeight="1">
      <c r="A240" s="600" t="str">
        <f t="shared" si="129"/>
        <v>CarrosserieM/O Sous-traitement</v>
      </c>
      <c r="B240" s="24" t="s">
        <v>171</v>
      </c>
      <c r="C240" s="568" t="s">
        <v>172</v>
      </c>
      <c r="D240" s="283">
        <f>+SUMPRODUCT(('Budget original'!$A$8:$A$496=$A240)*('Budget original'!$C$3:$AO$3=D$2),'Budget original'!$C$8:$AO$496)</f>
        <v>0</v>
      </c>
      <c r="E240" s="214">
        <f>+SUMPRODUCT(('Budget original'!$A$8:$A$496=$A240)*('Budget original'!$C$3:$AO$3=E$2),'Budget original'!$C$8:$AO$496)</f>
        <v>78517.102612357092</v>
      </c>
      <c r="F240" s="214">
        <f>+SUMPRODUCT(('Budget original'!$A$8:$A$496=$A240)*('Budget original'!$C$3:$AO$3=F$2),'Budget original'!$C$8:$AO$496)</f>
        <v>17889.166892491088</v>
      </c>
      <c r="G240" s="365">
        <f>+SUMPRODUCT(('Budget révisé'!$A$8:$A$496=$A240)*('Budget révisé'!$C$3:$AO$3=G$2),'Budget révisé'!$C$8:$AO$496)</f>
        <v>0</v>
      </c>
      <c r="H240" s="214">
        <f>+SUMPRODUCT(('Budget révisé'!$A$8:$A$496=$A240)*('Budget révisé'!$C$3:$AO$3=H$2),'Budget révisé'!$C$8:$AO$496)</f>
        <v>78517.102612357092</v>
      </c>
      <c r="I240" s="214">
        <f>+SUMPRODUCT(('Budget révisé'!$A$8:$A$496=$A240)*('Budget révisé'!$C$3:$AO$3=I$2),'Budget révisé'!$C$8:$AO$496)</f>
        <v>17889.166892491088</v>
      </c>
      <c r="J240" s="342">
        <f>-SUMIFS(BV_Data_An_Cour!$P:$P,BV_Data_An_Cour!$U:$U,$B240,BV_Data_An_Cour!$V:$V,$C240,BV_Data_An_Cour!$W:$W,J$2)</f>
        <v>59</v>
      </c>
      <c r="K240" s="196">
        <f>-SUMIFS(BV_Data_An_Cour!$P:$P,BV_Data_An_Cour!$X:$X,"Oui",BV_Data_An_Cour!$U:$U,$B240,BV_Data_An_Cour!$V:$V,$C240)</f>
        <v>103646.92</v>
      </c>
      <c r="L240" s="197">
        <f>-SUMIFS(BV_Data_An_Cour!$P:$P,BV_Data_An_Cour!$U:$U,$B240,BV_Data_An_Cour!$V:$V,$C240,BV_Data_An_Cour!$W:$W,$L$2)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-SUMIFS(BV_Data_An_Prec!$P:$P,BV_Data_An_Prec!$U:$U,$B240,BV_Data_An_Prec!$V:$V,$C240,BV_Data_An_Prec!$W:$W,O$2)</f>
        <v>67</v>
      </c>
      <c r="P240" s="196">
        <f>-SUMIFS(BV_Data_An_Prec!$P:$P,BV_Data_An_Prec!$X:$X,"Oui",BV_Data_An_Prec!$U:$U,$B240,BV_Data_An_Prec!$V:$V,$C240)</f>
        <v>101988.53</v>
      </c>
      <c r="Q240" s="197">
        <f>-SUMIFS(BV_Data_An_Prec!$P:$P,BV_Data_An_Prec!$U:$U,$B240,BV_Data_An_Prec!$V:$V,$C240,BV_Data_An_Prec!$W:$W,$L$2)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39"/>
      <c r="AK240" s="239"/>
      <c r="AL240" s="239"/>
      <c r="AM240" s="250"/>
      <c r="AN240" s="250"/>
      <c r="AO240" s="532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</row>
    <row r="241" spans="1:54" ht="15.75" customHeight="1">
      <c r="A241" s="600" t="str">
        <f t="shared" si="129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39"/>
      <c r="AK241" s="239"/>
      <c r="AL241" s="239"/>
      <c r="AM241" s="250"/>
      <c r="AN241" s="250"/>
      <c r="AO241" s="532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</row>
    <row r="242" spans="1:54" ht="15.75" customHeight="1">
      <c r="A242" s="600" t="str">
        <f t="shared" si="129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39"/>
      <c r="AK242" s="239"/>
      <c r="AL242" s="239"/>
      <c r="AM242" s="250"/>
      <c r="AN242" s="250"/>
      <c r="AO242" s="532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</row>
    <row r="243" spans="1:54" ht="15.75" customHeight="1">
      <c r="A243" s="600" t="str">
        <f t="shared" si="129"/>
        <v>CarrosserieM/O Carrosserie</v>
      </c>
      <c r="B243" s="24" t="s">
        <v>171</v>
      </c>
      <c r="C243" s="368" t="s">
        <v>173</v>
      </c>
      <c r="D243" s="369">
        <f>+SUMPRODUCT(('Budget original'!$A$8:$A$496=$A243)*('Budget original'!$C$3:$AO$3=D$2),'Budget original'!$C$8:$AO$496)</f>
        <v>0</v>
      </c>
      <c r="E243" s="214">
        <f>+SUMPRODUCT(('Budget original'!$A$8:$A$496=$A243)*('Budget original'!$C$3:$AO$3=E$2),'Budget original'!$C$8:$AO$496)</f>
        <v>0</v>
      </c>
      <c r="F243" s="214">
        <f>+SUMPRODUCT(('Budget original'!$A$8:$A$496=$A243)*('Budget original'!$C$3:$AO$3=F$2),'Budget original'!$C$8:$AO$496)</f>
        <v>0</v>
      </c>
      <c r="G243" s="370">
        <f>+SUMPRODUCT(('Budget révisé'!$A$8:$A$496=$A243)*('Budget révisé'!$C$3:$AO$3=G$2),'Budget révisé'!$C$8:$AO$496)</f>
        <v>0</v>
      </c>
      <c r="H243" s="214">
        <f>+SUMPRODUCT(('Budget révisé'!$A$8:$A$496=$A243)*('Budget révisé'!$C$3:$AO$3=H$2),'Budget révisé'!$C$8:$AO$496)</f>
        <v>0</v>
      </c>
      <c r="I243" s="214">
        <f>+SUMPRODUCT(('Budget révisé'!$A$8:$A$496=$A243)*('Budget révisé'!$C$3:$AO$3=I$2),'Budget révisé'!$C$8:$AO$496)</f>
        <v>0</v>
      </c>
      <c r="J243" s="371">
        <f>SUMIFS(BV_Data_An_Cour!$C$1:$C$637,BV_Data_An_Cour!$V$1:$V$637,$C243,BV_Data_An_Cour!$U$1:$U$637,$K$235)</f>
        <v>0</v>
      </c>
      <c r="K243" s="203">
        <f>-SUMIFS(BV_Data_An_Cour!$P:$P,BV_Data_An_Cour!$X:$X,"Oui",BV_Data_An_Cour!$U:$U,$B243,BV_Data_An_Cour!$V:$V,$C243)</f>
        <v>0</v>
      </c>
      <c r="L243" s="198">
        <f>-SUMIFS(BV_Data_An_Cour!$P:$P,BV_Data_An_Cour!$U:$U,$B243,BV_Data_An_Cour!$V:$V,$C243,BV_Data_An_Cour!$W:$W,$L$2)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-SUMIFS(BV_Data_An_Prec!$P:$P,BV_Data_An_Prec!$X:$X,"Oui",BV_Data_An_Prec!$U:$U,$B243,BV_Data_An_Prec!$V:$V,$C243)</f>
        <v>0</v>
      </c>
      <c r="Q243" s="198">
        <f>-SUMIFS(BV_Data_An_Prec!$P:$P,BV_Data_An_Prec!$U:$U,$B243,BV_Data_An_Prec!$V:$V,$C243,BV_Data_An_Prec!$W:$W,$L$2)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39"/>
      <c r="AK243" s="239"/>
      <c r="AL243" s="239"/>
      <c r="AM243" s="250"/>
      <c r="AN243" s="250"/>
      <c r="AO243" s="532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</row>
    <row r="244" spans="1:54" ht="15.75" customHeight="1">
      <c r="A244" s="600" t="str">
        <f t="shared" si="129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39"/>
      <c r="AK244" s="239"/>
      <c r="AL244" s="239"/>
      <c r="AM244" s="250"/>
      <c r="AN244" s="250"/>
      <c r="AO244" s="532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</row>
    <row r="245" spans="1:54" ht="15.75" customHeight="1">
      <c r="A245" s="600" t="str">
        <f t="shared" si="129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39"/>
      <c r="AK245" s="239"/>
      <c r="AL245" s="239"/>
      <c r="AM245" s="250"/>
      <c r="AN245" s="250"/>
      <c r="AO245" s="532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</row>
    <row r="246" spans="1:54" ht="15.75" customHeight="1">
      <c r="A246" s="600" t="str">
        <f t="shared" si="129"/>
        <v>CarrosserieM/O Esthétique Carr.</v>
      </c>
      <c r="B246" s="24" t="s">
        <v>171</v>
      </c>
      <c r="C246" s="368" t="s">
        <v>174</v>
      </c>
      <c r="D246" s="374">
        <f>+SUMPRODUCT(('Budget original'!$A$8:$A$496=$A246)*('Budget original'!$C$3:$AO$3=D$2),'Budget original'!$C$8:$AO$496)</f>
        <v>0</v>
      </c>
      <c r="E246" s="214">
        <f>+SUMPRODUCT(('Budget original'!$A$8:$A$496=$A246)*('Budget original'!$C$3:$AO$3=E$2),'Budget original'!$C$8:$AO$496)</f>
        <v>0</v>
      </c>
      <c r="F246" s="214">
        <f>+SUMPRODUCT(('Budget original'!$A$8:$A$496=$A246)*('Budget original'!$C$3:$AO$3=F$2),'Budget original'!$C$8:$AO$496)</f>
        <v>0</v>
      </c>
      <c r="G246" s="371">
        <f>+SUMPRODUCT(('Budget révisé'!$A$8:$A$496=$A246)*('Budget révisé'!$C$3:$AO$3=G$2),'Budget révisé'!$C$8:$AO$496)</f>
        <v>0</v>
      </c>
      <c r="H246" s="214">
        <f>+SUMPRODUCT(('Budget révisé'!$A$8:$A$496=$A246)*('Budget révisé'!$C$3:$AO$3=H$2),'Budget révisé'!$C$8:$AO$496)</f>
        <v>0</v>
      </c>
      <c r="I246" s="214">
        <f>+SUMPRODUCT(('Budget révisé'!$A$8:$A$496=$A246)*('Budget révisé'!$C$3:$AO$3=I$2),'Budget révisé'!$C$8:$AO$496)</f>
        <v>0</v>
      </c>
      <c r="J246" s="371">
        <f>SUMIFS(BV_Data_An_Cour!$C$1:$C$637,BV_Data_An_Cour!$V$1:$V$637,$C246,BV_Data_An_Cour!$U$1:$U$637,$K$235)</f>
        <v>0</v>
      </c>
      <c r="K246" s="196">
        <f>-SUMIFS(BV_Data_An_Cour!$P:$P,BV_Data_An_Cour!$X:$X,"Oui",BV_Data_An_Cour!$U:$U,$B246,BV_Data_An_Cour!$V:$V,$C246)</f>
        <v>0</v>
      </c>
      <c r="L246" s="197">
        <f>-SUMIFS(BV_Data_An_Cour!$P:$P,BV_Data_An_Cour!$U:$U,$B246,BV_Data_An_Cour!$V:$V,$C246,BV_Data_An_Cour!$W:$W,$L$2)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-SUMIFS(BV_Data_An_Prec!$P:$P,BV_Data_An_Prec!$X:$X,"Oui",BV_Data_An_Prec!$U:$U,$B246,BV_Data_An_Prec!$V:$V,$C246)</f>
        <v>0</v>
      </c>
      <c r="Q246" s="197">
        <f>-SUMIFS(BV_Data_An_Prec!$P:$P,BV_Data_An_Prec!$U:$U,$B246,BV_Data_An_Prec!$V:$V,$C246,BV_Data_An_Prec!$W:$W,$L$2)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39"/>
      <c r="AK246" s="239"/>
      <c r="AL246" s="239"/>
      <c r="AM246" s="250"/>
      <c r="AN246" s="250"/>
      <c r="AO246" s="532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</row>
    <row r="247" spans="1:54" ht="15.75" customHeight="1">
      <c r="A247" s="600" t="str">
        <f t="shared" si="129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39"/>
      <c r="AK247" s="239"/>
      <c r="AL247" s="239"/>
      <c r="AM247" s="250"/>
      <c r="AN247" s="250"/>
      <c r="AO247" s="532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</row>
    <row r="248" spans="1:54" ht="15.75" customHeight="1" thickBot="1">
      <c r="A248" s="600" t="str">
        <f t="shared" si="129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39"/>
      <c r="AK248" s="239"/>
      <c r="AL248" s="239"/>
      <c r="AM248" s="250"/>
      <c r="AN248" s="250"/>
      <c r="AO248" s="532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</row>
    <row r="249" spans="1:54" ht="15.75" customHeight="1" thickTop="1">
      <c r="A249" s="600" t="str">
        <f t="shared" si="129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0">E243+E246+E240</f>
        <v>78517.102612357092</v>
      </c>
      <c r="F249" s="28">
        <f t="shared" si="130"/>
        <v>17889.166892491088</v>
      </c>
      <c r="G249" s="29"/>
      <c r="H249" s="26">
        <f t="shared" ref="H249:I249" si="131">H243+H246+H240</f>
        <v>78517.102612357092</v>
      </c>
      <c r="I249" s="28">
        <f t="shared" si="131"/>
        <v>17889.166892491088</v>
      </c>
      <c r="J249" s="29"/>
      <c r="K249" s="26">
        <f t="shared" ref="K249:L249" si="132">K243+K246+K240</f>
        <v>103646.92</v>
      </c>
      <c r="L249" s="28">
        <f t="shared" si="132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33">P243+P246+P240</f>
        <v>101988.53</v>
      </c>
      <c r="Q249" s="28">
        <f t="shared" si="133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39"/>
      <c r="AK249" s="239"/>
      <c r="AL249" s="239"/>
      <c r="AM249" s="250"/>
      <c r="AN249" s="250"/>
      <c r="AO249" s="532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</row>
    <row r="250" spans="1:54" ht="23.25" customHeight="1" thickBot="1">
      <c r="A250" s="600" t="str">
        <f t="shared" si="129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39"/>
      <c r="AK250" s="239"/>
      <c r="AL250" s="239"/>
      <c r="AM250" s="250"/>
      <c r="AN250" s="250"/>
      <c r="AO250" s="532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</row>
    <row r="251" spans="1:54" ht="15.75" customHeight="1" thickTop="1">
      <c r="A251" s="600" t="str">
        <f t="shared" si="129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39"/>
      <c r="AK251" s="239"/>
      <c r="AL251" s="239"/>
      <c r="AM251" s="250"/>
      <c r="AN251" s="250"/>
      <c r="AO251" s="532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</row>
    <row r="252" spans="1:54" ht="15.75" customHeight="1">
      <c r="A252" s="600" t="str">
        <f t="shared" si="129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39"/>
      <c r="AK252" s="239"/>
      <c r="AL252" s="239"/>
      <c r="AM252" s="250"/>
      <c r="AN252" s="250"/>
      <c r="AO252" s="532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</row>
    <row r="253" spans="1:54" ht="15.75" customHeight="1">
      <c r="A253" s="600" t="str">
        <f t="shared" si="129"/>
        <v>CarrosserieSalaires cadres</v>
      </c>
      <c r="B253" s="24" t="s">
        <v>171</v>
      </c>
      <c r="C253" s="297" t="s">
        <v>112</v>
      </c>
      <c r="D253" s="250"/>
      <c r="E253" s="250"/>
      <c r="F253" s="248">
        <f>+SUMPRODUCT(('Budget original'!$A$8:$A$496=$A253)*('Budget original'!$C$3:$AO$3=F$2),'Budget original'!$C$8:$AO$496)</f>
        <v>283.27471264367819</v>
      </c>
      <c r="G253" s="244"/>
      <c r="H253" s="250"/>
      <c r="I253" s="248">
        <f>+SUMPRODUCT(('Budget révisé'!$A$8:$A$496=$A253)*('Budget révisé'!$C$3:$AO$3=I$2),'Budget révisé'!$C$8:$AO$496)</f>
        <v>283.27471264367819</v>
      </c>
      <c r="J253" s="244"/>
      <c r="K253" s="250"/>
      <c r="L253" s="298">
        <f>SUMIFS(BV_Data_An_Cour!$P:$P,BV_Data_An_Cour!$U:$U,$B253,BV_Data_An_Cour!$V:$V,$C253,BV_Data_An_Cour!$W:$W,$L$2)</f>
        <v>809.12</v>
      </c>
      <c r="M253" s="244"/>
      <c r="N253" s="295"/>
      <c r="O253" s="244"/>
      <c r="P253" s="250"/>
      <c r="Q253" s="298">
        <f>SUMIFS(BV_Data_An_Prec!$P:$P,BV_Data_An_Prec!$U:$U,$B253,BV_Data_An_Prec!$V:$V,$C253,BV_Data_An_Prec!$W:$W,$L$2)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39"/>
      <c r="AK253" s="239"/>
      <c r="AL253" s="239"/>
      <c r="AM253" s="250"/>
      <c r="AN253" s="250"/>
      <c r="AO253" s="532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</row>
    <row r="254" spans="1:54" ht="15.75" customHeight="1">
      <c r="A254" s="600" t="str">
        <f t="shared" si="129"/>
        <v>CarrosserieSalaires commis</v>
      </c>
      <c r="B254" s="24" t="s">
        <v>171</v>
      </c>
      <c r="C254" s="299" t="s">
        <v>113</v>
      </c>
      <c r="D254" s="279"/>
      <c r="E254" s="250"/>
      <c r="F254" s="261">
        <f>+SUMPRODUCT(('Budget original'!$A$8:$A$496=$A254)*('Budget original'!$C$3:$AO$3=F$2),'Budget original'!$C$8:$AO$496)</f>
        <v>531.86002864367822</v>
      </c>
      <c r="G254" s="300"/>
      <c r="H254" s="250"/>
      <c r="I254" s="261">
        <f>+SUMPRODUCT(('Budget révisé'!$A$8:$A$496=$A254)*('Budget révisé'!$C$3:$AO$3=I$2),'Budget révisé'!$C$8:$AO$496)</f>
        <v>531.86002864367822</v>
      </c>
      <c r="J254" s="244"/>
      <c r="K254" s="250"/>
      <c r="L254" s="298">
        <f>SUMIFS(BV_Data_An_Cour!$P:$P,BV_Data_An_Cour!$U:$U,$B254,BV_Data_An_Cour!$V:$V,$C254,BV_Data_An_Cour!$W:$W,$L$2)</f>
        <v>1179.27</v>
      </c>
      <c r="M254" s="244"/>
      <c r="N254" s="249">
        <f t="shared" ref="N254:N283" si="134">L254-I254</f>
        <v>647.40997135632176</v>
      </c>
      <c r="O254" s="244"/>
      <c r="P254" s="250"/>
      <c r="Q254" s="298">
        <f>SUMIFS(BV_Data_An_Prec!$P:$P,BV_Data_An_Prec!$U:$U,$B254,BV_Data_An_Prec!$V:$V,$C254,BV_Data_An_Prec!$W:$W,$L$2)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39"/>
      <c r="AK254" s="239"/>
      <c r="AL254" s="239"/>
      <c r="AM254" s="250"/>
      <c r="AN254" s="250"/>
      <c r="AO254" s="532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</row>
    <row r="255" spans="1:54" ht="15.75" customHeight="1">
      <c r="A255" s="600" t="str">
        <f t="shared" si="129"/>
        <v>CarrosserieSalaires autres</v>
      </c>
      <c r="B255" s="24" t="s">
        <v>171</v>
      </c>
      <c r="C255" s="297" t="s">
        <v>114</v>
      </c>
      <c r="D255" s="302"/>
      <c r="E255" s="303"/>
      <c r="F255" s="248">
        <f>+SUMPRODUCT(('Budget original'!$A$8:$A$496=$A255)*('Budget original'!$C$3:$AO$3=F$2),'Budget original'!$C$8:$AO$496)</f>
        <v>3297.5117336643675</v>
      </c>
      <c r="G255" s="304"/>
      <c r="H255" s="303"/>
      <c r="I255" s="248">
        <f>+SUMPRODUCT(('Budget révisé'!$A$8:$A$496=$A255)*('Budget révisé'!$C$3:$AO$3=I$2),'Budget révisé'!$C$8:$AO$496)</f>
        <v>3297.5117336643675</v>
      </c>
      <c r="J255" s="305"/>
      <c r="K255" s="303"/>
      <c r="L255" s="262">
        <f>SUMIFS(BV_Data_An_Cour!$P:$P,BV_Data_An_Cour!$U:$U,$B255,BV_Data_An_Cour!$V:$V,$C255,BV_Data_An_Cour!$W:$W,$L$2)</f>
        <v>3336.87</v>
      </c>
      <c r="M255" s="305"/>
      <c r="N255" s="306">
        <f t="shared" si="134"/>
        <v>39.358266335632379</v>
      </c>
      <c r="O255" s="305"/>
      <c r="P255" s="303"/>
      <c r="Q255" s="262">
        <f>SUMIFS(BV_Data_An_Prec!$P:$P,BV_Data_An_Prec!$U:$U,$B255,BV_Data_An_Prec!$V:$V,$C255,BV_Data_An_Prec!$W:$W,$L$2)</f>
        <v>3344.8</v>
      </c>
      <c r="R255" s="305"/>
      <c r="S255" s="307">
        <f t="shared" ref="S255:S284" si="135">L255-Q255</f>
        <v>-7.930000000000291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39"/>
      <c r="AK255" s="239"/>
      <c r="AL255" s="239"/>
      <c r="AM255" s="250"/>
      <c r="AN255" s="250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</row>
    <row r="256" spans="1:54" ht="15.75" customHeight="1">
      <c r="A256" s="600" t="str">
        <f t="shared" si="129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+SUMPRODUCT(('Budget original'!$A$8:$A$496=$A256)*('Budget original'!$C$3:$AO$3=F$2),'Budget original'!$C$8:$AO$496)</f>
        <v>3462.0771724137931</v>
      </c>
      <c r="G256" s="300"/>
      <c r="H256" s="250"/>
      <c r="I256" s="248">
        <f>+SUMPRODUCT(('Budget révisé'!$A$8:$A$496=$A256)*('Budget révisé'!$C$3:$AO$3=I$2),'Budget révisé'!$C$8:$AO$496)</f>
        <v>3462.0771724137931</v>
      </c>
      <c r="J256" s="244"/>
      <c r="K256" s="250"/>
      <c r="L256" s="298">
        <f>SUMIFS(BV_Data_An_Cour!$P:$P,BV_Data_An_Cour!$U:$U,$B256,BV_Data_An_Cour!$V:$V,$C256,BV_Data_An_Cour!$W:$W,$L$2)</f>
        <v>3432.72</v>
      </c>
      <c r="M256" s="244"/>
      <c r="N256" s="249">
        <f t="shared" si="134"/>
        <v>-29.357172413793251</v>
      </c>
      <c r="O256" s="244"/>
      <c r="P256" s="250"/>
      <c r="Q256" s="298">
        <f>SUMIFS(BV_Data_An_Prec!$P:$P,BV_Data_An_Prec!$U:$U,$B256,BV_Data_An_Prec!$V:$V,$C256,BV_Data_An_Prec!$W:$W,$L$2)</f>
        <v>3065.11</v>
      </c>
      <c r="R256" s="244"/>
      <c r="S256" s="301">
        <f t="shared" si="135"/>
        <v>367.60999999999967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39"/>
      <c r="AK256" s="239"/>
      <c r="AL256" s="239"/>
      <c r="AM256" s="250"/>
      <c r="AN256" s="250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</row>
    <row r="257" spans="1:54" ht="15.75" customHeight="1">
      <c r="A257" s="600" t="str">
        <f t="shared" si="129"/>
        <v>Carrosserie[...]</v>
      </c>
      <c r="B257" s="24" t="s">
        <v>171</v>
      </c>
      <c r="C257" s="308" t="s">
        <v>42</v>
      </c>
      <c r="D257" s="279"/>
      <c r="E257" s="250"/>
      <c r="F257" s="248">
        <f>+SUMPRODUCT(('Budget original'!$A$8:$A$496=$A257)*('Budget original'!$C$3:$AO$3=F$2),'Budget original'!$C$8:$AO$496)</f>
        <v>0</v>
      </c>
      <c r="G257" s="300"/>
      <c r="H257" s="250"/>
      <c r="I257" s="248">
        <f>+SUMPRODUCT(('Budget révisé'!$A$8:$A$496=$A257)*('Budget révisé'!$C$3:$AO$3=I$2),'Budget révisé'!$C$8:$AO$496)</f>
        <v>0</v>
      </c>
      <c r="J257" s="244"/>
      <c r="K257" s="250"/>
      <c r="L257" s="298">
        <f>SUMIFS(BV_Data_An_Cour!$P:$P,BV_Data_An_Cour!$U:$U,$B257,BV_Data_An_Cour!$V:$V,$C257,BV_Data_An_Cour!$W:$W,$L$2)</f>
        <v>0</v>
      </c>
      <c r="M257" s="244"/>
      <c r="N257" s="249">
        <f t="shared" si="134"/>
        <v>0</v>
      </c>
      <c r="O257" s="244"/>
      <c r="P257" s="250"/>
      <c r="Q257" s="298">
        <f>SUMIFS(BV_Data_An_Prec!$P:$P,BV_Data_An_Prec!$U:$U,$B257,BV_Data_An_Prec!$V:$V,$C257,BV_Data_An_Prec!$W:$W,$L$2)</f>
        <v>0</v>
      </c>
      <c r="R257" s="244"/>
      <c r="S257" s="301">
        <f t="shared" si="135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39"/>
      <c r="AK257" s="239"/>
      <c r="AL257" s="239"/>
      <c r="AM257" s="250"/>
      <c r="AN257" s="250"/>
      <c r="AO257" s="532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</row>
    <row r="258" spans="1:54" ht="15.75" customHeight="1">
      <c r="A258" s="600" t="str">
        <f t="shared" si="129"/>
        <v>Carrosserie[...]</v>
      </c>
      <c r="B258" s="24" t="s">
        <v>171</v>
      </c>
      <c r="C258" s="308" t="s">
        <v>42</v>
      </c>
      <c r="D258" s="279"/>
      <c r="E258" s="250"/>
      <c r="F258" s="248">
        <f>+SUMPRODUCT(('Budget original'!$A$8:$A$496=$A258)*('Budget original'!$C$3:$AO$3=F$2),'Budget original'!$C$8:$AO$496)</f>
        <v>0</v>
      </c>
      <c r="G258" s="300"/>
      <c r="H258" s="250"/>
      <c r="I258" s="248">
        <f>+SUMPRODUCT(('Budget révisé'!$A$8:$A$496=$A258)*('Budget révisé'!$C$3:$AO$3=I$2),'Budget révisé'!$C$8:$AO$496)</f>
        <v>0</v>
      </c>
      <c r="J258" s="244"/>
      <c r="K258" s="250"/>
      <c r="L258" s="298">
        <f>SUMIFS(BV_Data_An_Cour!$P:$P,BV_Data_An_Cour!$U:$U,$B258,BV_Data_An_Cour!$V:$V,$C258,BV_Data_An_Cour!$W:$W,$L$2)</f>
        <v>0</v>
      </c>
      <c r="M258" s="244"/>
      <c r="N258" s="249">
        <f t="shared" si="134"/>
        <v>0</v>
      </c>
      <c r="O258" s="244"/>
      <c r="P258" s="250"/>
      <c r="Q258" s="298">
        <f>SUMIFS(BV_Data_An_Prec!$P:$P,BV_Data_An_Prec!$U:$U,$B258,BV_Data_An_Prec!$V:$V,$C258,BV_Data_An_Prec!$W:$W,$L$2)</f>
        <v>0</v>
      </c>
      <c r="R258" s="244"/>
      <c r="S258" s="301">
        <f t="shared" si="135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39"/>
      <c r="AK258" s="239"/>
      <c r="AL258" s="239"/>
      <c r="AM258" s="250"/>
      <c r="AN258" s="250"/>
      <c r="AO258" s="532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</row>
    <row r="259" spans="1:54" ht="15.75" customHeight="1">
      <c r="A259" s="600" t="str">
        <f t="shared" si="129"/>
        <v>Carrosserie[...]</v>
      </c>
      <c r="B259" s="24" t="s">
        <v>171</v>
      </c>
      <c r="C259" s="308" t="s">
        <v>42</v>
      </c>
      <c r="D259" s="279"/>
      <c r="E259" s="250"/>
      <c r="F259" s="248">
        <f>+SUMPRODUCT(('Budget original'!$A$8:$A$496=$A259)*('Budget original'!$C$3:$AO$3=F$2),'Budget original'!$C$8:$AO$496)</f>
        <v>0</v>
      </c>
      <c r="G259" s="300"/>
      <c r="H259" s="250"/>
      <c r="I259" s="248">
        <f>+SUMPRODUCT(('Budget révisé'!$A$8:$A$496=$A259)*('Budget révisé'!$C$3:$AO$3=I$2),'Budget révisé'!$C$8:$AO$496)</f>
        <v>0</v>
      </c>
      <c r="J259" s="244"/>
      <c r="K259" s="250"/>
      <c r="L259" s="298">
        <f>SUMIFS(BV_Data_An_Cour!$P:$P,BV_Data_An_Cour!$U:$U,$B259,BV_Data_An_Cour!$V:$V,$C259,BV_Data_An_Cour!$W:$W,$L$2)</f>
        <v>0</v>
      </c>
      <c r="M259" s="244"/>
      <c r="N259" s="249">
        <f t="shared" si="134"/>
        <v>0</v>
      </c>
      <c r="O259" s="244"/>
      <c r="P259" s="250"/>
      <c r="Q259" s="298">
        <f>SUMIFS(BV_Data_An_Prec!$P:$P,BV_Data_An_Prec!$U:$U,$B259,BV_Data_An_Prec!$V:$V,$C259,BV_Data_An_Prec!$W:$W,$L$2)</f>
        <v>0</v>
      </c>
      <c r="R259" s="244"/>
      <c r="S259" s="301">
        <f t="shared" si="135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532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</row>
    <row r="260" spans="1:54" ht="15.75" customHeight="1">
      <c r="A260" s="600" t="str">
        <f t="shared" si="129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+SUMPRODUCT(('Budget original'!$A$8:$A$496=$A260)*('Budget original'!$C$3:$AO$3=F$2),'Budget original'!$C$8:$AO$496)</f>
        <v>908.96683768386197</v>
      </c>
      <c r="G260" s="300"/>
      <c r="H260" s="250"/>
      <c r="I260" s="261">
        <f>+SUMPRODUCT(('Budget révisé'!$A$8:$A$496=$A260)*('Budget révisé'!$C$3:$AO$3=I$2),'Budget révisé'!$C$8:$AO$496)</f>
        <v>908.96683768386197</v>
      </c>
      <c r="J260" s="244"/>
      <c r="K260" s="250"/>
      <c r="L260" s="298">
        <f>SUMIFS(BV_Data_An_Cour!$P:$P,BV_Data_An_Cour!$U:$U,$B260,BV_Data_An_Cour!$V:$V,$C260,BV_Data_An_Cour!$W:$W,$L$2)</f>
        <v>661.7</v>
      </c>
      <c r="M260" s="244"/>
      <c r="N260" s="249">
        <f t="shared" si="134"/>
        <v>-247.26683768386192</v>
      </c>
      <c r="O260" s="244"/>
      <c r="P260" s="250"/>
      <c r="Q260" s="298">
        <f>SUMIFS(BV_Data_An_Prec!$P:$P,BV_Data_An_Prec!$U:$U,$B260,BV_Data_An_Prec!$V:$V,$C260,BV_Data_An_Prec!$W:$W,$L$2)</f>
        <v>1241.49</v>
      </c>
      <c r="R260" s="244"/>
      <c r="S260" s="301">
        <f t="shared" si="135"/>
        <v>-579.79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532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</row>
    <row r="261" spans="1:54" ht="15.75" customHeight="1">
      <c r="A261" s="600" t="str">
        <f t="shared" si="129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+SUMPRODUCT(('Budget original'!$A$8:$A$496=$A261)*('Budget original'!$C$3:$AO$3=F$2),'Budget original'!$C$8:$AO$496)</f>
        <v>908.96683768386197</v>
      </c>
      <c r="G261" s="304"/>
      <c r="H261" s="303"/>
      <c r="I261" s="248">
        <f>+SUMPRODUCT(('Budget révisé'!$A$8:$A$496=$A261)*('Budget révisé'!$C$3:$AO$3=I$2),'Budget révisé'!$C$8:$AO$496)</f>
        <v>908.96683768386197</v>
      </c>
      <c r="J261" s="305"/>
      <c r="K261" s="303"/>
      <c r="L261" s="262">
        <f>SUMIFS(BV_Data_An_Cour!$P:$P,BV_Data_An_Cour!$U:$U,$B261,BV_Data_An_Cour!$V:$V,$C261,BV_Data_An_Cour!$W:$W,$L$2)</f>
        <v>1461.24</v>
      </c>
      <c r="M261" s="305"/>
      <c r="N261" s="306">
        <f t="shared" si="134"/>
        <v>552.27316231613804</v>
      </c>
      <c r="O261" s="305"/>
      <c r="P261" s="303"/>
      <c r="Q261" s="262">
        <f>SUMIFS(BV_Data_An_Prec!$P:$P,BV_Data_An_Prec!$U:$U,$B261,BV_Data_An_Prec!$V:$V,$C261,BV_Data_An_Prec!$W:$W,$L$2)</f>
        <v>1233.98</v>
      </c>
      <c r="R261" s="305"/>
      <c r="S261" s="307">
        <f t="shared" si="135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</row>
    <row r="262" spans="1:54" ht="15.75" customHeight="1">
      <c r="A262" s="600" t="str">
        <f t="shared" si="129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+SUMPRODUCT(('Budget original'!$A$8:$A$496=$A262)*('Budget original'!$C$3:$AO$3=F$2),'Budget original'!$C$8:$AO$496)</f>
        <v>651.42623367343435</v>
      </c>
      <c r="G262" s="300"/>
      <c r="H262" s="250"/>
      <c r="I262" s="248">
        <f>+SUMPRODUCT(('Budget révisé'!$A$8:$A$496=$A262)*('Budget révisé'!$C$3:$AO$3=I$2),'Budget révisé'!$C$8:$AO$496)</f>
        <v>651.42623367343435</v>
      </c>
      <c r="J262" s="244"/>
      <c r="K262" s="250"/>
      <c r="L262" s="298">
        <f>SUMIFS(BV_Data_An_Cour!$P:$P,BV_Data_An_Cour!$U:$U,$B262,BV_Data_An_Cour!$V:$V,$C262,BV_Data_An_Cour!$W:$W,$L$2)</f>
        <v>1281</v>
      </c>
      <c r="M262" s="244"/>
      <c r="N262" s="249">
        <f t="shared" si="134"/>
        <v>629.57376632656565</v>
      </c>
      <c r="O262" s="244"/>
      <c r="P262" s="250"/>
      <c r="Q262" s="298">
        <f>SUMIFS(BV_Data_An_Prec!$P:$P,BV_Data_An_Prec!$U:$U,$B262,BV_Data_An_Prec!$V:$V,$C262,BV_Data_An_Prec!$W:$W,$L$2)</f>
        <v>532.33000000000004</v>
      </c>
      <c r="R262" s="244"/>
      <c r="S262" s="301">
        <f t="shared" si="135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39"/>
      <c r="AK262" s="239"/>
      <c r="AL262" s="239"/>
      <c r="AM262" s="250"/>
      <c r="AN262" s="250"/>
      <c r="AO262" s="532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</row>
    <row r="263" spans="1:54" ht="15.75" customHeight="1">
      <c r="A263" s="600" t="str">
        <f t="shared" si="129"/>
        <v>CarrosserieCsst</v>
      </c>
      <c r="B263" s="24" t="s">
        <v>171</v>
      </c>
      <c r="C263" s="297" t="s">
        <v>119</v>
      </c>
      <c r="D263" s="279"/>
      <c r="E263" s="250"/>
      <c r="F263" s="248">
        <f>+SUMPRODUCT(('Budget original'!$A$8:$A$496=$A263)*('Budget original'!$C$3:$AO$3=F$2),'Budget original'!$C$8:$AO$496)</f>
        <v>151.49447294731033</v>
      </c>
      <c r="G263" s="300"/>
      <c r="H263" s="250"/>
      <c r="I263" s="248">
        <f>+SUMPRODUCT(('Budget révisé'!$A$8:$A$496=$A263)*('Budget révisé'!$C$3:$AO$3=I$2),'Budget révisé'!$C$8:$AO$496)</f>
        <v>151.49447294731033</v>
      </c>
      <c r="J263" s="244"/>
      <c r="K263" s="250"/>
      <c r="L263" s="298">
        <f>SUMIFS(BV_Data_An_Cour!$P:$P,BV_Data_An_Cour!$U:$U,$B263,BV_Data_An_Cour!$V:$V,$C263,BV_Data_An_Cour!$W:$W,$L$2)</f>
        <v>0</v>
      </c>
      <c r="M263" s="244"/>
      <c r="N263" s="249">
        <f t="shared" si="134"/>
        <v>-151.49447294731033</v>
      </c>
      <c r="O263" s="244"/>
      <c r="P263" s="250"/>
      <c r="Q263" s="298">
        <f>SUMIFS(BV_Data_An_Prec!$P:$P,BV_Data_An_Prec!$U:$U,$B263,BV_Data_An_Prec!$V:$V,$C263,BV_Data_An_Prec!$W:$W,$L$2)</f>
        <v>327.96</v>
      </c>
      <c r="R263" s="244"/>
      <c r="S263" s="301">
        <f t="shared" si="135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39"/>
      <c r="AK263" s="239"/>
      <c r="AL263" s="239"/>
      <c r="AM263" s="250"/>
      <c r="AN263" s="250"/>
      <c r="AO263" s="532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</row>
    <row r="264" spans="1:54" ht="15.75" customHeight="1">
      <c r="A264" s="600" t="str">
        <f t="shared" si="129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SUMIFS(BV_Data_An_Cour!$P:$P,BV_Data_An_Cour!$U:$U,$B264,BV_Data_An_Cour!$V:$V,$C264,BV_Data_An_Cour!$W:$W,$L$2)</f>
        <v>0</v>
      </c>
      <c r="M264" s="312"/>
      <c r="N264" s="313">
        <f t="shared" si="134"/>
        <v>0</v>
      </c>
      <c r="O264" s="312"/>
      <c r="P264" s="310"/>
      <c r="Q264" s="298">
        <f>SUMIFS(BV_Data_An_Prec!$P:$P,BV_Data_An_Prec!$U:$U,$B264,BV_Data_An_Prec!$V:$V,$C264,BV_Data_An_Prec!$W:$W,$L$2)</f>
        <v>0</v>
      </c>
      <c r="R264" s="312"/>
      <c r="S264" s="314">
        <f t="shared" si="135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39"/>
      <c r="AK264" s="239"/>
      <c r="AL264" s="239"/>
      <c r="AM264" s="250"/>
      <c r="AN264" s="250"/>
      <c r="AO264" s="532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</row>
    <row r="265" spans="1:54" ht="15.75" customHeight="1">
      <c r="A265" s="600" t="str">
        <f t="shared" si="129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12161.92</v>
      </c>
      <c r="M265" s="43"/>
      <c r="N265" s="46">
        <f t="shared" si="134"/>
        <v>1966.3419706460154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si="135"/>
        <v>695.67000000000189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39"/>
      <c r="AK265" s="239"/>
      <c r="AL265" s="239"/>
      <c r="AM265" s="250"/>
      <c r="AN265" s="250"/>
      <c r="AO265" s="532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</row>
    <row r="266" spans="1:54" ht="15.75" customHeight="1">
      <c r="A266" s="600" t="str">
        <f t="shared" si="129"/>
        <v>CarrosseriePublicité 2</v>
      </c>
      <c r="B266" s="24" t="s">
        <v>171</v>
      </c>
      <c r="C266" s="317" t="s">
        <v>121</v>
      </c>
      <c r="D266" s="318"/>
      <c r="E266" s="195"/>
      <c r="F266" s="196">
        <f>+SUMPRODUCT(('Budget original'!$A$8:$A$496=$A266)*('Budget original'!$C$3:$AO$3=F$2),'Budget original'!$C$8:$AO$496)</f>
        <v>0</v>
      </c>
      <c r="G266" s="319"/>
      <c r="H266" s="195"/>
      <c r="I266" s="196">
        <f>+SUMPRODUCT(('Budget révisé'!$A$8:$A$496=$A266)*('Budget révisé'!$C$3:$AO$3=I$2),'Budget révisé'!$C$8:$AO$496)</f>
        <v>0</v>
      </c>
      <c r="J266" s="320"/>
      <c r="K266" s="195"/>
      <c r="L266" s="298">
        <f>SUMIFS(BV_Data_An_Cour!$P:$P,BV_Data_An_Cour!$U:$U,$B266,BV_Data_An_Cour!$V:$V,$C266,BV_Data_An_Cour!$W:$W,$L$2)</f>
        <v>100.08</v>
      </c>
      <c r="M266" s="320"/>
      <c r="N266" s="321">
        <f t="shared" si="134"/>
        <v>100.08</v>
      </c>
      <c r="O266" s="320"/>
      <c r="P266" s="195"/>
      <c r="Q266" s="298">
        <f>SUMIFS(BV_Data_An_Prec!$P:$P,BV_Data_An_Prec!$U:$U,$B266,BV_Data_An_Prec!$V:$V,$C266,BV_Data_An_Prec!$W:$W,$L$2)</f>
        <v>0</v>
      </c>
      <c r="R266" s="320"/>
      <c r="S266" s="216">
        <f t="shared" si="135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39"/>
      <c r="AK266" s="239"/>
      <c r="AL266" s="239"/>
      <c r="AM266" s="250"/>
      <c r="AN266" s="250"/>
      <c r="AO266" s="532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</row>
    <row r="267" spans="1:54" ht="15.75" customHeight="1">
      <c r="A267" s="600" t="str">
        <f t="shared" si="129"/>
        <v>CarrosserieService gratuit 2</v>
      </c>
      <c r="B267" s="24" t="s">
        <v>171</v>
      </c>
      <c r="C267" s="322" t="s">
        <v>122</v>
      </c>
      <c r="D267" s="318"/>
      <c r="E267" s="195"/>
      <c r="F267" s="196">
        <f>+SUMPRODUCT(('Budget original'!$A$8:$A$496=$A267)*('Budget original'!$C$3:$AO$3=F$2),'Budget original'!$C$8:$AO$496)</f>
        <v>998.72169351846264</v>
      </c>
      <c r="G267" s="319"/>
      <c r="H267" s="195"/>
      <c r="I267" s="196">
        <f>+SUMPRODUCT(('Budget révisé'!$A$8:$A$496=$A267)*('Budget révisé'!$C$3:$AO$3=I$2),'Budget révisé'!$C$8:$AO$496)</f>
        <v>998.72169351846264</v>
      </c>
      <c r="J267" s="320"/>
      <c r="K267" s="195"/>
      <c r="L267" s="197">
        <f>SUMIFS(BV_Data_An_Cour!$P:$P,BV_Data_An_Cour!$U:$U,$B267,BV_Data_An_Cour!$V:$V,$C267,BV_Data_An_Cour!$W:$W,$L$2)</f>
        <v>12.15</v>
      </c>
      <c r="M267" s="320"/>
      <c r="N267" s="321">
        <f t="shared" si="134"/>
        <v>-986.57169351846267</v>
      </c>
      <c r="O267" s="320"/>
      <c r="P267" s="195"/>
      <c r="Q267" s="197">
        <f>SUMIFS(BV_Data_An_Prec!$P:$P,BV_Data_An_Prec!$U:$U,$B267,BV_Data_An_Prec!$V:$V,$C267,BV_Data_An_Prec!$W:$W,$L$2)</f>
        <v>30</v>
      </c>
      <c r="R267" s="320"/>
      <c r="S267" s="216">
        <f t="shared" si="135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39"/>
      <c r="AK267" s="239"/>
      <c r="AL267" s="239"/>
      <c r="AM267" s="250"/>
      <c r="AN267" s="250"/>
      <c r="AO267" s="532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</row>
    <row r="268" spans="1:54" ht="15.75" customHeight="1">
      <c r="A268" s="600" t="str">
        <f t="shared" si="129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+SUMPRODUCT(('Budget original'!$A$8:$A$496=$A268)*('Budget original'!$C$3:$AO$3=F$2),'Budget original'!$C$8:$AO$496)</f>
        <v>298.94</v>
      </c>
      <c r="G268" s="326"/>
      <c r="H268" s="325"/>
      <c r="I268" s="194">
        <f>+SUMPRODUCT(('Budget révisé'!$A$8:$A$496=$A268)*('Budget révisé'!$C$3:$AO$3=I$2),'Budget révisé'!$C$8:$AO$496)</f>
        <v>298.94</v>
      </c>
      <c r="J268" s="327"/>
      <c r="K268" s="325"/>
      <c r="L268" s="197">
        <f>SUMIFS(BV_Data_An_Cour!$P:$P,BV_Data_An_Cour!$U:$U,$B268,BV_Data_An_Cour!$V:$V,$C268,BV_Data_An_Cour!$W:$W,$L$2)</f>
        <v>824.3</v>
      </c>
      <c r="M268" s="327"/>
      <c r="N268" s="328">
        <f t="shared" si="134"/>
        <v>525.3599999999999</v>
      </c>
      <c r="O268" s="327"/>
      <c r="P268" s="325"/>
      <c r="Q268" s="197">
        <f>SUMIFS(BV_Data_An_Prec!$P:$P,BV_Data_An_Prec!$U:$U,$B268,BV_Data_An_Prec!$V:$V,$C268,BV_Data_An_Prec!$W:$W,$L$2)</f>
        <v>2149.3200000000002</v>
      </c>
      <c r="R268" s="327"/>
      <c r="S268" s="219">
        <f t="shared" si="135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39"/>
      <c r="AK268" s="239"/>
      <c r="AL268" s="239"/>
      <c r="AM268" s="250"/>
      <c r="AN268" s="250"/>
      <c r="AO268" s="532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</row>
    <row r="269" spans="1:54" ht="15.75" customHeight="1">
      <c r="A269" s="600" t="str">
        <f t="shared" si="129"/>
        <v>CarrosserieInformatique</v>
      </c>
      <c r="B269" s="24" t="s">
        <v>171</v>
      </c>
      <c r="C269" s="322" t="s">
        <v>124</v>
      </c>
      <c r="D269" s="318"/>
      <c r="E269" s="195"/>
      <c r="F269" s="196">
        <f>+SUMPRODUCT(('Budget original'!$A$8:$A$496=$A269)*('Budget original'!$C$3:$AO$3=F$2),'Budget original'!$C$8:$AO$496)</f>
        <v>1436.6179333333334</v>
      </c>
      <c r="G269" s="319"/>
      <c r="H269" s="195"/>
      <c r="I269" s="196">
        <f>+SUMPRODUCT(('Budget révisé'!$A$8:$A$496=$A269)*('Budget révisé'!$C$3:$AO$3=I$2),'Budget révisé'!$C$8:$AO$496)</f>
        <v>1436.6179333333334</v>
      </c>
      <c r="J269" s="320"/>
      <c r="K269" s="195"/>
      <c r="L269" s="198">
        <f>SUMIFS(BV_Data_An_Cour!$P:$P,BV_Data_An_Cour!$U:$U,$B269,BV_Data_An_Cour!$V:$V,$C269,BV_Data_An_Cour!$W:$W,$L$2)</f>
        <v>1378.59</v>
      </c>
      <c r="M269" s="320"/>
      <c r="N269" s="321">
        <f t="shared" si="134"/>
        <v>-58.027933333333522</v>
      </c>
      <c r="O269" s="320"/>
      <c r="P269" s="195"/>
      <c r="Q269" s="198">
        <f>SUMIFS(BV_Data_An_Prec!$P:$P,BV_Data_An_Prec!$U:$U,$B269,BV_Data_An_Prec!$V:$V,$C269,BV_Data_An_Prec!$W:$W,$L$2)</f>
        <v>1362.14</v>
      </c>
      <c r="R269" s="320"/>
      <c r="S269" s="216">
        <f t="shared" si="135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39"/>
      <c r="AK269" s="239"/>
      <c r="AL269" s="239"/>
      <c r="AM269" s="250"/>
      <c r="AN269" s="250"/>
      <c r="AO269" s="532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</row>
    <row r="270" spans="1:54" ht="15.75" customHeight="1">
      <c r="A270" s="600" t="str">
        <f t="shared" si="129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+SUMPRODUCT(('Budget original'!$A$8:$A$496=$A270)*('Budget original'!$C$3:$AO$3=F$2),'Budget original'!$C$8:$AO$496)</f>
        <v>349.23367500000001</v>
      </c>
      <c r="G270" s="319"/>
      <c r="H270" s="195"/>
      <c r="I270" s="196">
        <f>+SUMPRODUCT(('Budget révisé'!$A$8:$A$496=$A270)*('Budget révisé'!$C$3:$AO$3=I$2),'Budget révisé'!$C$8:$AO$496)</f>
        <v>349.23367500000001</v>
      </c>
      <c r="J270" s="320"/>
      <c r="K270" s="195"/>
      <c r="L270" s="197">
        <f>SUMIFS(BV_Data_An_Cour!$P:$P,BV_Data_An_Cour!$U:$U,$B270,BV_Data_An_Cour!$V:$V,$C270,BV_Data_An_Cour!$W:$W,$L$2)</f>
        <v>13.57</v>
      </c>
      <c r="M270" s="320"/>
      <c r="N270" s="321">
        <f t="shared" si="134"/>
        <v>-335.66367500000001</v>
      </c>
      <c r="O270" s="320"/>
      <c r="P270" s="195"/>
      <c r="Q270" s="197">
        <f>SUMIFS(BV_Data_An_Prec!$P:$P,BV_Data_An_Prec!$U:$U,$B270,BV_Data_An_Prec!$V:$V,$C270,BV_Data_An_Prec!$W:$W,$L$2)</f>
        <v>425.39</v>
      </c>
      <c r="R270" s="320"/>
      <c r="S270" s="216">
        <f t="shared" si="135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39"/>
      <c r="AK270" s="239"/>
      <c r="AL270" s="239"/>
      <c r="AM270" s="250"/>
      <c r="AN270" s="250"/>
      <c r="AO270" s="532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</row>
    <row r="271" spans="1:54" ht="15.75" customHeight="1">
      <c r="A271" s="600" t="str">
        <f t="shared" si="129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+SUMPRODUCT(('Budget original'!$A$8:$A$496=$A271)*('Budget original'!$C$3:$AO$3=F$2),'Budget original'!$C$8:$AO$496)</f>
        <v>1024.7769583333334</v>
      </c>
      <c r="G271" s="326"/>
      <c r="H271" s="325"/>
      <c r="I271" s="194">
        <f>+SUMPRODUCT(('Budget révisé'!$A$8:$A$496=$A271)*('Budget révisé'!$C$3:$AO$3=I$2),'Budget révisé'!$C$8:$AO$496)</f>
        <v>1024.7769583333334</v>
      </c>
      <c r="J271" s="327"/>
      <c r="K271" s="325"/>
      <c r="L271" s="197">
        <f>SUMIFS(BV_Data_An_Cour!$P:$P,BV_Data_An_Cour!$U:$U,$B271,BV_Data_An_Cour!$V:$V,$C271,BV_Data_An_Cour!$W:$W,$L$2)</f>
        <v>282.91000000000003</v>
      </c>
      <c r="M271" s="327"/>
      <c r="N271" s="328">
        <f t="shared" si="134"/>
        <v>-741.86695833333329</v>
      </c>
      <c r="O271" s="327"/>
      <c r="P271" s="325"/>
      <c r="Q271" s="197">
        <f>SUMIFS(BV_Data_An_Prec!$P:$P,BV_Data_An_Prec!$U:$U,$B271,BV_Data_An_Prec!$V:$V,$C271,BV_Data_An_Prec!$W:$W,$L$2)</f>
        <v>988.34</v>
      </c>
      <c r="R271" s="327"/>
      <c r="S271" s="219">
        <f t="shared" si="135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39"/>
      <c r="AK271" s="239"/>
      <c r="AL271" s="239"/>
      <c r="AM271" s="250"/>
      <c r="AN271" s="250"/>
      <c r="AO271" s="532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</row>
    <row r="272" spans="1:54" ht="15.75" customHeight="1">
      <c r="A272" s="600" t="str">
        <f t="shared" ref="A272" si="136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SUMIFS(BV_Data_An_Cour!$P:$P,BV_Data_An_Cour!$U:$U,$B272,BV_Data_An_Cour!$V:$V,$C272,BV_Data_An_Cour!$W:$W,$L$2)</f>
        <v>0</v>
      </c>
      <c r="M272" s="320"/>
      <c r="N272" s="321">
        <f t="shared" ref="N272" si="137">L272-I272</f>
        <v>0</v>
      </c>
      <c r="O272" s="320"/>
      <c r="P272" s="195"/>
      <c r="Q272" s="197">
        <f>SUMIFS(BV_Data_An_Prec!$P:$P,BV_Data_An_Prec!$U:$U,$B272,BV_Data_An_Prec!$V:$V,$C272,BV_Data_An_Prec!$W:$W,$L$2)</f>
        <v>0</v>
      </c>
      <c r="R272" s="320"/>
      <c r="S272" s="216">
        <f t="shared" ref="S272" si="138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532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</row>
    <row r="273" spans="1:54" ht="15.75" customHeight="1">
      <c r="A273" s="600" t="str">
        <f t="shared" si="129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+SUMPRODUCT(('Budget original'!$A$8:$A$496=$A273)*('Budget original'!$C$3:$AO$3=F$2),'Budget original'!$C$8:$AO$496)</f>
        <v>0</v>
      </c>
      <c r="G273" s="319"/>
      <c r="H273" s="195"/>
      <c r="I273" s="196">
        <f>+SUMPRODUCT(('Budget révisé'!$A$8:$A$496=$A273)*('Budget révisé'!$C$3:$AO$3=I$2),'Budget révisé'!$C$8:$AO$496)</f>
        <v>0</v>
      </c>
      <c r="J273" s="320"/>
      <c r="K273" s="195"/>
      <c r="L273" s="197">
        <f>SUMIFS(BV_Data_An_Cour!$P:$P,BV_Data_An_Cour!$U:$U,$B273,BV_Data_An_Cour!$V:$V,$C273,BV_Data_An_Cour!$W:$W,$L$2)</f>
        <v>0</v>
      </c>
      <c r="M273" s="320"/>
      <c r="N273" s="321">
        <f t="shared" si="134"/>
        <v>0</v>
      </c>
      <c r="O273" s="320"/>
      <c r="P273" s="195"/>
      <c r="Q273" s="197">
        <f>SUMIFS(BV_Data_An_Prec!$P:$P,BV_Data_An_Prec!$U:$U,$B273,BV_Data_An_Prec!$V:$V,$C273,BV_Data_An_Prec!$W:$W,$L$2)</f>
        <v>0</v>
      </c>
      <c r="R273" s="320"/>
      <c r="S273" s="216">
        <f t="shared" si="135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39"/>
      <c r="AK273" s="239"/>
      <c r="AL273" s="239"/>
      <c r="AM273" s="250"/>
      <c r="AN273" s="250"/>
      <c r="AO273" s="532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</row>
    <row r="274" spans="1:54" ht="15.75" customHeight="1">
      <c r="A274" s="600" t="str">
        <f t="shared" si="129"/>
        <v>CarrosserieUniformes</v>
      </c>
      <c r="B274" s="24" t="s">
        <v>171</v>
      </c>
      <c r="C274" s="322" t="s">
        <v>128</v>
      </c>
      <c r="D274" s="318"/>
      <c r="E274" s="195"/>
      <c r="F274" s="196">
        <f>+SUMPRODUCT(('Budget original'!$A$8:$A$496=$A274)*('Budget original'!$C$3:$AO$3=F$2),'Budget original'!$C$8:$AO$496)</f>
        <v>0</v>
      </c>
      <c r="G274" s="319"/>
      <c r="H274" s="195"/>
      <c r="I274" s="196">
        <f>+SUMPRODUCT(('Budget révisé'!$A$8:$A$496=$A274)*('Budget révisé'!$C$3:$AO$3=I$2),'Budget révisé'!$C$8:$AO$496)</f>
        <v>0</v>
      </c>
      <c r="J274" s="320"/>
      <c r="K274" s="195"/>
      <c r="L274" s="197">
        <f>SUMIFS(BV_Data_An_Cour!$P:$P,BV_Data_An_Cour!$U:$U,$B274,BV_Data_An_Cour!$V:$V,$C274,BV_Data_An_Cour!$W:$W,$L$2)</f>
        <v>0</v>
      </c>
      <c r="M274" s="320"/>
      <c r="N274" s="321">
        <f t="shared" si="134"/>
        <v>0</v>
      </c>
      <c r="O274" s="320"/>
      <c r="P274" s="195"/>
      <c r="Q274" s="197">
        <f>SUMIFS(BV_Data_An_Prec!$P:$P,BV_Data_An_Prec!$U:$U,$B274,BV_Data_An_Prec!$V:$V,$C274,BV_Data_An_Prec!$W:$W,$L$2)</f>
        <v>0</v>
      </c>
      <c r="R274" s="320"/>
      <c r="S274" s="216">
        <f t="shared" si="135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39"/>
      <c r="AK274" s="239"/>
      <c r="AL274" s="239"/>
      <c r="AM274" s="250"/>
      <c r="AN274" s="250"/>
      <c r="AO274" s="532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</row>
    <row r="275" spans="1:54" ht="15.75" customHeight="1">
      <c r="A275" s="600" t="str">
        <f t="shared" si="129"/>
        <v>CarrosseriePapeterie</v>
      </c>
      <c r="B275" s="24" t="s">
        <v>171</v>
      </c>
      <c r="C275" s="322" t="s">
        <v>129</v>
      </c>
      <c r="D275" s="318"/>
      <c r="E275" s="195"/>
      <c r="F275" s="196">
        <f>+SUMPRODUCT(('Budget original'!$A$8:$A$496=$A275)*('Budget original'!$C$3:$AO$3=F$2),'Budget original'!$C$8:$AO$496)</f>
        <v>152.60000000000002</v>
      </c>
      <c r="G275" s="319"/>
      <c r="H275" s="195"/>
      <c r="I275" s="196">
        <f>+SUMPRODUCT(('Budget révisé'!$A$8:$A$496=$A275)*('Budget révisé'!$C$3:$AO$3=I$2),'Budget révisé'!$C$8:$AO$496)</f>
        <v>152.60000000000002</v>
      </c>
      <c r="J275" s="320"/>
      <c r="K275" s="195"/>
      <c r="L275" s="572">
        <f>SUMIFS(BV_Data_An_Cour!$P:$P,BV_Data_An_Cour!$U:$U,$B275,BV_Data_An_Cour!$V:$V,$C275,BV_Data_An_Cour!$W:$W,$L$2)</f>
        <v>54.45</v>
      </c>
      <c r="M275" s="320"/>
      <c r="N275" s="321">
        <f t="shared" si="134"/>
        <v>-98.15000000000002</v>
      </c>
      <c r="O275" s="320"/>
      <c r="P275" s="195"/>
      <c r="Q275" s="572">
        <f>SUMIFS(BV_Data_An_Prec!$P:$P,BV_Data_An_Prec!$U:$U,$B275,BV_Data_An_Prec!$V:$V,$C275,BV_Data_An_Prec!$W:$W,$L$2)</f>
        <v>129.5</v>
      </c>
      <c r="R275" s="320"/>
      <c r="S275" s="216">
        <f t="shared" si="135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532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</row>
    <row r="276" spans="1:54" ht="15.75" customHeight="1">
      <c r="A276" s="600" t="str">
        <f t="shared" si="129"/>
        <v>CarrosserieTéléphone</v>
      </c>
      <c r="B276" s="24" t="s">
        <v>171</v>
      </c>
      <c r="C276" s="322" t="s">
        <v>130</v>
      </c>
      <c r="D276" s="318"/>
      <c r="E276" s="195"/>
      <c r="F276" s="196">
        <f>+SUMPRODUCT(('Budget original'!$A$8:$A$496=$A276)*('Budget original'!$C$3:$AO$3=F$2),'Budget original'!$C$8:$AO$496)</f>
        <v>177.637</v>
      </c>
      <c r="G276" s="319"/>
      <c r="H276" s="195"/>
      <c r="I276" s="196">
        <f>+SUMPRODUCT(('Budget révisé'!$A$8:$A$496=$A276)*('Budget révisé'!$C$3:$AO$3=I$2),'Budget révisé'!$C$8:$AO$496)</f>
        <v>177.637</v>
      </c>
      <c r="J276" s="320"/>
      <c r="K276" s="195"/>
      <c r="L276" s="197">
        <f>SUMIFS(BV_Data_An_Cour!$P:$P,BV_Data_An_Cour!$U:$U,$B276,BV_Data_An_Cour!$V:$V,$C276,BV_Data_An_Cour!$W:$W,$L$2)</f>
        <v>122.38</v>
      </c>
      <c r="M276" s="320"/>
      <c r="N276" s="321">
        <f t="shared" si="134"/>
        <v>-55.257000000000005</v>
      </c>
      <c r="O276" s="320"/>
      <c r="P276" s="195"/>
      <c r="Q276" s="197">
        <f>SUMIFS(BV_Data_An_Prec!$P:$P,BV_Data_An_Prec!$U:$U,$B276,BV_Data_An_Prec!$V:$V,$C276,BV_Data_An_Prec!$W:$W,$L$2)</f>
        <v>83.33</v>
      </c>
      <c r="R276" s="320"/>
      <c r="S276" s="216">
        <f t="shared" si="135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532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</row>
    <row r="277" spans="1:54" ht="15.75" customHeight="1">
      <c r="A277" s="600" t="str">
        <f t="shared" si="129"/>
        <v>CarrosserieFrais postaux</v>
      </c>
      <c r="B277" s="24" t="s">
        <v>171</v>
      </c>
      <c r="C277" s="322" t="s">
        <v>131</v>
      </c>
      <c r="D277" s="318"/>
      <c r="E277" s="195"/>
      <c r="F277" s="196">
        <f>+SUMPRODUCT(('Budget original'!$A$8:$A$496=$A277)*('Budget original'!$C$3:$AO$3=F$2),'Budget original'!$C$8:$AO$496)</f>
        <v>60.550000000000004</v>
      </c>
      <c r="G277" s="319"/>
      <c r="H277" s="195"/>
      <c r="I277" s="196">
        <f>+SUMPRODUCT(('Budget révisé'!$A$8:$A$496=$A277)*('Budget révisé'!$C$3:$AO$3=I$2),'Budget révisé'!$C$8:$AO$496)</f>
        <v>60.550000000000004</v>
      </c>
      <c r="J277" s="320"/>
      <c r="K277" s="195"/>
      <c r="L277" s="197">
        <f>SUMIFS(BV_Data_An_Cour!$P:$P,BV_Data_An_Cour!$U:$U,$B277,BV_Data_An_Cour!$V:$V,$C277,BV_Data_An_Cour!$W:$W,$L$2)</f>
        <v>14.28</v>
      </c>
      <c r="M277" s="320"/>
      <c r="N277" s="321">
        <f t="shared" si="134"/>
        <v>-46.27</v>
      </c>
      <c r="O277" s="320"/>
      <c r="P277" s="195"/>
      <c r="Q277" s="197">
        <f>SUMIFS(BV_Data_An_Prec!$P:$P,BV_Data_An_Prec!$U:$U,$B277,BV_Data_An_Prec!$V:$V,$C277,BV_Data_An_Prec!$W:$W,$L$2)</f>
        <v>45.95</v>
      </c>
      <c r="R277" s="320"/>
      <c r="S277" s="216">
        <f t="shared" si="135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532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</row>
    <row r="278" spans="1:54" ht="15.75" customHeight="1">
      <c r="A278" s="600" t="str">
        <f t="shared" si="129"/>
        <v>CarrosserieDivers</v>
      </c>
      <c r="B278" s="24" t="s">
        <v>171</v>
      </c>
      <c r="C278" s="322" t="s">
        <v>132</v>
      </c>
      <c r="D278" s="318"/>
      <c r="E278" s="195"/>
      <c r="F278" s="196">
        <f>+SUMPRODUCT(('Budget original'!$A$8:$A$496=$A278)*('Budget original'!$C$3:$AO$3=F$2),'Budget original'!$C$8:$AO$496)</f>
        <v>251.37000000000003</v>
      </c>
      <c r="G278" s="319"/>
      <c r="H278" s="195"/>
      <c r="I278" s="196">
        <f>+SUMPRODUCT(('Budget révisé'!$A$8:$A$496=$A278)*('Budget révisé'!$C$3:$AO$3=I$2),'Budget révisé'!$C$8:$AO$496)</f>
        <v>251.37000000000003</v>
      </c>
      <c r="J278" s="320"/>
      <c r="K278" s="195"/>
      <c r="L278" s="197">
        <f>SUMIFS(BV_Data_An_Cour!$P:$P,BV_Data_An_Cour!$U:$U,$B278,BV_Data_An_Cour!$V:$V,$C278,BV_Data_An_Cour!$W:$W,$L$2)</f>
        <v>55.19</v>
      </c>
      <c r="M278" s="320"/>
      <c r="N278" s="321">
        <f t="shared" si="134"/>
        <v>-196.18000000000004</v>
      </c>
      <c r="O278" s="320"/>
      <c r="P278" s="195"/>
      <c r="Q278" s="197">
        <f>SUMIFS(BV_Data_An_Prec!$P:$P,BV_Data_An_Prec!$U:$U,$B278,BV_Data_An_Prec!$V:$V,$C278,BV_Data_An_Prec!$W:$W,$L$2)</f>
        <v>373.03</v>
      </c>
      <c r="R278" s="320"/>
      <c r="S278" s="216">
        <f t="shared" si="135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532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</row>
    <row r="279" spans="1:54" ht="15.75" customHeight="1">
      <c r="A279" s="600" t="str">
        <f t="shared" si="129"/>
        <v>CarrosserieFormation</v>
      </c>
      <c r="B279" s="24" t="s">
        <v>171</v>
      </c>
      <c r="C279" s="322" t="s">
        <v>133</v>
      </c>
      <c r="D279" s="318"/>
      <c r="E279" s="195"/>
      <c r="F279" s="196">
        <f>+SUMPRODUCT(('Budget original'!$A$8:$A$496=$A279)*('Budget original'!$C$3:$AO$3=F$2),'Budget original'!$C$8:$AO$496)</f>
        <v>41.200833333333343</v>
      </c>
      <c r="G279" s="319"/>
      <c r="H279" s="195"/>
      <c r="I279" s="196">
        <f>+SUMPRODUCT(('Budget révisé'!$A$8:$A$496=$A279)*('Budget révisé'!$C$3:$AO$3=I$2),'Budget révisé'!$C$8:$AO$496)</f>
        <v>41.200833333333343</v>
      </c>
      <c r="J279" s="320"/>
      <c r="K279" s="195"/>
      <c r="L279" s="197">
        <f>SUMIFS(BV_Data_An_Cour!$P:$P,BV_Data_An_Cour!$U:$U,$B279,BV_Data_An_Cour!$V:$V,$C279,BV_Data_An_Cour!$W:$W,$L$2)</f>
        <v>6.2</v>
      </c>
      <c r="M279" s="320"/>
      <c r="N279" s="321">
        <f t="shared" si="134"/>
        <v>-35.00083333333334</v>
      </c>
      <c r="O279" s="320"/>
      <c r="P279" s="195"/>
      <c r="Q279" s="197">
        <f>SUMIFS(BV_Data_An_Prec!$P:$P,BV_Data_An_Prec!$U:$U,$B279,BV_Data_An_Prec!$V:$V,$C279,BV_Data_An_Prec!$W:$W,$L$2)</f>
        <v>35</v>
      </c>
      <c r="R279" s="320"/>
      <c r="S279" s="216">
        <f t="shared" si="135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532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</row>
    <row r="280" spans="1:54" ht="15.75" customHeight="1">
      <c r="A280" s="600" t="str">
        <f t="shared" si="129"/>
        <v>CarrosserieFrais bancaires</v>
      </c>
      <c r="B280" s="24" t="s">
        <v>171</v>
      </c>
      <c r="C280" s="322" t="s">
        <v>134</v>
      </c>
      <c r="D280" s="318"/>
      <c r="E280" s="195"/>
      <c r="F280" s="248">
        <f>+SUMPRODUCT(('Budget original'!$A$8:$A$496=$A280)*('Budget original'!$C$3:$AO$3=F$2),'Budget original'!$C$8:$AO$496)</f>
        <v>456.67865093790959</v>
      </c>
      <c r="G280" s="319"/>
      <c r="H280" s="195"/>
      <c r="I280" s="196">
        <f>+SUMPRODUCT(('Budget révisé'!$A$8:$A$496=$A280)*('Budget révisé'!$C$3:$AO$3=I$2),'Budget révisé'!$C$8:$AO$496)</f>
        <v>456.67865093790959</v>
      </c>
      <c r="J280" s="320"/>
      <c r="K280" s="195"/>
      <c r="L280" s="1038">
        <f>SUMIFS(BV_Data_An_Cour!$O:$O,BV_Data_An_Cour!$U:$U,$B280,BV_Data_An_Cour!$V:$V,$C280,BV_Data_An_Cour!$W:$W,$L$2)</f>
        <v>0</v>
      </c>
      <c r="M280" s="320"/>
      <c r="N280" s="321">
        <f t="shared" si="134"/>
        <v>-456.67865093790959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35"/>
        <v>0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532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</row>
    <row r="281" spans="1:54" ht="15.75" customHeight="1">
      <c r="A281" s="600" t="str">
        <f t="shared" si="129"/>
        <v>Carrosserie[...]</v>
      </c>
      <c r="B281" s="24" t="s">
        <v>171</v>
      </c>
      <c r="C281" s="322" t="s">
        <v>42</v>
      </c>
      <c r="D281" s="318"/>
      <c r="E281" s="195"/>
      <c r="F281" s="196">
        <f>+SUMPRODUCT(('Budget original'!$A$8:$A$496=$A281)*('Budget original'!$C$3:$AO$3=F$2),'Budget original'!$C$8:$AO$496)</f>
        <v>0</v>
      </c>
      <c r="G281" s="319"/>
      <c r="H281" s="195"/>
      <c r="I281" s="196">
        <f>+SUMPRODUCT(('Budget révisé'!$A$8:$A$496=$A281)*('Budget révisé'!$C$3:$AO$3=I$2),'Budget révisé'!$C$8:$AO$496)</f>
        <v>0</v>
      </c>
      <c r="J281" s="320"/>
      <c r="K281" s="195"/>
      <c r="L281" s="197">
        <f>SUMIFS(BV_Data_An_Cour!$P:$P,BV_Data_An_Cour!$U:$U,$B281,BV_Data_An_Cour!$V:$V,$C281,BV_Data_An_Cour!$W:$W,$L$2)</f>
        <v>0</v>
      </c>
      <c r="M281" s="320"/>
      <c r="N281" s="321">
        <f t="shared" si="134"/>
        <v>0</v>
      </c>
      <c r="O281" s="320"/>
      <c r="P281" s="195"/>
      <c r="Q281" s="197">
        <f>SUMIFS(BV_Data_An_Prec!$P:$P,BV_Data_An_Prec!$U:$U,$B281,BV_Data_An_Prec!$V:$V,$C281,BV_Data_An_Prec!$W:$W,$L$2)</f>
        <v>0</v>
      </c>
      <c r="R281" s="320"/>
      <c r="S281" s="216">
        <f t="shared" si="135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532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</row>
    <row r="282" spans="1:54" ht="15.75" customHeight="1">
      <c r="A282" s="600" t="str">
        <f t="shared" ref="A282" si="139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+SUMPRODUCT(('Budget original'!$A$8:$A$496=$A282)*('Budget original'!$C$3:$AO$3=F$2),'Budget original'!$C$8:$AO$496)</f>
        <v>0</v>
      </c>
      <c r="G282" s="319"/>
      <c r="H282" s="195"/>
      <c r="I282" s="196">
        <f>+SUMPRODUCT(('Budget révisé'!$A$8:$A$496=$A282)*('Budget révisé'!$C$3:$AO$3=I$2),'Budget révisé'!$C$8:$AO$496)</f>
        <v>0</v>
      </c>
      <c r="J282" s="320"/>
      <c r="K282" s="195"/>
      <c r="L282" s="197">
        <f>SUMIFS(BV_Data_An_Cour!$P:$P,BV_Data_An_Cour!$U:$U,$B282,BV_Data_An_Cour!$V:$V,$C282,BV_Data_An_Cour!$W:$W,$L$2)</f>
        <v>0</v>
      </c>
      <c r="M282" s="320"/>
      <c r="N282" s="321">
        <f t="shared" ref="N282" si="140">L282-I282</f>
        <v>0</v>
      </c>
      <c r="O282" s="320"/>
      <c r="P282" s="195"/>
      <c r="Q282" s="197">
        <f>SUMIFS(BV_Data_An_Prec!$P:$P,BV_Data_An_Prec!$U:$U,$B282,BV_Data_An_Prec!$V:$V,$C282,BV_Data_An_Prec!$W:$W,$L$2)</f>
        <v>0</v>
      </c>
      <c r="R282" s="320"/>
      <c r="S282" s="216">
        <f t="shared" ref="S282" si="141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532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</row>
    <row r="283" spans="1:54" ht="15.75" customHeight="1">
      <c r="A283" s="600" t="str">
        <f t="shared" si="129"/>
        <v>Carrosserie[...]</v>
      </c>
      <c r="B283" s="24" t="s">
        <v>171</v>
      </c>
      <c r="C283" s="322" t="s">
        <v>42</v>
      </c>
      <c r="D283" s="318"/>
      <c r="E283" s="195"/>
      <c r="F283" s="196">
        <f>+SUMPRODUCT(('Budget original'!$A$8:$A$496=$A283)*('Budget original'!$C$3:$AO$3=F$2),'Budget original'!$C$8:$AO$496)</f>
        <v>0</v>
      </c>
      <c r="G283" s="319"/>
      <c r="H283" s="195"/>
      <c r="I283" s="196">
        <f>+SUMPRODUCT(('Budget révisé'!$A$8:$A$496=$A283)*('Budget révisé'!$C$3:$AO$3=I$2),'Budget révisé'!$C$8:$AO$496)</f>
        <v>0</v>
      </c>
      <c r="J283" s="320"/>
      <c r="K283" s="195"/>
      <c r="L283" s="197">
        <f>SUMIFS(BV_Data_An_Cour!$P:$P,BV_Data_An_Cour!$U:$U,$B283,BV_Data_An_Cour!$V:$V,$C283,BV_Data_An_Cour!$W:$W,$L$2)</f>
        <v>0</v>
      </c>
      <c r="M283" s="320"/>
      <c r="N283" s="321">
        <f t="shared" si="134"/>
        <v>0</v>
      </c>
      <c r="O283" s="320"/>
      <c r="P283" s="195"/>
      <c r="Q283" s="197">
        <f>SUMIFS(BV_Data_An_Prec!$P:$P,BV_Data_An_Prec!$U:$U,$B283,BV_Data_An_Prec!$V:$V,$C283,BV_Data_An_Prec!$W:$W,$L$2)</f>
        <v>0</v>
      </c>
      <c r="R283" s="320"/>
      <c r="S283" s="216">
        <f t="shared" si="135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532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</row>
    <row r="284" spans="1:54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2864.1</v>
      </c>
      <c r="M284" s="44"/>
      <c r="N284" s="41">
        <f>+SUM(N266:N283)</f>
        <v>-2384.2267444563727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si="135"/>
        <v>-2757.8999999999992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532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</row>
    <row r="285" spans="1:54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532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</row>
    <row r="286" spans="1:54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15026.02</v>
      </c>
      <c r="M286" s="44"/>
      <c r="N286" s="46">
        <f t="shared" ref="N286:N288" si="142">L286-I286</f>
        <v>-417.88477381035773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-2062.2299999999959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532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</row>
    <row r="287" spans="1:54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42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532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</row>
    <row r="288" spans="1:54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4382.9200000000019</v>
      </c>
      <c r="M288" s="362"/>
      <c r="N288" s="360">
        <f t="shared" si="142"/>
        <v>1937.6578813192718</v>
      </c>
      <c r="O288" s="362"/>
      <c r="P288" s="363"/>
      <c r="Q288" s="360">
        <f>Q249-Q286</f>
        <v>7767.43</v>
      </c>
      <c r="R288" s="362"/>
      <c r="S288" s="364">
        <f>L288-Q288</f>
        <v>-3384.5099999999984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</row>
    <row r="289" spans="1:54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532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532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532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</row>
    <row r="292" spans="1:54" ht="15.75" customHeight="1" thickTop="1">
      <c r="B292" s="24"/>
      <c r="C292" s="280"/>
      <c r="D292" s="1105" t="s">
        <v>77</v>
      </c>
      <c r="E292" s="1106"/>
      <c r="F292" s="1107"/>
      <c r="G292" s="1108" t="s">
        <v>145</v>
      </c>
      <c r="H292" s="1106"/>
      <c r="I292" s="1107"/>
      <c r="J292" s="1108" t="s">
        <v>79</v>
      </c>
      <c r="K292" s="1106"/>
      <c r="L292" s="1107"/>
      <c r="M292" s="1108" t="s">
        <v>80</v>
      </c>
      <c r="N292" s="1107"/>
      <c r="O292" s="1105" t="s">
        <v>81</v>
      </c>
      <c r="P292" s="1106"/>
      <c r="Q292" s="1107"/>
      <c r="R292" s="1108" t="s">
        <v>82</v>
      </c>
      <c r="S292" s="1109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532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</row>
    <row r="293" spans="1:54" ht="15.75" customHeight="1">
      <c r="A293" s="600" t="str">
        <f t="shared" ref="A293:A342" si="143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532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</row>
    <row r="294" spans="1:54" ht="15.75" customHeight="1">
      <c r="A294" s="600" t="str">
        <f t="shared" si="143"/>
        <v>PiècesPièces Ro Clients</v>
      </c>
      <c r="B294" s="24" t="s">
        <v>175</v>
      </c>
      <c r="C294" s="281" t="s">
        <v>177</v>
      </c>
      <c r="D294" s="214">
        <f>+SUMPRODUCT(('Budget original'!$A$8:$A$496=$A294)*('Budget original'!$C$3:$AO$3=D$2),'Budget original'!$C$8:$AO$496)</f>
        <v>56558.019542723647</v>
      </c>
      <c r="E294" s="227">
        <f>IF(D294=0,0,F294/D294)</f>
        <v>0.35812717564768926</v>
      </c>
      <c r="F294" s="216">
        <f>+SUMPRODUCT(('Budget original'!$A$8:$A$496=$A294)*('Budget original'!$C$3:$AO$3=F$2),'Budget original'!$C$8:$AO$496)</f>
        <v>20254.963799062432</v>
      </c>
      <c r="G294" s="214">
        <f>+SUMPRODUCT(('Budget révisé'!$A$8:$A$496=$A294)*('Budget révisé'!$C$3:$AO$3=G$2),'Budget révisé'!$C$8:$AO$496)</f>
        <v>56558.019542723647</v>
      </c>
      <c r="H294" s="227">
        <f>IF(G294=0,0,I294/G294)</f>
        <v>0.35812717564768926</v>
      </c>
      <c r="I294" s="216">
        <f>+SUMPRODUCT(('Budget révisé'!$A$8:$A$496=$A294)*('Budget révisé'!$C$3:$AO$3=I$2),'Budget révisé'!$C$8:$AO$496)</f>
        <v>20254.963799062432</v>
      </c>
      <c r="J294" s="196">
        <f>-SUMIFS(BV_Data_An_Cour!$P:$P,BV_Data_An_Cour!$X:$X,"Oui",BV_Data_An_Cour!$U:$U,$B294,BV_Data_An_Cour!$V:$V,$C294)</f>
        <v>45465.17</v>
      </c>
      <c r="K294" s="227">
        <f t="shared" ref="K294:K303" si="144">IF(J294&lt;=0,0,L294/J294)</f>
        <v>0.31191085395699608</v>
      </c>
      <c r="L294" s="197">
        <f>-SUMIFS(BV_Data_An_Cour!$P:$P,BV_Data_An_Cour!$U:$U,$B294,BV_Data_An_Cour!$V:$V,$C294,BV_Data_An_Cour!$W:$W,$L$2)</f>
        <v>14181.079999999998</v>
      </c>
      <c r="M294" s="341">
        <f t="shared" ref="M294:M299" si="145">(+J294-G294)/G294</f>
        <v>-0.19613221312221099</v>
      </c>
      <c r="N294" s="321">
        <f t="shared" ref="N294:N303" si="146">L294-I294</f>
        <v>-6073.8837990624343</v>
      </c>
      <c r="O294" s="196">
        <f>-SUMIFS(BV_Data_An_Prec!$P:$P,BV_Data_An_Prec!$X:$X,"Oui",BV_Data_An_Prec!$U:$U,$B294,BV_Data_An_Prec!$V:$V,$C294)</f>
        <v>56233.57</v>
      </c>
      <c r="P294" s="227">
        <f t="shared" ref="P294:P303" si="147">IF(O294&lt;=0,0,Q294/O294)</f>
        <v>0.31991779999029041</v>
      </c>
      <c r="Q294" s="197">
        <f>-SUMIFS(BV_Data_An_Prec!$P:$P,BV_Data_An_Prec!$U:$U,$B294,BV_Data_An_Prec!$V:$V,$C294,BV_Data_An_Prec!$W:$W,$L$2)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303" si="148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532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</row>
    <row r="295" spans="1:54" ht="15.75" customHeight="1">
      <c r="A295" s="600" t="str">
        <f t="shared" si="143"/>
        <v>PiècesPièces Ro Carrosserie</v>
      </c>
      <c r="B295" s="24" t="s">
        <v>175</v>
      </c>
      <c r="C295" s="281" t="s">
        <v>178</v>
      </c>
      <c r="D295" s="214">
        <f>+SUMPRODUCT(('Budget original'!$A$8:$A$496=$A295)*('Budget original'!$C$3:$AO$3=D$2),'Budget original'!$C$8:$AO$496)</f>
        <v>52423.803994647475</v>
      </c>
      <c r="E295" s="227">
        <f t="shared" ref="E295:E302" si="149">IF(D295=0,0,F295/D295)</f>
        <v>0.27367264200070923</v>
      </c>
      <c r="F295" s="216">
        <f>+SUMPRODUCT(('Budget original'!$A$8:$A$496=$A295)*('Budget original'!$C$3:$AO$3=F$2),'Budget original'!$C$8:$AO$496)</f>
        <v>14346.960942942509</v>
      </c>
      <c r="G295" s="214">
        <f>+SUMPRODUCT(('Budget révisé'!$A$8:$A$496=$A295)*('Budget révisé'!$C$3:$AO$3=G$2),'Budget révisé'!$C$8:$AO$496)</f>
        <v>52423.803994647475</v>
      </c>
      <c r="H295" s="227">
        <f t="shared" ref="H295:H302" si="150">IF(G295=0,0,I295/G295)</f>
        <v>0.27367264200070923</v>
      </c>
      <c r="I295" s="216">
        <f>+SUMPRODUCT(('Budget révisé'!$A$8:$A$496=$A295)*('Budget révisé'!$C$3:$AO$3=I$2),'Budget révisé'!$C$8:$AO$496)</f>
        <v>14346.960942942509</v>
      </c>
      <c r="J295" s="196">
        <f>-SUMIFS(BV_Data_An_Cour!$P:$P,BV_Data_An_Cour!$X:$X,"Oui",BV_Data_An_Cour!$U:$U,$B295,BV_Data_An_Cour!$V:$V,$C295)</f>
        <v>57925.8</v>
      </c>
      <c r="K295" s="227">
        <f t="shared" si="144"/>
        <v>0.2373664239423538</v>
      </c>
      <c r="L295" s="197">
        <f>-SUMIFS(BV_Data_An_Cour!$P:$P,BV_Data_An_Cour!$U:$U,$B295,BV_Data_An_Cour!$V:$V,$C295,BV_Data_An_Cour!$W:$W,$L$2)</f>
        <v>13749.639999999998</v>
      </c>
      <c r="M295" s="341">
        <f t="shared" si="145"/>
        <v>0.10495224661518816</v>
      </c>
      <c r="N295" s="321">
        <f t="shared" si="146"/>
        <v>-597.32094294251146</v>
      </c>
      <c r="O295" s="196">
        <f>-SUMIFS(BV_Data_An_Prec!$P:$P,BV_Data_An_Prec!$X:$X,"Oui",BV_Data_An_Prec!$U:$U,$B295,BV_Data_An_Prec!$V:$V,$C295)</f>
        <v>70579.89</v>
      </c>
      <c r="P295" s="227">
        <f t="shared" si="147"/>
        <v>0.25746639729815385</v>
      </c>
      <c r="Q295" s="197">
        <f>-SUMIFS(BV_Data_An_Prec!$P:$P,BV_Data_An_Prec!$U:$U,$B295,BV_Data_An_Prec!$V:$V,$C295,BV_Data_An_Prec!$W:$W,$L$2)</f>
        <v>18171.949999999997</v>
      </c>
      <c r="R295" s="341">
        <f t="shared" ref="R295:R302" si="151">IF(O295=0,0,(J295-O295)/O295)</f>
        <v>-0.17928747126128983</v>
      </c>
      <c r="S295" s="216">
        <f t="shared" si="148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532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</row>
    <row r="296" spans="1:54" ht="15.75" customHeight="1">
      <c r="A296" s="600" t="str">
        <f t="shared" si="143"/>
        <v>PiècesP/A Garantie</v>
      </c>
      <c r="B296" s="24" t="s">
        <v>175</v>
      </c>
      <c r="C296" s="281" t="s">
        <v>179</v>
      </c>
      <c r="D296" s="214">
        <f>+SUMPRODUCT(('Budget original'!$A$8:$A$496=$A296)*('Budget original'!$C$3:$AO$3=D$2),'Budget original'!$C$8:$AO$496)</f>
        <v>72277.206868378125</v>
      </c>
      <c r="E296" s="227">
        <f t="shared" si="149"/>
        <v>0.23983607715678656</v>
      </c>
      <c r="F296" s="216">
        <f>+SUMPRODUCT(('Budget original'!$A$8:$A$496=$A296)*('Budget original'!$C$3:$AO$3=F$2),'Budget original'!$C$8:$AO$496)</f>
        <v>17334.681763161359</v>
      </c>
      <c r="G296" s="214">
        <f>+SUMPRODUCT(('Budget révisé'!$A$8:$A$496=$A296)*('Budget révisé'!$C$3:$AO$3=G$2),'Budget révisé'!$C$8:$AO$496)</f>
        <v>72277.206868378125</v>
      </c>
      <c r="H296" s="227">
        <f t="shared" si="150"/>
        <v>0.23983607715678656</v>
      </c>
      <c r="I296" s="216">
        <f>+SUMPRODUCT(('Budget révisé'!$A$8:$A$496=$A296)*('Budget révisé'!$C$3:$AO$3=I$2),'Budget révisé'!$C$8:$AO$496)</f>
        <v>17334.681763161359</v>
      </c>
      <c r="J296" s="196">
        <f>-SUMIFS(BV_Data_An_Cour!$P:$P,BV_Data_An_Cour!$X:$X,"Oui",BV_Data_An_Cour!$U:$U,$B296,BV_Data_An_Cour!$V:$V,$C296)</f>
        <v>111661.14</v>
      </c>
      <c r="K296" s="227">
        <f t="shared" si="144"/>
        <v>0.24196116930205086</v>
      </c>
      <c r="L296" s="197">
        <f>-SUMIFS(BV_Data_An_Cour!$P:$P,BV_Data_An_Cour!$U:$U,$B296,BV_Data_An_Cour!$V:$V,$C296,BV_Data_An_Cour!$W:$W,$L$2)</f>
        <v>27017.660000000003</v>
      </c>
      <c r="M296" s="341">
        <f t="shared" si="145"/>
        <v>0.54490114986516824</v>
      </c>
      <c r="N296" s="321">
        <f t="shared" si="146"/>
        <v>9682.9782368386441</v>
      </c>
      <c r="O296" s="196">
        <f>-SUMIFS(BV_Data_An_Prec!$P:$P,BV_Data_An_Prec!$X:$X,"Oui",BV_Data_An_Prec!$U:$U,$B296,BV_Data_An_Prec!$V:$V,$C296)</f>
        <v>83371.94</v>
      </c>
      <c r="P296" s="227">
        <f t="shared" si="147"/>
        <v>0.24076757719683628</v>
      </c>
      <c r="Q296" s="197">
        <f>-SUMIFS(BV_Data_An_Prec!$P:$P,BV_Data_An_Prec!$U:$U,$B296,BV_Data_An_Prec!$V:$V,$C296,BV_Data_An_Prec!$W:$W,$L$2)</f>
        <v>20073.260000000002</v>
      </c>
      <c r="R296" s="341">
        <f t="shared" si="151"/>
        <v>0.33931320297932371</v>
      </c>
      <c r="S296" s="216">
        <f t="shared" si="148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532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</row>
    <row r="297" spans="1:54" ht="15.75" customHeight="1">
      <c r="A297" s="600" t="str">
        <f t="shared" si="143"/>
        <v>PiècesVentes Internes</v>
      </c>
      <c r="B297" s="24" t="s">
        <v>175</v>
      </c>
      <c r="C297" s="281" t="s">
        <v>180</v>
      </c>
      <c r="D297" s="214">
        <f>+SUMPRODUCT(('Budget original'!$A$8:$A$496=$A297)*('Budget original'!$C$3:$AO$3=D$2),'Budget original'!$C$8:$AO$496)</f>
        <v>41032.786125816012</v>
      </c>
      <c r="E297" s="227">
        <f t="shared" si="149"/>
        <v>0.32994466198333777</v>
      </c>
      <c r="F297" s="216">
        <f>+SUMPRODUCT(('Budget original'!$A$8:$A$496=$A297)*('Budget original'!$C$3:$AO$3=F$2),'Budget original'!$C$8:$AO$496)</f>
        <v>13538.548748516956</v>
      </c>
      <c r="G297" s="214">
        <f>+SUMPRODUCT(('Budget révisé'!$A$8:$A$496=$A297)*('Budget révisé'!$C$3:$AO$3=G$2),'Budget révisé'!$C$8:$AO$496)</f>
        <v>41032.786125816012</v>
      </c>
      <c r="H297" s="227">
        <f t="shared" si="150"/>
        <v>0.32994466198333777</v>
      </c>
      <c r="I297" s="216">
        <f>+SUMPRODUCT(('Budget révisé'!$A$8:$A$496=$A297)*('Budget révisé'!$C$3:$AO$3=I$2),'Budget révisé'!$C$8:$AO$496)</f>
        <v>13538.548748516956</v>
      </c>
      <c r="J297" s="196">
        <f>-SUMIFS(BV_Data_An_Cour!$P:$P,BV_Data_An_Cour!$X:$X,"Oui",BV_Data_An_Cour!$U:$U,$B297,BV_Data_An_Cour!$V:$V,$C297)</f>
        <v>20282.22</v>
      </c>
      <c r="K297" s="227">
        <f t="shared" si="144"/>
        <v>0.35630616372369495</v>
      </c>
      <c r="L297" s="197">
        <f>-SUMIFS(BV_Data_An_Cour!$P:$P,BV_Data_An_Cour!$U:$U,$B297,BV_Data_An_Cour!$V:$V,$C297,BV_Data_An_Cour!$W:$W,$L$2)</f>
        <v>7226.68</v>
      </c>
      <c r="M297" s="341">
        <f t="shared" si="145"/>
        <v>-0.5057069744713405</v>
      </c>
      <c r="N297" s="321">
        <f t="shared" si="146"/>
        <v>-6311.8687485169557</v>
      </c>
      <c r="O297" s="196">
        <f>-SUMIFS(BV_Data_An_Prec!$P:$P,BV_Data_An_Prec!$X:$X,"Oui",BV_Data_An_Prec!$U:$U,$B297,BV_Data_An_Prec!$V:$V,$C297)</f>
        <v>32156.7</v>
      </c>
      <c r="P297" s="227">
        <f t="shared" si="147"/>
        <v>0.31257094167000965</v>
      </c>
      <c r="Q297" s="197">
        <f>-SUMIFS(BV_Data_An_Prec!$P:$P,BV_Data_An_Prec!$U:$U,$B297,BV_Data_An_Prec!$V:$V,$C297,BV_Data_An_Prec!$W:$W,$L$2)</f>
        <v>10051.25</v>
      </c>
      <c r="R297" s="341">
        <f t="shared" si="151"/>
        <v>-0.36926923471624884</v>
      </c>
      <c r="S297" s="216">
        <f t="shared" si="148"/>
        <v>-2824.5699999999997</v>
      </c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532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</row>
    <row r="298" spans="1:54" ht="15.75" customHeight="1">
      <c r="A298" s="600" t="str">
        <f t="shared" si="143"/>
        <v>PiècesVentes Détails</v>
      </c>
      <c r="B298" s="24" t="s">
        <v>175</v>
      </c>
      <c r="C298" s="281" t="s">
        <v>181</v>
      </c>
      <c r="D298" s="214">
        <f>+SUMPRODUCT(('Budget original'!$A$8:$A$496=$A298)*('Budget original'!$C$3:$AO$3=D$2),'Budget original'!$C$8:$AO$496)</f>
        <v>11548.272056930771</v>
      </c>
      <c r="E298" s="227">
        <f t="shared" si="149"/>
        <v>0.29678579936093841</v>
      </c>
      <c r="F298" s="216">
        <f>+SUMPRODUCT(('Budget original'!$A$8:$A$496=$A298)*('Budget original'!$C$3:$AO$3=F$2),'Budget original'!$C$8:$AO$496)</f>
        <v>3427.3631536537873</v>
      </c>
      <c r="G298" s="214">
        <f>+SUMPRODUCT(('Budget révisé'!$A$8:$A$496=$A298)*('Budget révisé'!$C$3:$AO$3=G$2),'Budget révisé'!$C$8:$AO$496)</f>
        <v>11548.272056930771</v>
      </c>
      <c r="H298" s="227">
        <f t="shared" si="150"/>
        <v>0.29678579936093841</v>
      </c>
      <c r="I298" s="216">
        <f>+SUMPRODUCT(('Budget révisé'!$A$8:$A$496=$A298)*('Budget révisé'!$C$3:$AO$3=I$2),'Budget révisé'!$C$8:$AO$496)</f>
        <v>3427.3631536537873</v>
      </c>
      <c r="J298" s="196">
        <f>-SUMIFS(BV_Data_An_Cour!$P:$P,BV_Data_An_Cour!$X:$X,"Oui",BV_Data_An_Cour!$U:$U,$B298,BV_Data_An_Cour!$V:$V,$C298)</f>
        <v>10343.09</v>
      </c>
      <c r="K298" s="227">
        <f t="shared" si="144"/>
        <v>0.31593943396025753</v>
      </c>
      <c r="L298" s="197">
        <f>-SUMIFS(BV_Data_An_Cour!$P:$P,BV_Data_An_Cour!$U:$U,$B298,BV_Data_An_Cour!$V:$V,$C298,BV_Data_An_Cour!$W:$W,$L$2)</f>
        <v>3267.79</v>
      </c>
      <c r="M298" s="341">
        <f t="shared" si="145"/>
        <v>-0.10436037971650254</v>
      </c>
      <c r="N298" s="321">
        <f t="shared" si="146"/>
        <v>-159.57315365378736</v>
      </c>
      <c r="O298" s="196">
        <f>-SUMIFS(BV_Data_An_Prec!$P:$P,BV_Data_An_Prec!$X:$X,"Oui",BV_Data_An_Prec!$U:$U,$B298,BV_Data_An_Prec!$V:$V,$C298)</f>
        <v>9615.7000000000007</v>
      </c>
      <c r="P298" s="227">
        <f t="shared" si="147"/>
        <v>0.29582037709163139</v>
      </c>
      <c r="Q298" s="197">
        <f>-SUMIFS(BV_Data_An_Prec!$P:$P,BV_Data_An_Prec!$U:$U,$B298,BV_Data_An_Prec!$V:$V,$C298,BV_Data_An_Prec!$W:$W,$L$2)</f>
        <v>2844.5200000000004</v>
      </c>
      <c r="R298" s="341">
        <f t="shared" si="151"/>
        <v>7.5646078808615014E-2</v>
      </c>
      <c r="S298" s="216">
        <f t="shared" si="148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532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</row>
    <row r="299" spans="1:54" ht="15.75" customHeight="1">
      <c r="A299" s="600" t="str">
        <f t="shared" ref="A299:A300" si="152">+B299&amp;C299</f>
        <v>PiècesVentes de Gros</v>
      </c>
      <c r="B299" s="24" t="s">
        <v>175</v>
      </c>
      <c r="C299" s="281" t="s">
        <v>182</v>
      </c>
      <c r="D299" s="214">
        <f>+SUMPRODUCT(('Budget original'!$A$8:$A$496=$A299)*('Budget original'!$C$3:$AO$3=D$2),'Budget original'!$C$8:$AO$496)</f>
        <v>59510.634595705029</v>
      </c>
      <c r="E299" s="227">
        <f t="shared" si="149"/>
        <v>0.19081606757663094</v>
      </c>
      <c r="F299" s="216">
        <f>+SUMPRODUCT(('Budget original'!$A$8:$A$496=$A299)*('Budget original'!$C$3:$AO$3=F$2),'Budget original'!$C$8:$AO$496)</f>
        <v>11355.585272542243</v>
      </c>
      <c r="G299" s="214">
        <f>+SUMPRODUCT(('Budget révisé'!$A$8:$A$496=$A299)*('Budget révisé'!$C$3:$AO$3=G$2),'Budget révisé'!$C$8:$AO$496)</f>
        <v>59510.634595705029</v>
      </c>
      <c r="H299" s="227">
        <f t="shared" si="150"/>
        <v>0.19081606757663094</v>
      </c>
      <c r="I299" s="216">
        <f>+SUMPRODUCT(('Budget révisé'!$A$8:$A$496=$A299)*('Budget révisé'!$C$3:$AO$3=I$2),'Budget révisé'!$C$8:$AO$496)</f>
        <v>11355.585272542243</v>
      </c>
      <c r="J299" s="196">
        <f>-SUMIFS(BV_Data_An_Cour!$P:$P,BV_Data_An_Cour!$X:$X,"Oui",BV_Data_An_Cour!$U:$U,$B299,BV_Data_An_Cour!$V:$V,$C299)</f>
        <v>44671.41</v>
      </c>
      <c r="K299" s="227">
        <f t="shared" si="144"/>
        <v>0.19024785651493889</v>
      </c>
      <c r="L299" s="197">
        <f>-SUMIFS(BV_Data_An_Cour!$P:$P,BV_Data_An_Cour!$U:$U,$B299,BV_Data_An_Cour!$V:$V,$C299,BV_Data_An_Cour!$W:$W,$L$2)</f>
        <v>8498.6400000000067</v>
      </c>
      <c r="M299" s="341">
        <f t="shared" si="145"/>
        <v>-0.24935416495753507</v>
      </c>
      <c r="N299" s="321">
        <f t="shared" si="146"/>
        <v>-2856.9452725422361</v>
      </c>
      <c r="O299" s="196">
        <f>-SUMIFS(BV_Data_An_Prec!$P:$P,BV_Data_An_Prec!$X:$X,"Oui",BV_Data_An_Prec!$U:$U,$B299,BV_Data_An_Prec!$V:$V,$C299)</f>
        <v>53442.19</v>
      </c>
      <c r="P299" s="227">
        <f t="shared" si="147"/>
        <v>0.19849317552293427</v>
      </c>
      <c r="Q299" s="197">
        <f>-SUMIFS(BV_Data_An_Prec!$P:$P,BV_Data_An_Prec!$U:$U,$B299,BV_Data_An_Prec!$V:$V,$C299,BV_Data_An_Prec!$W:$W,$L$2)</f>
        <v>10607.910000000003</v>
      </c>
      <c r="R299" s="341">
        <f t="shared" si="151"/>
        <v>-0.16411715163618854</v>
      </c>
      <c r="S299" s="216">
        <f t="shared" si="148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532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</row>
    <row r="300" spans="1:54" ht="15.75" customHeight="1">
      <c r="A300" s="600" t="str">
        <f t="shared" si="152"/>
        <v>Pièces[...]</v>
      </c>
      <c r="B300" s="24" t="s">
        <v>175</v>
      </c>
      <c r="C300" s="281" t="s">
        <v>42</v>
      </c>
      <c r="D300" s="214">
        <f>+SUMPRODUCT(('Budget original'!$A$8:$A$496=$A300)*('Budget original'!$C$3:$AO$3=D$2),'Budget original'!$C$8:$AO$496)</f>
        <v>0</v>
      </c>
      <c r="E300" s="227">
        <f t="shared" ref="E300" si="153">IF(D300=0,0,F300/D300)</f>
        <v>0</v>
      </c>
      <c r="F300" s="216">
        <f>+SUMPRODUCT(('Budget original'!$A$8:$A$496=$A300)*('Budget original'!$C$3:$AO$3=F$2),'Budget original'!$C$8:$AO$496)</f>
        <v>0</v>
      </c>
      <c r="G300" s="214">
        <f>+SUMPRODUCT(('Budget révisé'!$A$8:$A$496=$A300)*('Budget révisé'!$C$3:$AO$3=G$2),'Budget révisé'!$C$8:$AO$496)</f>
        <v>0</v>
      </c>
      <c r="H300" s="227">
        <f t="shared" ref="H300" si="154">IF(G300=0,0,I300/G300)</f>
        <v>0</v>
      </c>
      <c r="I300" s="216">
        <f>+SUMPRODUCT(('Budget révisé'!$A$8:$A$496=$A300)*('Budget révisé'!$C$3:$AO$3=I$2),'Budget révisé'!$C$8:$AO$496)</f>
        <v>0</v>
      </c>
      <c r="J300" s="196">
        <f>-SUMIFS(BV_Data_An_Cour!$P:$P,BV_Data_An_Cour!$X:$X,"Oui",BV_Data_An_Cour!$U:$U,$B300,BV_Data_An_Cour!$V:$V,$C300)</f>
        <v>0</v>
      </c>
      <c r="K300" s="227">
        <f t="shared" ref="K300" si="155">IF(J300&lt;=0,0,L300/J300)</f>
        <v>0</v>
      </c>
      <c r="L300" s="197">
        <f>-SUMIFS(BV_Data_An_Cour!$P:$P,BV_Data_An_Cour!$U:$U,$B300,BV_Data_An_Cour!$V:$V,$C300,BV_Data_An_Cour!$W:$W,$L$2)</f>
        <v>0</v>
      </c>
      <c r="M300" s="341" t="e">
        <f t="shared" ref="M300" si="156">(+J300-G300)/G300</f>
        <v>#DIV/0!</v>
      </c>
      <c r="N300" s="321">
        <f t="shared" ref="N300" si="157">L300-I300</f>
        <v>0</v>
      </c>
      <c r="O300" s="196">
        <f>-SUMIFS(BV_Data_An_Prec!$P:$P,BV_Data_An_Prec!$X:$X,"Oui",BV_Data_An_Prec!$U:$U,$B300,BV_Data_An_Prec!$V:$V,$C300)</f>
        <v>0</v>
      </c>
      <c r="P300" s="227">
        <f t="shared" ref="P300" si="158">IF(O300&lt;=0,0,Q300/O300)</f>
        <v>0</v>
      </c>
      <c r="Q300" s="197">
        <f>-SUMIFS(BV_Data_An_Prec!$P:$P,BV_Data_An_Prec!$U:$U,$B300,BV_Data_An_Prec!$V:$V,$C300,BV_Data_An_Prec!$W:$W,$L$2)</f>
        <v>0</v>
      </c>
      <c r="R300" s="341">
        <f t="shared" ref="R300" si="159">IF(O300=0,0,(J300-O300)/O300)</f>
        <v>0</v>
      </c>
      <c r="S300" s="216">
        <f t="shared" ref="S300" si="160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532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</row>
    <row r="301" spans="1:54" ht="15.75" customHeight="1">
      <c r="A301" s="600" t="str">
        <f t="shared" si="143"/>
        <v>PiècesEscomptes</v>
      </c>
      <c r="B301" s="24" t="s">
        <v>175</v>
      </c>
      <c r="C301" s="281" t="s">
        <v>183</v>
      </c>
      <c r="D301" s="214">
        <f>+SUMPRODUCT(('Budget original'!$A$8:$A$496=$A301)*('Budget original'!$C$3:$AO$3=D$2),'Budget original'!$C$8:$AO$496)</f>
        <v>0</v>
      </c>
      <c r="E301" s="227">
        <f t="shared" si="149"/>
        <v>0</v>
      </c>
      <c r="F301" s="216">
        <f>+SUMPRODUCT(('Budget original'!$A$8:$A$496=$A301)*('Budget original'!$C$3:$AO$3=F$2),'Budget original'!$C$8:$AO$496)</f>
        <v>9299.8945100890614</v>
      </c>
      <c r="G301" s="214">
        <f>+SUMPRODUCT(('Budget révisé'!$A$8:$A$496=$A301)*('Budget révisé'!$C$3:$AO$3=G$2),'Budget révisé'!$C$8:$AO$496)</f>
        <v>0</v>
      </c>
      <c r="H301" s="227">
        <f t="shared" si="150"/>
        <v>0</v>
      </c>
      <c r="I301" s="216">
        <f>+SUMPRODUCT(('Budget révisé'!$A$8:$A$496=$A301)*('Budget révisé'!$C$3:$AO$3=I$2),'Budget révisé'!$C$8:$AO$496)</f>
        <v>9299.8945100890614</v>
      </c>
      <c r="J301" s="196">
        <f>-SUMIFS(BV_Data_An_Cour!$P:$P,BV_Data_An_Cour!$X:$X,"Oui",BV_Data_An_Cour!$U:$U,$B301,BV_Data_An_Cour!$V:$V,$C301)</f>
        <v>0</v>
      </c>
      <c r="K301" s="227">
        <f t="shared" si="144"/>
        <v>0</v>
      </c>
      <c r="L301" s="197">
        <f>-SUMIFS(BV_Data_An_Cour!$P:$P,BV_Data_An_Cour!$U:$U,$B301,BV_Data_An_Cour!$V:$V,$C301,BV_Data_An_Cour!$W:$W,$L$2)</f>
        <v>3100.73</v>
      </c>
      <c r="M301" s="341"/>
      <c r="N301" s="321">
        <f t="shared" si="146"/>
        <v>-6199.1645100890619</v>
      </c>
      <c r="O301" s="196">
        <f>-SUMIFS(BV_Data_An_Prec!$P:$P,BV_Data_An_Prec!$X:$X,"Oui",BV_Data_An_Prec!$U:$U,$B301,BV_Data_An_Prec!$V:$V,$C301)</f>
        <v>0</v>
      </c>
      <c r="P301" s="227">
        <f t="shared" si="147"/>
        <v>0</v>
      </c>
      <c r="Q301" s="197">
        <f>-SUMIFS(BV_Data_An_Prec!$P:$P,BV_Data_An_Prec!$U:$U,$B301,BV_Data_An_Prec!$V:$V,$C301,BV_Data_An_Prec!$W:$W,$L$2)</f>
        <v>5765.22</v>
      </c>
      <c r="R301" s="341">
        <f t="shared" si="151"/>
        <v>0</v>
      </c>
      <c r="S301" s="216">
        <f t="shared" si="148"/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532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</row>
    <row r="302" spans="1:54" ht="15.75" customHeight="1">
      <c r="A302" s="600" t="str">
        <f t="shared" si="143"/>
        <v>PiècesRectif. Inventaire</v>
      </c>
      <c r="B302" s="24" t="s">
        <v>175</v>
      </c>
      <c r="C302" s="343" t="s">
        <v>184</v>
      </c>
      <c r="D302" s="214">
        <f>+SUMPRODUCT(('Budget original'!$A$8:$A$496=$A302)*('Budget original'!$C$3:$AO$3=D$2),'Budget original'!$C$8:$AO$496)</f>
        <v>0</v>
      </c>
      <c r="E302" s="227">
        <f t="shared" si="149"/>
        <v>0</v>
      </c>
      <c r="F302" s="216">
        <f>+SUMPRODUCT(('Budget original'!$A$8:$A$496=$A302)*('Budget original'!$C$3:$AO$3=F$2),'Budget original'!$C$8:$AO$496)</f>
        <v>100</v>
      </c>
      <c r="G302" s="214">
        <f>+SUMPRODUCT(('Budget révisé'!$A$8:$A$496=$A302)*('Budget révisé'!$C$3:$AO$3=G$2),'Budget révisé'!$C$8:$AO$496)</f>
        <v>0</v>
      </c>
      <c r="H302" s="227">
        <f t="shared" si="150"/>
        <v>0</v>
      </c>
      <c r="I302" s="216">
        <f>+SUMPRODUCT(('Budget révisé'!$A$8:$A$496=$A302)*('Budget révisé'!$C$3:$AO$3=I$2),'Budget révisé'!$C$8:$AO$496)</f>
        <v>100</v>
      </c>
      <c r="J302" s="196">
        <f>-SUMIFS(BV_Data_An_Cour!$P:$P,BV_Data_An_Cour!$X:$X,"Oui",BV_Data_An_Cour!$U:$U,$B302,BV_Data_An_Cour!$V:$V,$C302)</f>
        <v>0</v>
      </c>
      <c r="K302" s="227">
        <f t="shared" si="144"/>
        <v>0</v>
      </c>
      <c r="L302" s="197">
        <f>-SUMIFS(BV_Data_An_Cour!$P:$P,BV_Data_An_Cour!$U:$U,$B302,BV_Data_An_Cour!$V:$V,$C302,BV_Data_An_Cour!$W:$W,$L$2)</f>
        <v>0</v>
      </c>
      <c r="M302" s="341"/>
      <c r="N302" s="321">
        <f t="shared" si="146"/>
        <v>-100</v>
      </c>
      <c r="O302" s="196">
        <f>-SUMIFS(BV_Data_An_Prec!$P:$P,BV_Data_An_Prec!$X:$X,"Oui",BV_Data_An_Prec!$U:$U,$B302,BV_Data_An_Prec!$V:$V,$C302)</f>
        <v>0</v>
      </c>
      <c r="P302" s="227">
        <f t="shared" si="147"/>
        <v>0</v>
      </c>
      <c r="Q302" s="197">
        <f>-SUMIFS(BV_Data_An_Prec!$P:$P,BV_Data_An_Prec!$U:$U,$B302,BV_Data_An_Prec!$V:$V,$C302,BV_Data_An_Prec!$W:$W,$L$2)</f>
        <v>0</v>
      </c>
      <c r="R302" s="341">
        <f t="shared" si="151"/>
        <v>0</v>
      </c>
      <c r="S302" s="216">
        <f t="shared" si="148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532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</row>
    <row r="303" spans="1:54" ht="15.75" customHeight="1">
      <c r="A303" s="600" t="str">
        <f t="shared" si="143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44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46"/>
        <v>-12615.778189968347</v>
      </c>
      <c r="O303" s="215">
        <f>SUM(O294:O302)</f>
        <v>305399.99</v>
      </c>
      <c r="P303" s="345">
        <f t="shared" si="147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48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532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</row>
    <row r="304" spans="1:54" ht="15.75" customHeight="1">
      <c r="A304" s="600" t="str">
        <f t="shared" si="143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532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</row>
    <row r="305" spans="1:54" ht="15.75" customHeight="1">
      <c r="A305" s="600" t="str">
        <f t="shared" si="143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532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</row>
    <row r="306" spans="1:54" ht="15.75" customHeight="1">
      <c r="A306" s="600" t="str">
        <f t="shared" si="143"/>
        <v>PiècesVentes Pneus</v>
      </c>
      <c r="B306" s="24" t="s">
        <v>175</v>
      </c>
      <c r="C306" s="281" t="s">
        <v>186</v>
      </c>
      <c r="D306" s="214">
        <f>+SUMPRODUCT(('Budget original'!$A$8:$A$496=$A306)*('Budget original'!$C$3:$AO$3=D$2),'Budget original'!$C$8:$AO$496)</f>
        <v>44733.070931018294</v>
      </c>
      <c r="E306" s="227">
        <f t="shared" ref="E306:E307" si="161">IF(D306=0,0,F306/D306)</f>
        <v>0.19499999999999998</v>
      </c>
      <c r="F306" s="218">
        <f>+SUMPRODUCT(('Budget original'!$A$8:$A$496=$A306)*('Budget original'!$C$3:$AO$3=F$2),'Budget original'!$C$8:$AO$496)</f>
        <v>8722.9488315485669</v>
      </c>
      <c r="G306" s="214">
        <f>+SUMPRODUCT(('Budget révisé'!$A$8:$A$496=$A306)*('Budget révisé'!$C$3:$AO$3=G$2),'Budget révisé'!$C$8:$AO$496)</f>
        <v>44733.070931018294</v>
      </c>
      <c r="H306" s="227">
        <f t="shared" ref="H306:H307" si="162">IF(G306=0,0,I306/G306)</f>
        <v>0.19499999999999998</v>
      </c>
      <c r="I306" s="218">
        <f>+SUMPRODUCT(('Budget révisé'!$A$8:$A$496=$A306)*('Budget révisé'!$C$3:$AO$3=I$2),'Budget révisé'!$C$8:$AO$496)</f>
        <v>8722.9488315485669</v>
      </c>
      <c r="J306" s="196">
        <f>-SUMIFS(BV_Data_An_Cour!$P:$P,BV_Data_An_Cour!$X:$X,"Oui",BV_Data_An_Cour!$U:$U,$B306,BV_Data_An_Cour!$V:$V,$C306)</f>
        <v>14638.67</v>
      </c>
      <c r="K306" s="227">
        <f t="shared" ref="K306:K308" si="163">IF(J306&lt;=0,0,L306/J306)</f>
        <v>0.18497308840215676</v>
      </c>
      <c r="L306" s="197">
        <f>-SUMIFS(BV_Data_An_Cour!$P:$P,BV_Data_An_Cour!$U:$U,$B306,BV_Data_An_Cour!$V:$V,$C306,BV_Data_An_Cour!$W:$W,$L$2)</f>
        <v>2707.76</v>
      </c>
      <c r="M306" s="341">
        <f t="shared" ref="M306:M308" si="164">(+J306-G306)/G306</f>
        <v>-0.6727550848772732</v>
      </c>
      <c r="N306" s="321">
        <f t="shared" ref="N306:N308" si="165">L306-I306</f>
        <v>-6015.1888315485667</v>
      </c>
      <c r="O306" s="196">
        <f>-SUMIFS(BV_Data_An_Prec!$P:$P,BV_Data_An_Prec!$X:$X,"Oui",BV_Data_An_Prec!$U:$U,$B306,BV_Data_An_Prec!$V:$V,$C306)</f>
        <v>44967.79</v>
      </c>
      <c r="P306" s="227">
        <f t="shared" ref="P306:P308" si="166">IF(O306&lt;=0,0,Q306/O306)</f>
        <v>0.19901845298601517</v>
      </c>
      <c r="Q306" s="197">
        <f>-SUMIFS(BV_Data_An_Prec!$P:$P,BV_Data_An_Prec!$U:$U,$B306,BV_Data_An_Prec!$V:$V,$C306,BV_Data_An_Prec!$W:$W,$L$2)</f>
        <v>8949.4200000000037</v>
      </c>
      <c r="R306" s="341">
        <f t="shared" ref="R306:R307" si="167">IF(O306=0,0,(J306-O306)/O306)</f>
        <v>-0.6744632102222502</v>
      </c>
      <c r="S306" s="216">
        <f t="shared" ref="S306:S308" si="168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532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</row>
    <row r="307" spans="1:54" ht="15.75" customHeight="1">
      <c r="A307" s="600" t="str">
        <f t="shared" si="143"/>
        <v>PiècesHuiles et Graisse</v>
      </c>
      <c r="B307" s="24" t="s">
        <v>175</v>
      </c>
      <c r="C307" s="343" t="s">
        <v>187</v>
      </c>
      <c r="D307" s="214">
        <f>+SUMPRODUCT(('Budget original'!$A$8:$A$496=$A307)*('Budget original'!$C$3:$AO$3=D$2),'Budget original'!$C$8:$AO$496)</f>
        <v>13115.788065400957</v>
      </c>
      <c r="E307" s="227">
        <f t="shared" si="161"/>
        <v>0.30006987567403659</v>
      </c>
      <c r="F307" s="219">
        <f>+SUMPRODUCT(('Budget original'!$A$8:$A$496=$A307)*('Budget original'!$C$3:$AO$3=F$2),'Budget original'!$C$8:$AO$496)</f>
        <v>3935.6528941518782</v>
      </c>
      <c r="G307" s="214">
        <f>+SUMPRODUCT(('Budget révisé'!$A$8:$A$496=$A307)*('Budget révisé'!$C$3:$AO$3=G$2),'Budget révisé'!$C$8:$AO$496)</f>
        <v>13115.788065400957</v>
      </c>
      <c r="H307" s="227">
        <f t="shared" si="162"/>
        <v>0.30006987567403659</v>
      </c>
      <c r="I307" s="219">
        <f>+SUMPRODUCT(('Budget révisé'!$A$8:$A$496=$A307)*('Budget révisé'!$C$3:$AO$3=I$2),'Budget révisé'!$C$8:$AO$496)</f>
        <v>3935.6528941518782</v>
      </c>
      <c r="J307" s="196">
        <f>-SUMIFS(BV_Data_An_Cour!$P:$P,BV_Data_An_Cour!$X:$X,"Oui",BV_Data_An_Cour!$U:$U,$B307,BV_Data_An_Cour!$V:$V,$C307)</f>
        <v>11296.55</v>
      </c>
      <c r="K307" s="227">
        <f t="shared" si="163"/>
        <v>0.28911835914504863</v>
      </c>
      <c r="L307" s="197">
        <f>-SUMIFS(BV_Data_An_Cour!$P:$P,BV_Data_An_Cour!$U:$U,$B307,BV_Data_An_Cour!$V:$V,$C307,BV_Data_An_Cour!$W:$W,$L$2)</f>
        <v>3266.0399999999991</v>
      </c>
      <c r="M307" s="341">
        <f t="shared" si="164"/>
        <v>-0.13870596691021955</v>
      </c>
      <c r="N307" s="321">
        <f t="shared" si="165"/>
        <v>-669.61289415187912</v>
      </c>
      <c r="O307" s="196">
        <f>-SUMIFS(BV_Data_An_Prec!$P:$P,BV_Data_An_Prec!$X:$X,"Oui",BV_Data_An_Prec!$U:$U,$B307,BV_Data_An_Prec!$V:$V,$C307)</f>
        <v>12499.4</v>
      </c>
      <c r="P307" s="227">
        <f t="shared" si="166"/>
        <v>0.27894218922508274</v>
      </c>
      <c r="Q307" s="197">
        <f>-SUMIFS(BV_Data_An_Prec!$P:$P,BV_Data_An_Prec!$U:$U,$B307,BV_Data_An_Prec!$V:$V,$C307,BV_Data_An_Prec!$W:$W,$L$2)</f>
        <v>3486.6099999999988</v>
      </c>
      <c r="R307" s="341">
        <f t="shared" si="167"/>
        <v>-9.6232619165719985E-2</v>
      </c>
      <c r="S307" s="216">
        <f t="shared" si="168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532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</row>
    <row r="308" spans="1:54" ht="15.75" customHeight="1">
      <c r="A308" s="600" t="str">
        <f t="shared" si="143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69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70">I303+I306+I307</f>
        <v>102316.59991566879</v>
      </c>
      <c r="J308" s="348">
        <f t="shared" ref="J308" si="171">J303+J306+J307</f>
        <v>316284.04999999993</v>
      </c>
      <c r="K308" s="345">
        <f t="shared" si="163"/>
        <v>0.26247298907421984</v>
      </c>
      <c r="L308" s="346">
        <f>L303+L306+L307</f>
        <v>83016.01999999999</v>
      </c>
      <c r="M308" s="347">
        <f t="shared" si="164"/>
        <v>-9.9417920613195557E-2</v>
      </c>
      <c r="N308" s="346">
        <f t="shared" si="165"/>
        <v>-19300.579915668801</v>
      </c>
      <c r="O308" s="348">
        <f t="shared" ref="O308" si="172">O303+O306+O307</f>
        <v>362867.18</v>
      </c>
      <c r="P308" s="345">
        <f t="shared" si="166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68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532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</row>
    <row r="309" spans="1:54" ht="15.75" customHeight="1">
      <c r="A309" s="600" t="str">
        <f t="shared" si="143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532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</row>
    <row r="310" spans="1:54" ht="15.75" customHeight="1">
      <c r="A310" s="600" t="str">
        <f t="shared" si="143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</row>
    <row r="311" spans="1:54" ht="15.75" customHeight="1">
      <c r="A311" s="600" t="str">
        <f t="shared" si="143"/>
        <v>PiècesAutostock</v>
      </c>
      <c r="B311" s="24" t="s">
        <v>175</v>
      </c>
      <c r="C311" s="343" t="s">
        <v>189</v>
      </c>
      <c r="D311" s="207">
        <f>+SUMPRODUCT(('Budget original'!$A$8:$A$496=$A311)*('Budget original'!$C$3:$AO$3=D$2),'Budget original'!$C$8:$AO$496)</f>
        <v>0</v>
      </c>
      <c r="E311" s="212">
        <f t="shared" ref="E311" si="173">IF(D311=0,0,F311/D311)</f>
        <v>0</v>
      </c>
      <c r="F311" s="213">
        <f>+SUMPRODUCT(('Budget original'!$A$8:$A$496=$A311)*('Budget original'!$C$3:$AO$3=F$2),'Budget original'!$C$8:$AO$496)</f>
        <v>0</v>
      </c>
      <c r="G311" s="228">
        <f>+SUMPRODUCT(('Budget révisé'!$A$8:$A$496=$A311)*('Budget révisé'!$C$3:$AO$3=G$2),'Budget révisé'!$C$8:$AO$496)</f>
        <v>0</v>
      </c>
      <c r="H311" s="212">
        <f t="shared" ref="H311" si="174">IF(G311=0,0,I311/G311)</f>
        <v>0</v>
      </c>
      <c r="I311" s="213">
        <f>+SUMPRODUCT(('Budget révisé'!$A$8:$A$496=$A311)*('Budget révisé'!$C$3:$AO$3=I$2),'Budget révisé'!$C$8:$AO$496)</f>
        <v>0</v>
      </c>
      <c r="J311" s="200">
        <f>-SUMIFS(BV_Data_An_Cour!$P:$P,BV_Data_An_Cour!$X:$X,"Oui",BV_Data_An_Cour!$U:$U,$B311,BV_Data_An_Cour!$V:$V,$C311)</f>
        <v>0</v>
      </c>
      <c r="K311" s="355">
        <f>IF(J311&lt;=0,0,L311/J311)</f>
        <v>0</v>
      </c>
      <c r="L311" s="194">
        <f>-SUMIFS(BV_Data_An_Cour!$P:$P,BV_Data_An_Cour!$U:$U,$B311,BV_Data_An_Cour!$V:$V,$C311,BV_Data_An_Cour!$W:$W,$L$2)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-SUMIFS(BV_Data_An_Prec!$P:$P,BV_Data_An_Prec!$X:$X,"Oui",BV_Data_An_Prec!$U:$U,$B311,BV_Data_An_Prec!$V:$V,$C311)</f>
        <v>0</v>
      </c>
      <c r="P311" s="355">
        <f>IF(O311&lt;=0,0,Q311/O311)</f>
        <v>0</v>
      </c>
      <c r="Q311" s="194">
        <f>-SUMIFS(BV_Data_An_Prec!$P:$P,BV_Data_An_Prec!$U:$U,$B311,BV_Data_An_Prec!$V:$V,$C311,BV_Data_An_Prec!$W:$W,$L$2)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532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</row>
    <row r="312" spans="1:54" ht="15.75" customHeight="1" thickBot="1">
      <c r="A312" s="600" t="str">
        <f t="shared" si="143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532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</row>
    <row r="313" spans="1:54" ht="15.75" customHeight="1" thickTop="1">
      <c r="A313" s="600" t="str">
        <f t="shared" si="143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75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76">I308+I311</f>
        <v>102316.59991566879</v>
      </c>
      <c r="J313" s="29">
        <f t="shared" ref="J313" si="177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78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532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</row>
    <row r="314" spans="1:54" ht="15.75" customHeight="1" thickBot="1">
      <c r="A314" s="600" t="str">
        <f t="shared" si="143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532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</row>
    <row r="315" spans="1:54" ht="15.75" customHeight="1" thickTop="1">
      <c r="A315" s="600" t="str">
        <f t="shared" si="143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532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</row>
    <row r="316" spans="1:54" ht="15.75" customHeight="1">
      <c r="A316" s="600" t="str">
        <f t="shared" si="143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532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</row>
    <row r="317" spans="1:54" ht="15.75" customHeight="1">
      <c r="A317" s="600" t="str">
        <f t="shared" si="143"/>
        <v>PiècesSalaires cadres</v>
      </c>
      <c r="B317" s="24" t="s">
        <v>175</v>
      </c>
      <c r="C317" s="297" t="s">
        <v>112</v>
      </c>
      <c r="D317" s="250"/>
      <c r="E317" s="250"/>
      <c r="F317" s="248">
        <f>+SUMPRODUCT(('Budget original'!$A$8:$A$496=$A317)*('Budget original'!$C$3:$AO$3=F$2),'Budget original'!$C$8:$AO$496)</f>
        <v>8924.8553069292284</v>
      </c>
      <c r="G317" s="244"/>
      <c r="H317" s="250"/>
      <c r="I317" s="248">
        <f>+SUMPRODUCT(('Budget révisé'!$A$8:$A$496=$A317)*('Budget révisé'!$C$3:$AO$3=I$2),'Budget révisé'!$C$8:$AO$496)</f>
        <v>8924.8553069292284</v>
      </c>
      <c r="J317" s="244"/>
      <c r="K317" s="250"/>
      <c r="L317" s="298">
        <f>SUMIFS(BV_Data_An_Cour!$P:$P,BV_Data_An_Cour!$U:$U,$B317,BV_Data_An_Cour!$V:$V,$C317,BV_Data_An_Cour!$W:$W,$L$2)</f>
        <v>3692.69</v>
      </c>
      <c r="M317" s="244"/>
      <c r="N317" s="295"/>
      <c r="O317" s="244"/>
      <c r="P317" s="250"/>
      <c r="Q317" s="298">
        <f>SUMIFS(BV_Data_An_Prec!$P:$P,BV_Data_An_Prec!$U:$U,$B317,BV_Data_An_Prec!$V:$V,$C317,BV_Data_An_Prec!$W:$W,$L$2)</f>
        <v>11779.79</v>
      </c>
      <c r="R317" s="244"/>
      <c r="S317" s="529">
        <f>L317-Q317</f>
        <v>-8087.1</v>
      </c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532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</row>
    <row r="318" spans="1:54" ht="15.75" customHeight="1">
      <c r="A318" s="600" t="str">
        <f t="shared" si="143"/>
        <v>PiècesSalaires commis</v>
      </c>
      <c r="B318" s="24" t="s">
        <v>175</v>
      </c>
      <c r="C318" s="299" t="s">
        <v>113</v>
      </c>
      <c r="D318" s="279"/>
      <c r="E318" s="250"/>
      <c r="F318" s="261">
        <f>+SUMPRODUCT(('Budget original'!$A$8:$A$496=$A318)*('Budget original'!$C$3:$AO$3=F$2),'Budget original'!$C$8:$AO$496)</f>
        <v>4254.8802291494258</v>
      </c>
      <c r="G318" s="300"/>
      <c r="H318" s="250"/>
      <c r="I318" s="261">
        <f>+SUMPRODUCT(('Budget révisé'!$A$8:$A$496=$A318)*('Budget révisé'!$C$3:$AO$3=I$2),'Budget révisé'!$C$8:$AO$496)</f>
        <v>4254.8802291494258</v>
      </c>
      <c r="J318" s="244"/>
      <c r="K318" s="250"/>
      <c r="L318" s="298">
        <f>SUMIFS(BV_Data_An_Cour!$P:$P,BV_Data_An_Cour!$U:$U,$B318,BV_Data_An_Cour!$V:$V,$C318,BV_Data_An_Cour!$W:$W,$L$2)</f>
        <v>4211.63</v>
      </c>
      <c r="M318" s="244"/>
      <c r="N318" s="249">
        <f t="shared" ref="N318:N342" si="179">L318-I318</f>
        <v>-43.25022914942565</v>
      </c>
      <c r="O318" s="244"/>
      <c r="P318" s="250"/>
      <c r="Q318" s="298">
        <f>SUMIFS(BV_Data_An_Prec!$P:$P,BV_Data_An_Prec!$U:$U,$B318,BV_Data_An_Prec!$V:$V,$C318,BV_Data_An_Prec!$W:$W,$L$2)</f>
        <v>4025.74</v>
      </c>
      <c r="R318" s="244"/>
      <c r="S318" s="301">
        <f t="shared" ref="S318:S342" si="180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532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</row>
    <row r="319" spans="1:54" ht="15.75" customHeight="1">
      <c r="A319" s="600" t="str">
        <f t="shared" si="143"/>
        <v>PiècesSalaires autres</v>
      </c>
      <c r="B319" s="24" t="s">
        <v>175</v>
      </c>
      <c r="C319" s="297" t="s">
        <v>114</v>
      </c>
      <c r="D319" s="302"/>
      <c r="E319" s="303"/>
      <c r="F319" s="248">
        <f>+SUMPRODUCT(('Budget original'!$A$8:$A$496=$A319)*('Budget original'!$C$3:$AO$3=F$2),'Budget original'!$C$8:$AO$496)</f>
        <v>15813.640893866666</v>
      </c>
      <c r="G319" s="304"/>
      <c r="H319" s="303"/>
      <c r="I319" s="248">
        <f>+SUMPRODUCT(('Budget révisé'!$A$8:$A$496=$A319)*('Budget révisé'!$C$3:$AO$3=I$2),'Budget révisé'!$C$8:$AO$496)</f>
        <v>15813.640893866666</v>
      </c>
      <c r="J319" s="305"/>
      <c r="K319" s="303"/>
      <c r="L319" s="262">
        <f>SUMIFS(BV_Data_An_Cour!$P:$P,BV_Data_An_Cour!$U:$U,$B319,BV_Data_An_Cour!$V:$V,$C319,BV_Data_An_Cour!$W:$W,$L$2)</f>
        <v>23019.06</v>
      </c>
      <c r="M319" s="305"/>
      <c r="N319" s="306">
        <f t="shared" si="179"/>
        <v>7205.4191061333349</v>
      </c>
      <c r="O319" s="305"/>
      <c r="P319" s="303"/>
      <c r="Q319" s="262">
        <f>SUMIFS(BV_Data_An_Prec!$P:$P,BV_Data_An_Prec!$U:$U,$B319,BV_Data_An_Prec!$V:$V,$C319,BV_Data_An_Prec!$W:$W,$L$2)</f>
        <v>14802.97</v>
      </c>
      <c r="R319" s="305"/>
      <c r="S319" s="307">
        <f t="shared" si="180"/>
        <v>8216.090000000002</v>
      </c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532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</row>
    <row r="320" spans="1:54" ht="15.75" customHeight="1">
      <c r="A320" s="600" t="str">
        <f t="shared" si="143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+SUMPRODUCT(('Budget original'!$A$8:$A$496=$A320)*('Budget original'!$C$3:$AO$3=F$2),'Budget original'!$C$8:$AO$496)</f>
        <v>0</v>
      </c>
      <c r="G320" s="300"/>
      <c r="H320" s="250"/>
      <c r="I320" s="248">
        <f>+SUMPRODUCT(('Budget révisé'!$A$8:$A$496=$A320)*('Budget révisé'!$C$3:$AO$3=I$2),'Budget révisé'!$C$8:$AO$496)</f>
        <v>0</v>
      </c>
      <c r="J320" s="244"/>
      <c r="K320" s="250"/>
      <c r="L320" s="298">
        <f>SUMIFS(BV_Data_An_Cour!$P:$P,BV_Data_An_Cour!$U:$U,$B320,BV_Data_An_Cour!$V:$V,$C320,BV_Data_An_Cour!$W:$W,$L$2)</f>
        <v>0</v>
      </c>
      <c r="M320" s="244"/>
      <c r="N320" s="249">
        <f t="shared" si="179"/>
        <v>0</v>
      </c>
      <c r="O320" s="244"/>
      <c r="P320" s="250"/>
      <c r="Q320" s="298">
        <f>SUMIFS(BV_Data_An_Prec!$P:$P,BV_Data_An_Prec!$U:$U,$B320,BV_Data_An_Prec!$V:$V,$C320,BV_Data_An_Prec!$W:$W,$L$2)</f>
        <v>0</v>
      </c>
      <c r="R320" s="244"/>
      <c r="S320" s="301">
        <f t="shared" si="180"/>
        <v>0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532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</row>
    <row r="321" spans="1:54" ht="15.75" customHeight="1">
      <c r="A321" s="600" t="str">
        <f t="shared" ref="A321:A323" si="181">+B321&amp;C321</f>
        <v>Pièces[...]</v>
      </c>
      <c r="B321" s="24" t="s">
        <v>175</v>
      </c>
      <c r="C321" s="669" t="s">
        <v>42</v>
      </c>
      <c r="D321" s="279"/>
      <c r="E321" s="250"/>
      <c r="F321" s="248">
        <f>+SUMPRODUCT(('Budget original'!$A$8:$A$496=$A321)*('Budget original'!$C$3:$AO$3=F$2),'Budget original'!$C$8:$AO$496)</f>
        <v>0</v>
      </c>
      <c r="G321" s="300"/>
      <c r="H321" s="250"/>
      <c r="I321" s="248">
        <f>+SUMPRODUCT(('Budget révisé'!$A$8:$A$496=$A321)*('Budget révisé'!$C$3:$AO$3=I$2),'Budget révisé'!$C$8:$AO$496)</f>
        <v>0</v>
      </c>
      <c r="J321" s="244"/>
      <c r="K321" s="250"/>
      <c r="L321" s="298">
        <f>SUMIFS(BV_Data_An_Cour!$P:$P,BV_Data_An_Cour!$U:$U,$B321,BV_Data_An_Cour!$V:$V,$C321,BV_Data_An_Cour!$W:$W,$L$2)</f>
        <v>0</v>
      </c>
      <c r="M321" s="244"/>
      <c r="N321" s="249">
        <f t="shared" ref="N321:N323" si="182">L321-I321</f>
        <v>0</v>
      </c>
      <c r="O321" s="244"/>
      <c r="P321" s="250"/>
      <c r="Q321" s="298">
        <f>SUMIFS(BV_Data_An_Prec!$P:$P,BV_Data_An_Prec!$U:$U,$B321,BV_Data_An_Prec!$V:$V,$C321,BV_Data_An_Prec!$W:$W,$L$2)</f>
        <v>0</v>
      </c>
      <c r="R321" s="244"/>
      <c r="S321" s="301">
        <f t="shared" ref="S321:S323" si="183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532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</row>
    <row r="322" spans="1:54" ht="15.75" customHeight="1">
      <c r="A322" s="600" t="str">
        <f t="shared" si="181"/>
        <v>Pièces[...]</v>
      </c>
      <c r="B322" s="24" t="s">
        <v>175</v>
      </c>
      <c r="C322" s="669" t="s">
        <v>42</v>
      </c>
      <c r="D322" s="279"/>
      <c r="E322" s="250"/>
      <c r="F322" s="248">
        <f>+SUMPRODUCT(('Budget original'!$A$8:$A$496=$A322)*('Budget original'!$C$3:$AO$3=F$2),'Budget original'!$C$8:$AO$496)</f>
        <v>0</v>
      </c>
      <c r="G322" s="300"/>
      <c r="H322" s="250"/>
      <c r="I322" s="248">
        <f>+SUMPRODUCT(('Budget révisé'!$A$8:$A$496=$A322)*('Budget révisé'!$C$3:$AO$3=I$2),'Budget révisé'!$C$8:$AO$496)</f>
        <v>0</v>
      </c>
      <c r="J322" s="244"/>
      <c r="K322" s="250"/>
      <c r="L322" s="298">
        <f>SUMIFS(BV_Data_An_Cour!$P:$P,BV_Data_An_Cour!$U:$U,$B322,BV_Data_An_Cour!$V:$V,$C322,BV_Data_An_Cour!$W:$W,$L$2)</f>
        <v>0</v>
      </c>
      <c r="M322" s="244"/>
      <c r="N322" s="249">
        <f t="shared" si="182"/>
        <v>0</v>
      </c>
      <c r="O322" s="244"/>
      <c r="P322" s="250"/>
      <c r="Q322" s="298">
        <f>SUMIFS(BV_Data_An_Prec!$P:$P,BV_Data_An_Prec!$U:$U,$B322,BV_Data_An_Prec!$V:$V,$C322,BV_Data_An_Prec!$W:$W,$L$2)</f>
        <v>0</v>
      </c>
      <c r="R322" s="244"/>
      <c r="S322" s="301">
        <f t="shared" si="183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532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</row>
    <row r="323" spans="1:54" ht="15.75" customHeight="1">
      <c r="A323" s="600" t="str">
        <f t="shared" si="181"/>
        <v>Pièces[...]</v>
      </c>
      <c r="B323" s="24" t="s">
        <v>175</v>
      </c>
      <c r="C323" s="669" t="s">
        <v>42</v>
      </c>
      <c r="D323" s="279"/>
      <c r="E323" s="250"/>
      <c r="F323" s="248">
        <f>+SUMPRODUCT(('Budget original'!$A$8:$A$496=$A323)*('Budget original'!$C$3:$AO$3=F$2),'Budget original'!$C$8:$AO$496)</f>
        <v>0</v>
      </c>
      <c r="G323" s="300"/>
      <c r="H323" s="250"/>
      <c r="I323" s="248">
        <f>+SUMPRODUCT(('Budget révisé'!$A$8:$A$496=$A323)*('Budget révisé'!$C$3:$AO$3=I$2),'Budget révisé'!$C$8:$AO$496)</f>
        <v>0</v>
      </c>
      <c r="J323" s="244"/>
      <c r="K323" s="250"/>
      <c r="L323" s="298">
        <f>SUMIFS(BV_Data_An_Cour!$P:$P,BV_Data_An_Cour!$U:$U,$B323,BV_Data_An_Cour!$V:$V,$C323,BV_Data_An_Cour!$W:$W,$L$2)</f>
        <v>0</v>
      </c>
      <c r="M323" s="244"/>
      <c r="N323" s="249">
        <f t="shared" si="182"/>
        <v>0</v>
      </c>
      <c r="O323" s="244"/>
      <c r="P323" s="250"/>
      <c r="Q323" s="298">
        <f>SUMIFS(BV_Data_An_Prec!$P:$P,BV_Data_An_Prec!$U:$U,$B323,BV_Data_An_Prec!$V:$V,$C323,BV_Data_An_Prec!$W:$W,$L$2)</f>
        <v>0</v>
      </c>
      <c r="R323" s="244"/>
      <c r="S323" s="301">
        <f t="shared" si="183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532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</row>
    <row r="324" spans="1:54" ht="15.75" customHeight="1">
      <c r="A324" s="600" t="str">
        <f t="shared" si="143"/>
        <v>PiècesSalaires en absences</v>
      </c>
      <c r="B324" s="24" t="s">
        <v>175</v>
      </c>
      <c r="C324" s="299" t="s">
        <v>116</v>
      </c>
      <c r="D324" s="279"/>
      <c r="E324" s="250"/>
      <c r="F324" s="261">
        <f>+SUMPRODUCT(('Budget original'!$A$8:$A$496=$A324)*('Budget original'!$C$3:$AO$3=F$2),'Budget original'!$C$8:$AO$496)</f>
        <v>3479.2051715934381</v>
      </c>
      <c r="G324" s="300"/>
      <c r="H324" s="250"/>
      <c r="I324" s="261">
        <f>+SUMPRODUCT(('Budget révisé'!$A$8:$A$496=$A324)*('Budget révisé'!$C$3:$AO$3=I$2),'Budget révisé'!$C$8:$AO$496)</f>
        <v>3479.2051715934381</v>
      </c>
      <c r="J324" s="244"/>
      <c r="K324" s="250"/>
      <c r="L324" s="298">
        <f>SUMIFS(BV_Data_An_Cour!$P:$P,BV_Data_An_Cour!$U:$U,$B324,BV_Data_An_Cour!$V:$V,$C324,BV_Data_An_Cour!$W:$W,$L$2)</f>
        <v>2490.75</v>
      </c>
      <c r="M324" s="244"/>
      <c r="N324" s="249">
        <f t="shared" si="179"/>
        <v>-988.45517159343808</v>
      </c>
      <c r="O324" s="244"/>
      <c r="P324" s="250"/>
      <c r="Q324" s="298">
        <f>SUMIFS(BV_Data_An_Prec!$P:$P,BV_Data_An_Prec!$U:$U,$B324,BV_Data_An_Prec!$V:$V,$C324,BV_Data_An_Prec!$W:$W,$L$2)</f>
        <v>4749.75</v>
      </c>
      <c r="R324" s="244"/>
      <c r="S324" s="301">
        <f t="shared" si="180"/>
        <v>-2259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532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</row>
    <row r="325" spans="1:54" ht="15.75" customHeight="1">
      <c r="A325" s="600" t="str">
        <f t="shared" si="143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+SUMPRODUCT(('Budget original'!$A$8:$A$496=$A325)*('Budget original'!$C$3:$AO$3=F$2),'Budget original'!$C$8:$AO$496)</f>
        <v>3479.2051715934381</v>
      </c>
      <c r="G325" s="304"/>
      <c r="H325" s="303"/>
      <c r="I325" s="248">
        <f>+SUMPRODUCT(('Budget révisé'!$A$8:$A$496=$A325)*('Budget révisé'!$C$3:$AO$3=I$2),'Budget révisé'!$C$8:$AO$496)</f>
        <v>3479.2051715934381</v>
      </c>
      <c r="J325" s="305"/>
      <c r="K325" s="303"/>
      <c r="L325" s="262">
        <f>SUMIFS(BV_Data_An_Cour!$P:$P,BV_Data_An_Cour!$U:$U,$B325,BV_Data_An_Cour!$V:$V,$C325,BV_Data_An_Cour!$W:$W,$L$2)</f>
        <v>36.33</v>
      </c>
      <c r="M325" s="305"/>
      <c r="N325" s="306">
        <f t="shared" si="179"/>
        <v>-3442.8751715934382</v>
      </c>
      <c r="O325" s="305"/>
      <c r="P325" s="303"/>
      <c r="Q325" s="262">
        <f>SUMIFS(BV_Data_An_Prec!$P:$P,BV_Data_An_Prec!$U:$U,$B325,BV_Data_An_Prec!$V:$V,$C325,BV_Data_An_Prec!$W:$W,$L$2)</f>
        <v>0</v>
      </c>
      <c r="R325" s="305"/>
      <c r="S325" s="307">
        <f t="shared" si="180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532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</row>
    <row r="326" spans="1:54" ht="15.75" customHeight="1">
      <c r="A326" s="600" t="str">
        <f t="shared" si="143"/>
        <v>PiècesBénéfices marginaux</v>
      </c>
      <c r="B326" s="24" t="s">
        <v>175</v>
      </c>
      <c r="C326" s="297" t="s">
        <v>118</v>
      </c>
      <c r="D326" s="279"/>
      <c r="E326" s="250"/>
      <c r="F326" s="248">
        <f>+SUMPRODUCT(('Budget original'!$A$8:$A$496=$A326)*('Budget original'!$C$3:$AO$3=F$2),'Budget original'!$C$8:$AO$496)</f>
        <v>2493.4303729752969</v>
      </c>
      <c r="G326" s="300"/>
      <c r="H326" s="250"/>
      <c r="I326" s="248">
        <f>+SUMPRODUCT(('Budget révisé'!$A$8:$A$496=$A326)*('Budget révisé'!$C$3:$AO$3=I$2),'Budget révisé'!$C$8:$AO$496)</f>
        <v>2493.4303729752969</v>
      </c>
      <c r="J326" s="244"/>
      <c r="K326" s="250"/>
      <c r="L326" s="298">
        <f>SUMIFS(BV_Data_An_Cour!$P:$P,BV_Data_An_Cour!$U:$U,$B326,BV_Data_An_Cour!$V:$V,$C326,BV_Data_An_Cour!$W:$W,$L$2)</f>
        <v>4575.01</v>
      </c>
      <c r="M326" s="244"/>
      <c r="N326" s="249">
        <f t="shared" si="179"/>
        <v>2081.5796270247033</v>
      </c>
      <c r="O326" s="244"/>
      <c r="P326" s="250"/>
      <c r="Q326" s="298">
        <f>SUMIFS(BV_Data_An_Prec!$P:$P,BV_Data_An_Prec!$U:$U,$B326,BV_Data_An_Prec!$V:$V,$C326,BV_Data_An_Prec!$W:$W,$L$2)</f>
        <v>4200.24</v>
      </c>
      <c r="R326" s="244"/>
      <c r="S326" s="301">
        <f t="shared" si="180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532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</row>
    <row r="327" spans="1:54" ht="15.75" customHeight="1">
      <c r="A327" s="600" t="str">
        <f t="shared" si="143"/>
        <v>PiècesCsst</v>
      </c>
      <c r="B327" s="24" t="s">
        <v>175</v>
      </c>
      <c r="C327" s="297" t="s">
        <v>119</v>
      </c>
      <c r="D327" s="279"/>
      <c r="E327" s="250"/>
      <c r="F327" s="248">
        <f>+SUMPRODUCT(('Budget original'!$A$8:$A$496=$A327)*('Budget original'!$C$3:$AO$3=F$2),'Budget original'!$C$8:$AO$496)</f>
        <v>579.86752859890635</v>
      </c>
      <c r="G327" s="300"/>
      <c r="H327" s="250"/>
      <c r="I327" s="248">
        <f>+SUMPRODUCT(('Budget révisé'!$A$8:$A$496=$A327)*('Budget révisé'!$C$3:$AO$3=I$2),'Budget révisé'!$C$8:$AO$496)</f>
        <v>579.86752859890635</v>
      </c>
      <c r="J327" s="244"/>
      <c r="K327" s="250"/>
      <c r="L327" s="298">
        <f>SUMIFS(BV_Data_An_Cour!$P:$P,BV_Data_An_Cour!$U:$U,$B327,BV_Data_An_Cour!$V:$V,$C327,BV_Data_An_Cour!$W:$W,$L$2)</f>
        <v>5020.3100000000004</v>
      </c>
      <c r="M327" s="244"/>
      <c r="N327" s="249">
        <f t="shared" si="179"/>
        <v>4440.4424714010938</v>
      </c>
      <c r="O327" s="244"/>
      <c r="P327" s="250"/>
      <c r="Q327" s="298">
        <f>SUMIFS(BV_Data_An_Prec!$P:$P,BV_Data_An_Prec!$U:$U,$B327,BV_Data_An_Prec!$V:$V,$C327,BV_Data_An_Prec!$W:$W,$L$2)</f>
        <v>3740.63</v>
      </c>
      <c r="R327" s="244"/>
      <c r="S327" s="301">
        <f t="shared" si="180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532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</row>
    <row r="328" spans="1:54" ht="15.75" customHeight="1">
      <c r="A328" s="600" t="str">
        <f t="shared" si="143"/>
        <v>Pièces[...]</v>
      </c>
      <c r="B328" s="24" t="s">
        <v>175</v>
      </c>
      <c r="C328" s="308" t="s">
        <v>42</v>
      </c>
      <c r="D328" s="309"/>
      <c r="E328" s="310"/>
      <c r="F328" s="248">
        <f>+SUMPRODUCT(('Budget original'!$A$8:$A$496=$A328)*('Budget original'!$C$3:$AO$3=F$2),'Budget original'!$C$8:$AO$496)</f>
        <v>0</v>
      </c>
      <c r="G328" s="311"/>
      <c r="H328" s="310"/>
      <c r="I328" s="248">
        <f>+SUMPRODUCT(('Budget révisé'!$A$8:$A$496=$A328)*('Budget révisé'!$C$3:$AO$3=I$2),'Budget révisé'!$C$8:$AO$496)</f>
        <v>0</v>
      </c>
      <c r="J328" s="312"/>
      <c r="K328" s="310"/>
      <c r="L328" s="298">
        <f>SUMIFS(BV_Data_An_Cour!$P:$P,BV_Data_An_Cour!$U:$U,$B328,BV_Data_An_Cour!$V:$V,$C328,BV_Data_An_Cour!$W:$W,$L$2)</f>
        <v>0</v>
      </c>
      <c r="M328" s="312"/>
      <c r="N328" s="313">
        <f t="shared" si="179"/>
        <v>0</v>
      </c>
      <c r="O328" s="312"/>
      <c r="P328" s="310"/>
      <c r="Q328" s="298">
        <f>SUMIFS(BV_Data_An_Prec!$P:$P,BV_Data_An_Prec!$U:$U,$B328,BV_Data_An_Prec!$V:$V,$C328,BV_Data_An_Prec!$W:$W,$L$2)</f>
        <v>0</v>
      </c>
      <c r="R328" s="312"/>
      <c r="S328" s="314">
        <f t="shared" si="180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532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</row>
    <row r="329" spans="1:54" ht="15.75" customHeight="1">
      <c r="A329" s="600" t="str">
        <f t="shared" si="143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0.51852377408601391</v>
      </c>
      <c r="L329" s="41">
        <f>+SUM(L317:L328)</f>
        <v>43045.780000000006</v>
      </c>
      <c r="M329" s="43"/>
      <c r="N329" s="46">
        <f t="shared" si="179"/>
        <v>4020.6953252936073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80"/>
        <v>-253.33999999998923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532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</row>
    <row r="330" spans="1:54" ht="15.75" customHeight="1">
      <c r="A330" s="600" t="str">
        <f t="shared" si="143"/>
        <v>PiècesPublicité 2</v>
      </c>
      <c r="B330" s="24" t="s">
        <v>175</v>
      </c>
      <c r="C330" s="570" t="s">
        <v>121</v>
      </c>
      <c r="D330" s="318"/>
      <c r="E330" s="195"/>
      <c r="F330" s="196">
        <f>+SUMPRODUCT(('Budget original'!$A$8:$A$496=$A330)*('Budget original'!$C$3:$AO$3=F$2),'Budget original'!$C$8:$AO$496)</f>
        <v>3808.6416666666664</v>
      </c>
      <c r="G330" s="319"/>
      <c r="H330" s="195"/>
      <c r="I330" s="196">
        <f>+SUMPRODUCT(('Budget révisé'!$A$8:$A$496=$A330)*('Budget révisé'!$C$3:$AO$3=I$2),'Budget révisé'!$C$8:$AO$496)</f>
        <v>3808.6416666666664</v>
      </c>
      <c r="J330" s="320"/>
      <c r="K330" s="195"/>
      <c r="L330" s="298">
        <f>SUMIFS(BV_Data_An_Cour!$P:$P,BV_Data_An_Cour!$U:$U,$B330,BV_Data_An_Cour!$V:$V,$C330,BV_Data_An_Cour!$W:$W,$L$2)</f>
        <v>5397.13</v>
      </c>
      <c r="M330" s="320"/>
      <c r="N330" s="321">
        <f t="shared" si="179"/>
        <v>1588.4883333333337</v>
      </c>
      <c r="O330" s="320"/>
      <c r="P330" s="195"/>
      <c r="Q330" s="298">
        <f>SUMIFS(BV_Data_An_Prec!$P:$P,BV_Data_An_Prec!$U:$U,$B330,BV_Data_An_Prec!$V:$V,$C330,BV_Data_An_Prec!$W:$W,$L$2)</f>
        <v>6086.65</v>
      </c>
      <c r="R330" s="320"/>
      <c r="S330" s="216">
        <f t="shared" si="180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532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</row>
    <row r="331" spans="1:54" ht="15.75" customHeight="1">
      <c r="A331" s="600" t="str">
        <f t="shared" si="143"/>
        <v>PiècesService gratuit 2</v>
      </c>
      <c r="B331" s="24" t="s">
        <v>175</v>
      </c>
      <c r="C331" s="322" t="s">
        <v>122</v>
      </c>
      <c r="D331" s="318"/>
      <c r="E331" s="195"/>
      <c r="F331" s="196">
        <f>+SUMPRODUCT(('Budget original'!$A$8:$A$496=$A331)*('Budget original'!$C$3:$AO$3=F$2),'Budget original'!$C$8:$AO$496)</f>
        <v>1652.6753978584377</v>
      </c>
      <c r="G331" s="319"/>
      <c r="H331" s="195"/>
      <c r="I331" s="196">
        <f>+SUMPRODUCT(('Budget révisé'!$A$8:$A$496=$A331)*('Budget révisé'!$C$3:$AO$3=I$2),'Budget révisé'!$C$8:$AO$496)</f>
        <v>1652.6753978584377</v>
      </c>
      <c r="J331" s="320"/>
      <c r="K331" s="195"/>
      <c r="L331" s="197">
        <f>SUMIFS(BV_Data_An_Cour!$P:$P,BV_Data_An_Cour!$U:$U,$B331,BV_Data_An_Cour!$V:$V,$C331,BV_Data_An_Cour!$W:$W,$L$2)</f>
        <v>145.72999999999999</v>
      </c>
      <c r="M331" s="320"/>
      <c r="N331" s="321">
        <f t="shared" si="179"/>
        <v>-1506.9453978584377</v>
      </c>
      <c r="O331" s="320"/>
      <c r="P331" s="195"/>
      <c r="Q331" s="197">
        <f>SUMIFS(BV_Data_An_Prec!$P:$P,BV_Data_An_Prec!$U:$U,$B331,BV_Data_An_Prec!$V:$V,$C331,BV_Data_An_Prec!$W:$W,$L$2)</f>
        <v>0</v>
      </c>
      <c r="R331" s="320"/>
      <c r="S331" s="216">
        <f t="shared" si="180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532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</row>
    <row r="332" spans="1:54" ht="15.75" customHeight="1">
      <c r="A332" s="600" t="str">
        <f t="shared" si="143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+SUMPRODUCT(('Budget original'!$A$8:$A$496=$A332)*('Budget original'!$C$3:$AO$3=F$2),'Budget original'!$C$8:$AO$496)</f>
        <v>285.5</v>
      </c>
      <c r="G332" s="326"/>
      <c r="H332" s="325"/>
      <c r="I332" s="194">
        <f>+SUMPRODUCT(('Budget révisé'!$A$8:$A$496=$A332)*('Budget révisé'!$C$3:$AO$3=I$2),'Budget révisé'!$C$8:$AO$496)</f>
        <v>285.5</v>
      </c>
      <c r="J332" s="327"/>
      <c r="K332" s="325"/>
      <c r="L332" s="197">
        <f>SUMIFS(BV_Data_An_Cour!$P:$P,BV_Data_An_Cour!$U:$U,$B332,BV_Data_An_Cour!$V:$V,$C332,BV_Data_An_Cour!$W:$W,$L$2)</f>
        <v>290.89</v>
      </c>
      <c r="M332" s="327"/>
      <c r="N332" s="328">
        <f t="shared" si="179"/>
        <v>5.3899999999999864</v>
      </c>
      <c r="O332" s="327"/>
      <c r="P332" s="325"/>
      <c r="Q332" s="197">
        <f>SUMIFS(BV_Data_An_Prec!$P:$P,BV_Data_An_Prec!$U:$U,$B332,BV_Data_An_Prec!$V:$V,$C332,BV_Data_An_Prec!$W:$W,$L$2)</f>
        <v>1234.4100000000001</v>
      </c>
      <c r="R332" s="327"/>
      <c r="S332" s="219">
        <f t="shared" si="180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532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</row>
    <row r="333" spans="1:54" ht="15.75" customHeight="1">
      <c r="A333" s="600" t="str">
        <f t="shared" si="143"/>
        <v>PiècesInformatique</v>
      </c>
      <c r="B333" s="24" t="s">
        <v>175</v>
      </c>
      <c r="C333" s="322" t="s">
        <v>124</v>
      </c>
      <c r="D333" s="318"/>
      <c r="E333" s="195"/>
      <c r="F333" s="196">
        <f>+SUMPRODUCT(('Budget original'!$A$8:$A$496=$A333)*('Budget original'!$C$3:$AO$3=F$2),'Budget original'!$C$8:$AO$496)</f>
        <v>4280.7783333333336</v>
      </c>
      <c r="G333" s="319"/>
      <c r="H333" s="195"/>
      <c r="I333" s="196">
        <f>+SUMPRODUCT(('Budget révisé'!$A$8:$A$496=$A333)*('Budget révisé'!$C$3:$AO$3=I$2),'Budget révisé'!$C$8:$AO$496)</f>
        <v>4280.7783333333336</v>
      </c>
      <c r="J333" s="320"/>
      <c r="K333" s="195"/>
      <c r="L333" s="198">
        <f>SUMIFS(BV_Data_An_Cour!$P:$P,BV_Data_An_Cour!$U:$U,$B333,BV_Data_An_Cour!$V:$V,$C333,BV_Data_An_Cour!$W:$W,$L$2)</f>
        <v>3781.12</v>
      </c>
      <c r="M333" s="320"/>
      <c r="N333" s="321">
        <f t="shared" si="179"/>
        <v>-499.65833333333376</v>
      </c>
      <c r="O333" s="320"/>
      <c r="P333" s="195"/>
      <c r="Q333" s="198">
        <f>SUMIFS(BV_Data_An_Prec!$P:$P,BV_Data_An_Prec!$U:$U,$B333,BV_Data_An_Prec!$V:$V,$C333,BV_Data_An_Prec!$W:$W,$L$2)</f>
        <v>3520.33</v>
      </c>
      <c r="R333" s="320"/>
      <c r="S333" s="216">
        <f t="shared" si="180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532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</row>
    <row r="334" spans="1:54" ht="15.75" customHeight="1">
      <c r="A334" s="600" t="str">
        <f t="shared" si="143"/>
        <v>PiècesFrais de déplacement</v>
      </c>
      <c r="B334" s="24" t="s">
        <v>175</v>
      </c>
      <c r="C334" s="322" t="s">
        <v>125</v>
      </c>
      <c r="D334" s="318"/>
      <c r="E334" s="195"/>
      <c r="F334" s="196">
        <f>+SUMPRODUCT(('Budget original'!$A$8:$A$496=$A334)*('Budget original'!$C$3:$AO$3=F$2),'Budget original'!$C$8:$AO$496)</f>
        <v>1247.2631249999999</v>
      </c>
      <c r="G334" s="319"/>
      <c r="H334" s="195"/>
      <c r="I334" s="196">
        <f>+SUMPRODUCT(('Budget révisé'!$A$8:$A$496=$A334)*('Budget révisé'!$C$3:$AO$3=I$2),'Budget révisé'!$C$8:$AO$496)</f>
        <v>1247.2631249999999</v>
      </c>
      <c r="J334" s="320"/>
      <c r="K334" s="195"/>
      <c r="L334" s="197">
        <f>SUMIFS(BV_Data_An_Cour!$P:$P,BV_Data_An_Cour!$U:$U,$B334,BV_Data_An_Cour!$V:$V,$C334,BV_Data_An_Cour!$W:$W,$L$2)</f>
        <v>48.43</v>
      </c>
      <c r="M334" s="320"/>
      <c r="N334" s="321">
        <f t="shared" si="179"/>
        <v>-1198.8331249999999</v>
      </c>
      <c r="O334" s="320"/>
      <c r="P334" s="195"/>
      <c r="Q334" s="197">
        <f>SUMIFS(BV_Data_An_Prec!$P:$P,BV_Data_An_Prec!$U:$U,$B334,BV_Data_An_Prec!$V:$V,$C334,BV_Data_An_Prec!$W:$W,$L$2)</f>
        <v>1519.25</v>
      </c>
      <c r="R334" s="320"/>
      <c r="S334" s="216">
        <f t="shared" si="180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532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</row>
    <row r="335" spans="1:54" ht="15.75" customHeight="1">
      <c r="A335" s="600" t="str">
        <f t="shared" si="143"/>
        <v>PiècesServices extérieurs</v>
      </c>
      <c r="B335" s="24" t="s">
        <v>175</v>
      </c>
      <c r="C335" s="780" t="s">
        <v>126</v>
      </c>
      <c r="D335" s="324"/>
      <c r="E335" s="325"/>
      <c r="F335" s="194">
        <f>+SUMPRODUCT(('Budget original'!$A$8:$A$496=$A335)*('Budget original'!$C$3:$AO$3=F$2),'Budget original'!$C$8:$AO$496)</f>
        <v>7272.824908333333</v>
      </c>
      <c r="G335" s="326"/>
      <c r="H335" s="325"/>
      <c r="I335" s="194">
        <f>+SUMPRODUCT(('Budget révisé'!$A$8:$A$496=$A335)*('Budget révisé'!$C$3:$AO$3=I$2),'Budget révisé'!$C$8:$AO$496)</f>
        <v>7272.824908333333</v>
      </c>
      <c r="J335" s="327"/>
      <c r="K335" s="325"/>
      <c r="L335" s="422">
        <f>SUMIFS(BV_Data_An_Cour!$P:$P,BV_Data_An_Cour!$U:$U,$B335,BV_Data_An_Cour!$V:$V,$C335,BV_Data_An_Cour!$W:$W,$L$2)</f>
        <v>5169.6099999999997</v>
      </c>
      <c r="M335" s="327"/>
      <c r="N335" s="328">
        <f t="shared" si="179"/>
        <v>-2103.2149083333334</v>
      </c>
      <c r="O335" s="327"/>
      <c r="P335" s="325"/>
      <c r="Q335" s="422">
        <f>SUMIFS(BV_Data_An_Prec!$P:$P,BV_Data_An_Prec!$U:$U,$B335,BV_Data_An_Prec!$V:$V,$C335,BV_Data_An_Prec!$W:$W,$L$2)</f>
        <v>9959.93</v>
      </c>
      <c r="R335" s="327"/>
      <c r="S335" s="219">
        <f t="shared" si="180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532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</row>
    <row r="336" spans="1:54" ht="15.75" customHeight="1">
      <c r="A336" s="600" t="str">
        <f t="shared" ref="A336" si="184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SUMIFS(BV_Data_An_Cour!$P:$P,BV_Data_An_Cour!$U:$U,$B336,BV_Data_An_Cour!$V:$V,$C336,BV_Data_An_Cour!$W:$W,$L$2)</f>
        <v>0</v>
      </c>
      <c r="M336" s="320"/>
      <c r="N336" s="321">
        <f t="shared" ref="N336" si="185">L336-I336</f>
        <v>0</v>
      </c>
      <c r="O336" s="320"/>
      <c r="P336" s="195"/>
      <c r="Q336" s="197">
        <f>SUMIFS(BV_Data_An_Prec!$P:$P,BV_Data_An_Prec!$U:$U,$B336,BV_Data_An_Prec!$V:$V,$C336,BV_Data_An_Prec!$W:$W,$L$2)</f>
        <v>0</v>
      </c>
      <c r="R336" s="320"/>
      <c r="S336" s="216">
        <f t="shared" ref="S336" si="186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532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</row>
    <row r="337" spans="1:54" ht="15.75" customHeight="1">
      <c r="A337" s="600" t="str">
        <f t="shared" si="143"/>
        <v>PiècesFournitures autres</v>
      </c>
      <c r="B337" s="24" t="s">
        <v>175</v>
      </c>
      <c r="C337" s="322" t="s">
        <v>127</v>
      </c>
      <c r="D337" s="318"/>
      <c r="E337" s="195"/>
      <c r="F337" s="196">
        <f>+SUMPRODUCT(('Budget original'!$A$8:$A$496=$A337)*('Budget original'!$C$3:$AO$3=F$2),'Budget original'!$C$8:$AO$496)</f>
        <v>126</v>
      </c>
      <c r="G337" s="319"/>
      <c r="H337" s="195"/>
      <c r="I337" s="196">
        <f>+SUMPRODUCT(('Budget révisé'!$A$8:$A$496=$A337)*('Budget révisé'!$C$3:$AO$3=I$2),'Budget révisé'!$C$8:$AO$496)</f>
        <v>126</v>
      </c>
      <c r="J337" s="320"/>
      <c r="K337" s="195"/>
      <c r="L337" s="197">
        <f>SUMIFS(BV_Data_An_Cour!$P:$P,BV_Data_An_Cour!$U:$U,$B337,BV_Data_An_Cour!$V:$V,$C337,BV_Data_An_Cour!$W:$W,$L$2)</f>
        <v>164.65</v>
      </c>
      <c r="M337" s="320"/>
      <c r="N337" s="321">
        <f t="shared" si="179"/>
        <v>38.650000000000006</v>
      </c>
      <c r="O337" s="320"/>
      <c r="P337" s="195"/>
      <c r="Q337" s="197">
        <f>SUMIFS(BV_Data_An_Prec!$P:$P,BV_Data_An_Prec!$U:$U,$B337,BV_Data_An_Prec!$V:$V,$C337,BV_Data_An_Prec!$W:$W,$L$2)</f>
        <v>105</v>
      </c>
      <c r="R337" s="320"/>
      <c r="S337" s="216">
        <f t="shared" si="180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532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</row>
    <row r="338" spans="1:54" ht="15.75" customHeight="1">
      <c r="A338" s="600" t="str">
        <f t="shared" si="143"/>
        <v>PiècesUniformes</v>
      </c>
      <c r="B338" s="24" t="s">
        <v>175</v>
      </c>
      <c r="C338" s="322" t="s">
        <v>128</v>
      </c>
      <c r="D338" s="318"/>
      <c r="E338" s="195"/>
      <c r="F338" s="196">
        <f>+SUMPRODUCT(('Budget original'!$A$8:$A$496=$A338)*('Budget original'!$C$3:$AO$3=F$2),'Budget original'!$C$8:$AO$496)</f>
        <v>170</v>
      </c>
      <c r="G338" s="319"/>
      <c r="H338" s="195"/>
      <c r="I338" s="196">
        <f>+SUMPRODUCT(('Budget révisé'!$A$8:$A$496=$A338)*('Budget révisé'!$C$3:$AO$3=I$2),'Budget révisé'!$C$8:$AO$496)</f>
        <v>170</v>
      </c>
      <c r="J338" s="320"/>
      <c r="K338" s="195"/>
      <c r="L338" s="197">
        <f>SUMIFS(BV_Data_An_Cour!$P:$P,BV_Data_An_Cour!$U:$U,$B338,BV_Data_An_Cour!$V:$V,$C338,BV_Data_An_Cour!$W:$W,$L$2)</f>
        <v>0</v>
      </c>
      <c r="M338" s="320"/>
      <c r="N338" s="321">
        <f t="shared" si="179"/>
        <v>-170</v>
      </c>
      <c r="O338" s="320"/>
      <c r="P338" s="195"/>
      <c r="Q338" s="197">
        <f>SUMIFS(BV_Data_An_Prec!$P:$P,BV_Data_An_Prec!$U:$U,$B338,BV_Data_An_Prec!$V:$V,$C338,BV_Data_An_Prec!$W:$W,$L$2)</f>
        <v>170</v>
      </c>
      <c r="R338" s="320"/>
      <c r="S338" s="216">
        <f t="shared" si="180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532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</row>
    <row r="339" spans="1:54" ht="15.75" customHeight="1">
      <c r="A339" s="600" t="str">
        <f t="shared" si="143"/>
        <v>PiècesPapeterie</v>
      </c>
      <c r="B339" s="24" t="s">
        <v>175</v>
      </c>
      <c r="C339" s="322" t="s">
        <v>129</v>
      </c>
      <c r="D339" s="318"/>
      <c r="E339" s="195"/>
      <c r="F339" s="196">
        <f>+SUMPRODUCT(('Budget original'!$A$8:$A$496=$A339)*('Budget original'!$C$3:$AO$3=F$2),'Budget original'!$C$8:$AO$496)</f>
        <v>545</v>
      </c>
      <c r="G339" s="319"/>
      <c r="H339" s="195"/>
      <c r="I339" s="196">
        <f>+SUMPRODUCT(('Budget révisé'!$A$8:$A$496=$A339)*('Budget révisé'!$C$3:$AO$3=I$2),'Budget révisé'!$C$8:$AO$496)</f>
        <v>545</v>
      </c>
      <c r="J339" s="320"/>
      <c r="K339" s="195"/>
      <c r="L339" s="572">
        <f>SUMIFS(BV_Data_An_Cour!$P:$P,BV_Data_An_Cour!$U:$U,$B339,BV_Data_An_Cour!$V:$V,$C339,BV_Data_An_Cour!$W:$W,$L$2)</f>
        <v>424.01</v>
      </c>
      <c r="M339" s="320"/>
      <c r="N339" s="321">
        <f t="shared" si="179"/>
        <v>-120.99000000000001</v>
      </c>
      <c r="O339" s="320"/>
      <c r="P339" s="195"/>
      <c r="Q339" s="572">
        <f>SUMIFS(BV_Data_An_Prec!$P:$P,BV_Data_An_Prec!$U:$U,$B339,BV_Data_An_Prec!$V:$V,$C339,BV_Data_An_Prec!$W:$W,$L$2)</f>
        <v>462.5</v>
      </c>
      <c r="R339" s="320"/>
      <c r="S339" s="216">
        <f t="shared" si="180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532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</row>
    <row r="340" spans="1:54" ht="15.75" customHeight="1">
      <c r="A340" s="600" t="str">
        <f t="shared" si="143"/>
        <v>PiècesTéléphone</v>
      </c>
      <c r="B340" s="24" t="s">
        <v>175</v>
      </c>
      <c r="C340" s="322" t="s">
        <v>130</v>
      </c>
      <c r="D340" s="318"/>
      <c r="E340" s="195"/>
      <c r="F340" s="196">
        <f>+SUMPRODUCT(('Budget original'!$A$8:$A$496=$A340)*('Budget original'!$C$3:$AO$3=F$2),'Budget original'!$C$8:$AO$496)</f>
        <v>452.27499999999998</v>
      </c>
      <c r="G340" s="319"/>
      <c r="H340" s="195"/>
      <c r="I340" s="196">
        <f>+SUMPRODUCT(('Budget révisé'!$A$8:$A$496=$A340)*('Budget révisé'!$C$3:$AO$3=I$2),'Budget révisé'!$C$8:$AO$496)</f>
        <v>452.27499999999998</v>
      </c>
      <c r="J340" s="320"/>
      <c r="K340" s="195"/>
      <c r="L340" s="197">
        <f>SUMIFS(BV_Data_An_Cour!$P:$P,BV_Data_An_Cour!$U:$U,$B340,BV_Data_An_Cour!$V:$V,$C340,BV_Data_An_Cour!$W:$W,$L$2)</f>
        <v>256.82</v>
      </c>
      <c r="M340" s="320"/>
      <c r="N340" s="321">
        <f t="shared" si="179"/>
        <v>-195.45499999999998</v>
      </c>
      <c r="O340" s="320"/>
      <c r="P340" s="195"/>
      <c r="Q340" s="197">
        <f>SUMIFS(BV_Data_An_Prec!$P:$P,BV_Data_An_Prec!$U:$U,$B340,BV_Data_An_Prec!$V:$V,$C340,BV_Data_An_Prec!$W:$W,$L$2)</f>
        <v>297.57</v>
      </c>
      <c r="R340" s="320"/>
      <c r="S340" s="216">
        <f t="shared" si="180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</row>
    <row r="341" spans="1:54" ht="15.75" customHeight="1">
      <c r="A341" s="600" t="str">
        <f t="shared" si="143"/>
        <v>PiècesFrais postaux</v>
      </c>
      <c r="B341" s="24" t="s">
        <v>175</v>
      </c>
      <c r="C341" s="322" t="s">
        <v>131</v>
      </c>
      <c r="D341" s="318"/>
      <c r="E341" s="195"/>
      <c r="F341" s="196">
        <f>+SUMPRODUCT(('Budget original'!$A$8:$A$496=$A341)*('Budget original'!$C$3:$AO$3=F$2),'Budget original'!$C$8:$AO$496)</f>
        <v>216.25</v>
      </c>
      <c r="G341" s="319"/>
      <c r="H341" s="195"/>
      <c r="I341" s="196">
        <f>+SUMPRODUCT(('Budget révisé'!$A$8:$A$496=$A341)*('Budget révisé'!$C$3:$AO$3=I$2),'Budget révisé'!$C$8:$AO$496)</f>
        <v>216.25</v>
      </c>
      <c r="J341" s="320"/>
      <c r="K341" s="195"/>
      <c r="L341" s="197">
        <f>SUMIFS(BV_Data_An_Cour!$P:$P,BV_Data_An_Cour!$U:$U,$B341,BV_Data_An_Cour!$V:$V,$C341,BV_Data_An_Cour!$W:$W,$L$2)</f>
        <v>15.97</v>
      </c>
      <c r="M341" s="320"/>
      <c r="N341" s="321">
        <f t="shared" si="179"/>
        <v>-200.28</v>
      </c>
      <c r="O341" s="320"/>
      <c r="P341" s="195"/>
      <c r="Q341" s="197">
        <f>SUMIFS(BV_Data_An_Prec!$P:$P,BV_Data_An_Prec!$U:$U,$B341,BV_Data_An_Prec!$V:$V,$C341,BV_Data_An_Prec!$W:$W,$L$2)</f>
        <v>170</v>
      </c>
      <c r="R341" s="320"/>
      <c r="S341" s="216">
        <f t="shared" si="180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532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</row>
    <row r="342" spans="1:54" ht="15.75" customHeight="1">
      <c r="A342" s="600" t="str">
        <f t="shared" si="143"/>
        <v>PiècesDivers</v>
      </c>
      <c r="B342" s="24" t="s">
        <v>175</v>
      </c>
      <c r="C342" s="322" t="s">
        <v>132</v>
      </c>
      <c r="D342" s="318"/>
      <c r="E342" s="195"/>
      <c r="F342" s="196">
        <f>+SUMPRODUCT(('Budget original'!$A$8:$A$496=$A342)*('Budget original'!$C$3:$AO$3=F$2),'Budget original'!$C$8:$AO$496)</f>
        <v>897.75</v>
      </c>
      <c r="G342" s="319"/>
      <c r="H342" s="195"/>
      <c r="I342" s="196">
        <f>+SUMPRODUCT(('Budget révisé'!$A$8:$A$496=$A342)*('Budget révisé'!$C$3:$AO$3=I$2),'Budget révisé'!$C$8:$AO$496)</f>
        <v>897.75</v>
      </c>
      <c r="J342" s="320"/>
      <c r="K342" s="195"/>
      <c r="L342" s="197">
        <f>SUMIFS(BV_Data_An_Cour!$P:$P,BV_Data_An_Cour!$U:$U,$B342,BV_Data_An_Cour!$V:$V,$C342,BV_Data_An_Cour!$W:$W,$L$2)</f>
        <v>197.1</v>
      </c>
      <c r="M342" s="320"/>
      <c r="N342" s="321">
        <f t="shared" si="179"/>
        <v>-700.65</v>
      </c>
      <c r="O342" s="320"/>
      <c r="P342" s="195"/>
      <c r="Q342" s="197">
        <f>SUMIFS(BV_Data_An_Prec!$P:$P,BV_Data_An_Prec!$U:$U,$B342,BV_Data_An_Prec!$V:$V,$C342,BV_Data_An_Prec!$W:$W,$L$2)</f>
        <v>1332.25</v>
      </c>
      <c r="R342" s="320"/>
      <c r="S342" s="216">
        <f t="shared" si="180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532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</row>
    <row r="343" spans="1:54" ht="15.75" customHeight="1">
      <c r="A343" s="600" t="str">
        <f t="shared" ref="A343:A346" si="187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+SUMPRODUCT(('Budget original'!$A$8:$A$496=$A343)*('Budget original'!$C$3:$AO$3=F$2),'Budget original'!$C$8:$AO$496)</f>
        <v>247.14583333333334</v>
      </c>
      <c r="G343" s="319"/>
      <c r="H343" s="195"/>
      <c r="I343" s="196">
        <f>+SUMPRODUCT(('Budget révisé'!$A$8:$A$496=$A343)*('Budget révisé'!$C$3:$AO$3=I$2),'Budget révisé'!$C$8:$AO$496)</f>
        <v>247.14583333333334</v>
      </c>
      <c r="J343" s="320"/>
      <c r="K343" s="195"/>
      <c r="L343" s="197">
        <f>SUMIFS(BV_Data_An_Cour!$P:$P,BV_Data_An_Cour!$U:$U,$B343,BV_Data_An_Cour!$V:$V,$C343,BV_Data_An_Cour!$W:$W,$L$2)</f>
        <v>22.14</v>
      </c>
      <c r="M343" s="320"/>
      <c r="N343" s="321">
        <f t="shared" ref="N343:N347" si="188">L343-I343</f>
        <v>-225.00583333333333</v>
      </c>
      <c r="O343" s="320"/>
      <c r="P343" s="195"/>
      <c r="Q343" s="197">
        <f>SUMIFS(BV_Data_An_Prec!$P:$P,BV_Data_An_Prec!$U:$U,$B343,BV_Data_An_Prec!$V:$V,$C343,BV_Data_An_Prec!$W:$W,$L$2)</f>
        <v>325</v>
      </c>
      <c r="R343" s="320"/>
      <c r="S343" s="216">
        <f t="shared" ref="S343:S347" si="189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</row>
    <row r="344" spans="1:54" ht="15.75" customHeight="1">
      <c r="A344" s="600" t="str">
        <f t="shared" si="187"/>
        <v>PiècesFrais bancaires</v>
      </c>
      <c r="B344" s="24" t="s">
        <v>175</v>
      </c>
      <c r="C344" s="322" t="s">
        <v>134</v>
      </c>
      <c r="D344" s="318"/>
      <c r="E344" s="195"/>
      <c r="F344" s="196">
        <f>+SUMPRODUCT(('Budget original'!$A$8:$A$496=$A344)*('Budget original'!$C$3:$AO$3=F$2),'Budget original'!$C$8:$AO$496)</f>
        <v>1630.9951819211053</v>
      </c>
      <c r="G344" s="319"/>
      <c r="H344" s="195"/>
      <c r="I344" s="196">
        <f>+SUMPRODUCT(('Budget révisé'!$A$8:$A$496=$A344)*('Budget révisé'!$C$3:$AO$3=I$2),'Budget révisé'!$C$8:$AO$496)</f>
        <v>1630.9951819211053</v>
      </c>
      <c r="J344" s="320"/>
      <c r="K344" s="195"/>
      <c r="L344" s="1037">
        <f>SUMIFS(BV_Data_An_Cour!$P:$P,BV_Data_An_Cour!$U:$U,$B344,BV_Data_An_Cour!$V:$V,$C344,BV_Data_An_Cour!$W:$W,$L$2)</f>
        <v>0</v>
      </c>
      <c r="M344" s="320"/>
      <c r="N344" s="321">
        <f t="shared" si="188"/>
        <v>-1630.9951819211053</v>
      </c>
      <c r="O344" s="320"/>
      <c r="P344" s="195"/>
      <c r="Q344" s="197">
        <f>SUMIFS(BV_Data_An_Prec!$P:$P,BV_Data_An_Prec!$U:$U,$B344,BV_Data_An_Prec!$V:$V,$C344,BV_Data_An_Prec!$W:$W,$L$2)</f>
        <v>0</v>
      </c>
      <c r="R344" s="320"/>
      <c r="S344" s="216">
        <f t="shared" si="189"/>
        <v>0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532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</row>
    <row r="345" spans="1:54" ht="15.75" customHeight="1">
      <c r="A345" s="600" t="str">
        <f t="shared" si="187"/>
        <v>Pièces[...]</v>
      </c>
      <c r="B345" s="24" t="s">
        <v>175</v>
      </c>
      <c r="C345" s="322" t="s">
        <v>42</v>
      </c>
      <c r="D345" s="318"/>
      <c r="E345" s="195"/>
      <c r="F345" s="196">
        <f>+SUMPRODUCT(('Budget original'!$A$8:$A$496=$A345)*('Budget original'!$C$3:$AO$3=F$2),'Budget original'!$C$8:$AO$496)</f>
        <v>0</v>
      </c>
      <c r="G345" s="319"/>
      <c r="H345" s="195"/>
      <c r="I345" s="196">
        <f>+SUMPRODUCT(('Budget révisé'!$A$8:$A$496=$A345)*('Budget révisé'!$C$3:$AO$3=I$2),'Budget révisé'!$C$8:$AO$496)</f>
        <v>0</v>
      </c>
      <c r="J345" s="320"/>
      <c r="K345" s="195"/>
      <c r="L345" s="197">
        <f>SUMIFS(BV_Data_An_Cour!$P:$P,BV_Data_An_Cour!$U:$U,$B345,BV_Data_An_Cour!$V:$V,$C345,BV_Data_An_Cour!$W:$W,$L$2)</f>
        <v>0</v>
      </c>
      <c r="M345" s="320"/>
      <c r="N345" s="321">
        <f t="shared" si="188"/>
        <v>0</v>
      </c>
      <c r="O345" s="320"/>
      <c r="P345" s="195"/>
      <c r="Q345" s="197">
        <f>SUMIFS(BV_Data_An_Prec!$P:$P,BV_Data_An_Prec!$U:$U,$B345,BV_Data_An_Prec!$V:$V,$C345,BV_Data_An_Prec!$W:$W,$L$2)</f>
        <v>0</v>
      </c>
      <c r="R345" s="320"/>
      <c r="S345" s="216">
        <f t="shared" si="189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532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</row>
    <row r="346" spans="1:54" ht="15.75" customHeight="1">
      <c r="A346" s="600" t="str">
        <f t="shared" si="187"/>
        <v>Pièces[...]</v>
      </c>
      <c r="B346" s="24" t="s">
        <v>175</v>
      </c>
      <c r="C346" s="322" t="s">
        <v>42</v>
      </c>
      <c r="D346" s="318"/>
      <c r="E346" s="195"/>
      <c r="F346" s="196">
        <f>+SUMPRODUCT(('Budget original'!$A$8:$A$496=$A346)*('Budget original'!$C$3:$AO$3=F$2),'Budget original'!$C$8:$AO$496)</f>
        <v>0</v>
      </c>
      <c r="G346" s="319"/>
      <c r="H346" s="195"/>
      <c r="I346" s="196">
        <f>+SUMPRODUCT(('Budget révisé'!$A$8:$A$496=$A346)*('Budget révisé'!$C$3:$AO$3=I$2),'Budget révisé'!$C$8:$AO$496)</f>
        <v>0</v>
      </c>
      <c r="J346" s="320"/>
      <c r="K346" s="195"/>
      <c r="L346" s="197">
        <f>SUMIFS(BV_Data_An_Cour!$P:$P,BV_Data_An_Cour!$U:$U,$B346,BV_Data_An_Cour!$V:$V,$C346,BV_Data_An_Cour!$W:$W,$L$2)</f>
        <v>0</v>
      </c>
      <c r="M346" s="320"/>
      <c r="N346" s="321">
        <f t="shared" si="188"/>
        <v>0</v>
      </c>
      <c r="O346" s="320"/>
      <c r="P346" s="195"/>
      <c r="Q346" s="197">
        <f>SUMIFS(BV_Data_An_Prec!$P:$P,BV_Data_An_Prec!$U:$U,$B346,BV_Data_An_Prec!$V:$V,$C346,BV_Data_An_Prec!$W:$W,$L$2)</f>
        <v>0</v>
      </c>
      <c r="R346" s="320"/>
      <c r="S346" s="216">
        <f t="shared" si="189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532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</row>
    <row r="347" spans="1:54" ht="15.75" customHeight="1">
      <c r="A347" s="600" t="str">
        <f t="shared" ref="A347" si="190">+B347&amp;C347</f>
        <v>Pièces[...]</v>
      </c>
      <c r="B347" s="24" t="s">
        <v>175</v>
      </c>
      <c r="C347" s="322" t="s">
        <v>42</v>
      </c>
      <c r="D347" s="318"/>
      <c r="E347" s="195"/>
      <c r="F347" s="196">
        <f>+SUMPRODUCT(('Budget original'!$A$8:$A$496=$A347)*('Budget original'!$C$3:$AO$3=F$2),'Budget original'!$C$8:$AO$496)</f>
        <v>0</v>
      </c>
      <c r="G347" s="319"/>
      <c r="H347" s="195"/>
      <c r="I347" s="196">
        <f>+SUMPRODUCT(('Budget révisé'!$A$8:$A$496=$A347)*('Budget révisé'!$C$3:$AO$3=I$2),'Budget révisé'!$C$8:$AO$496)</f>
        <v>0</v>
      </c>
      <c r="J347" s="320"/>
      <c r="K347" s="195"/>
      <c r="L347" s="197">
        <f>SUMIFS(BV_Data_An_Cour!$P:$P,BV_Data_An_Cour!$U:$U,$B347,BV_Data_An_Cour!$V:$V,$C347,BV_Data_An_Cour!$W:$W,$L$2)</f>
        <v>0</v>
      </c>
      <c r="M347" s="320"/>
      <c r="N347" s="321">
        <f t="shared" si="188"/>
        <v>0</v>
      </c>
      <c r="O347" s="320"/>
      <c r="P347" s="195"/>
      <c r="Q347" s="197">
        <f>SUMIFS(BV_Data_An_Prec!$P:$P,BV_Data_An_Prec!$U:$U,$B347,BV_Data_An_Prec!$V:$V,$C347,BV_Data_An_Prec!$W:$W,$L$2)</f>
        <v>0</v>
      </c>
      <c r="R347" s="320"/>
      <c r="S347" s="216">
        <f t="shared" si="189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532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</row>
    <row r="348" spans="1:54" ht="15.75" customHeight="1">
      <c r="B348" s="170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0.19169312139994185</v>
      </c>
      <c r="L348" s="41">
        <f>+SUM(L330:L347)</f>
        <v>15913.599999999999</v>
      </c>
      <c r="M348" s="44"/>
      <c r="N348" s="41">
        <f>+SUM(N330:N347)</f>
        <v>-6919.4994464462097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-9269.2900000000009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532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</row>
    <row r="349" spans="1:54" ht="15.75" customHeight="1">
      <c r="B349" s="170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532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</row>
    <row r="350" spans="1:54" ht="15.75" customHeight="1">
      <c r="B350" s="170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0.71021689548595579</v>
      </c>
      <c r="L350" s="41">
        <f>L329+L348</f>
        <v>58959.380000000005</v>
      </c>
      <c r="M350" s="44"/>
      <c r="N350" s="46">
        <f t="shared" ref="N350:N352" si="191">L350-I350</f>
        <v>-2898.8041211525997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-9522.6299999999901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532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</row>
    <row r="351" spans="1:54" ht="15.75" customHeight="1">
      <c r="B351" s="170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191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532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</row>
    <row r="352" spans="1:54" ht="15.75" customHeight="1" thickBot="1">
      <c r="B352" s="170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24056.639999999985</v>
      </c>
      <c r="M352" s="362"/>
      <c r="N352" s="360">
        <f t="shared" si="191"/>
        <v>-16401.775794516201</v>
      </c>
      <c r="O352" s="362"/>
      <c r="P352" s="363"/>
      <c r="Q352" s="360">
        <f>Q313-Q350</f>
        <v>29458.25</v>
      </c>
      <c r="R352" s="362"/>
      <c r="S352" s="364">
        <f>L352-Q352</f>
        <v>-5401.6100000000151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532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</row>
    <row r="353" spans="1:54" ht="15.75" customHeight="1" thickTop="1">
      <c r="B353" s="170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532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</row>
    <row r="354" spans="1:54" ht="15.75" customHeight="1">
      <c r="B354" s="170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532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</row>
    <row r="355" spans="1:54" ht="34.5" customHeight="1">
      <c r="B355" s="170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2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</row>
    <row r="356" spans="1:54" ht="15.75" customHeight="1" thickBot="1">
      <c r="B356" s="170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2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</row>
    <row r="357" spans="1:54" ht="15.75" customHeight="1" thickTop="1">
      <c r="B357" s="170"/>
      <c r="C357" s="280"/>
      <c r="D357" s="1105" t="s">
        <v>77</v>
      </c>
      <c r="E357" s="1106"/>
      <c r="F357" s="1107"/>
      <c r="G357" s="1108" t="s">
        <v>145</v>
      </c>
      <c r="H357" s="1106"/>
      <c r="I357" s="1107"/>
      <c r="J357" s="1108" t="s">
        <v>79</v>
      </c>
      <c r="K357" s="1106"/>
      <c r="L357" s="1107"/>
      <c r="M357" s="1108" t="s">
        <v>80</v>
      </c>
      <c r="N357" s="1107"/>
      <c r="O357" s="1105" t="s">
        <v>81</v>
      </c>
      <c r="P357" s="1106"/>
      <c r="Q357" s="1107"/>
      <c r="R357" s="1108" t="s">
        <v>82</v>
      </c>
      <c r="S357" s="1109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2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</row>
    <row r="358" spans="1:54" ht="15.75" customHeight="1" thickBot="1">
      <c r="A358" s="600" t="str">
        <f t="shared" ref="A358:A393" si="192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2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</row>
    <row r="359" spans="1:54" ht="15.75" customHeight="1" thickTop="1">
      <c r="A359" s="600" t="str">
        <f t="shared" si="192"/>
        <v>BoutiqueBoutique</v>
      </c>
      <c r="B359" s="24" t="s">
        <v>191</v>
      </c>
      <c r="C359" s="286" t="s">
        <v>191</v>
      </c>
      <c r="D359" s="220">
        <f>+SUMPRODUCT(('Budget original'!$A$8:$A$496=$A359)*('Budget original'!$C$3:$AO$3=D$2),'Budget original'!$C$8:$AO$496)</f>
        <v>0</v>
      </c>
      <c r="E359" s="221">
        <f>IFERROR(F359/D359,0)</f>
        <v>0</v>
      </c>
      <c r="F359" s="225">
        <f>+SUMPRODUCT(('Budget original'!$A$8:$A$496=$A359)*('Budget original'!$C$3:$AO$3=F$2),'Budget original'!$C$8:$AO$496)</f>
        <v>0</v>
      </c>
      <c r="G359" s="220">
        <f>+SUMPRODUCT(('Budget révisé'!$A$8:$A$496=$A359)*('Budget révisé'!$C$3:$AO$3=G$2),'Budget révisé'!$C$8:$AO$496)</f>
        <v>0</v>
      </c>
      <c r="H359" s="221">
        <f>IFERROR(I359/G359,0)</f>
        <v>0</v>
      </c>
      <c r="I359" s="220">
        <f>+SUMPRODUCT(('Budget révisé'!$A$8:$A$496=$A359)*('Budget révisé'!$C$3:$AO$3=I$2),'Budget révisé'!$C$8:$AO$496)</f>
        <v>0</v>
      </c>
      <c r="J359" s="238">
        <f>-SUMIFS(BV_Data_An_Cour!$P:$P,BV_Data_An_Cour!$X:$X,"Oui",BV_Data_An_Cour!$U:$U,$B359,BV_Data_An_Cour!$V:$V,$C359)</f>
        <v>0</v>
      </c>
      <c r="K359" s="71">
        <f>IF(J359&lt;=0,0,L359/J359)</f>
        <v>0</v>
      </c>
      <c r="L359" s="237">
        <f>-SUMIFS(BV_Data_An_Cour!$P:$P,BV_Data_An_Cour!$X:$X,"Oui",BV_Data_An_Cour!$U:$U,$B359,BV_Data_An_Cour!$V:$V,$C359)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-SUMIFS(BV_Data_An_Prec!$P:$P,BV_Data_An_Prec!$X:$X,"Oui",BV_Data_An_Prec!$U:$U,$B359,BV_Data_An_Prec!$V:$V,$C359)</f>
        <v>0</v>
      </c>
      <c r="P359" s="71">
        <f>IF(O359&lt;=0,0,Q359/O359)</f>
        <v>0</v>
      </c>
      <c r="Q359" s="237">
        <f>-SUMIFS(BV_Data_An_Prec!$P:$P,BV_Data_An_Prec!$X:$X,"Oui",BV_Data_An_Prec!$U:$U,$B359,BV_Data_An_Prec!$V:$V,$C359)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2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</row>
    <row r="360" spans="1:54" ht="15.75" customHeight="1" thickBot="1">
      <c r="A360" s="600" t="str">
        <f t="shared" si="192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2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</row>
    <row r="361" spans="1:54" ht="15.75" customHeight="1" thickTop="1">
      <c r="A361" s="600" t="str">
        <f t="shared" si="192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193">+F359</f>
        <v>0</v>
      </c>
      <c r="G361" s="253">
        <f>+G359</f>
        <v>0</v>
      </c>
      <c r="H361" s="254">
        <f>IF(G361&lt;=0,0,I361/G361)</f>
        <v>0</v>
      </c>
      <c r="I361" s="255">
        <f t="shared" ref="I361:J361" si="194">+I359</f>
        <v>0</v>
      </c>
      <c r="J361" s="253">
        <f t="shared" si="194"/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195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2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</row>
    <row r="362" spans="1:54" ht="15.75" customHeight="1">
      <c r="A362" s="600" t="str">
        <f t="shared" si="192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2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</row>
    <row r="363" spans="1:54" ht="15.75" customHeight="1">
      <c r="A363" s="600" t="str">
        <f t="shared" si="192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2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</row>
    <row r="364" spans="1:54" ht="15.75" customHeight="1">
      <c r="A364" s="600" t="str">
        <f t="shared" si="192"/>
        <v>BoutiqueSalaires cadres</v>
      </c>
      <c r="B364" s="24" t="s">
        <v>191</v>
      </c>
      <c r="C364" s="297" t="s">
        <v>112</v>
      </c>
      <c r="D364" s="250"/>
      <c r="E364" s="250"/>
      <c r="F364" s="248">
        <f>+SUMPRODUCT(('Budget original'!$A$8:$A$496=$A364)*('Budget original'!$C$3:$AO$3=F$2),'Budget original'!$C$8:$AO$496)</f>
        <v>0</v>
      </c>
      <c r="G364" s="244"/>
      <c r="H364" s="250"/>
      <c r="I364" s="248">
        <f>+SUMPRODUCT(('Budget révisé'!$A$8:$A$496=$A364)*('Budget révisé'!$C$3:$AO$3=I$2),'Budget révisé'!$C$8:$AO$496)</f>
        <v>0</v>
      </c>
      <c r="J364" s="244"/>
      <c r="K364" s="250"/>
      <c r="L364" s="298">
        <f>-SUMIFS(BV_Data_An_Cour!$P:$P,BV_Data_An_Cour!$U:$U,$B364,BV_Data_An_Cour!$V:$V,$C364,BV_Data_An_Cour!$W:$W,$L$2)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-SUMIFS(BV_Data_An_Prec!$P:$P,BV_Data_An_Prec!$U:$U,$B364,BV_Data_An_Prec!$V:$V,$C364,BV_Data_An_Prec!$W:$W,$L$2)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2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</row>
    <row r="365" spans="1:54" ht="15.75" customHeight="1">
      <c r="A365" s="600" t="str">
        <f t="shared" si="192"/>
        <v>BoutiqueSalaires commis</v>
      </c>
      <c r="B365" s="24" t="s">
        <v>191</v>
      </c>
      <c r="C365" s="299" t="s">
        <v>113</v>
      </c>
      <c r="D365" s="279"/>
      <c r="E365" s="250"/>
      <c r="F365" s="261">
        <f>+SUMPRODUCT(('Budget original'!$A$8:$A$496=$A365)*('Budget original'!$C$3:$AO$3=F$2),'Budget original'!$C$8:$AO$496)</f>
        <v>0</v>
      </c>
      <c r="G365" s="300"/>
      <c r="H365" s="250"/>
      <c r="I365" s="261">
        <f>+SUMPRODUCT(('Budget révisé'!$A$8:$A$496=$A365)*('Budget révisé'!$C$3:$AO$3=I$2),'Budget révisé'!$C$8:$AO$496)</f>
        <v>0</v>
      </c>
      <c r="J365" s="244"/>
      <c r="K365" s="250"/>
      <c r="L365" s="261">
        <f>-SUMIFS(BV_Data_An_Cour!$P:$P,BV_Data_An_Cour!$U:$U,$B365,BV_Data_An_Cour!$V:$V,$C365,BV_Data_An_Cour!$W:$W,$L$2)</f>
        <v>0</v>
      </c>
      <c r="M365" s="244"/>
      <c r="N365" s="249">
        <f t="shared" ref="N365:N393" si="196">L365-I365</f>
        <v>0</v>
      </c>
      <c r="O365" s="244"/>
      <c r="P365" s="250"/>
      <c r="Q365" s="261">
        <f>-SUMIFS(BV_Data_An_Prec!$P:$P,BV_Data_An_Prec!$U:$U,$B365,BV_Data_An_Prec!$V:$V,$C365,BV_Data_An_Prec!$W:$W,$L$2)</f>
        <v>0</v>
      </c>
      <c r="R365" s="244"/>
      <c r="S365" s="301">
        <f t="shared" ref="S365:S393" si="197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2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</row>
    <row r="366" spans="1:54" ht="15.75" customHeight="1">
      <c r="A366" s="600" t="str">
        <f t="shared" si="192"/>
        <v>BoutiqueSalaires autres</v>
      </c>
      <c r="B366" s="24" t="s">
        <v>191</v>
      </c>
      <c r="C366" s="297" t="s">
        <v>114</v>
      </c>
      <c r="D366" s="302"/>
      <c r="E366" s="303"/>
      <c r="F366" s="248">
        <f>+SUMPRODUCT(('Budget original'!$A$8:$A$496=$A366)*('Budget original'!$C$3:$AO$3=F$2),'Budget original'!$C$8:$AO$496)</f>
        <v>0</v>
      </c>
      <c r="G366" s="304"/>
      <c r="H366" s="303"/>
      <c r="I366" s="248">
        <f>+SUMPRODUCT(('Budget révisé'!$A$8:$A$496=$A366)*('Budget révisé'!$C$3:$AO$3=I$2),'Budget révisé'!$C$8:$AO$496)</f>
        <v>0</v>
      </c>
      <c r="J366" s="305"/>
      <c r="K366" s="303"/>
      <c r="L366" s="298">
        <f>-SUMIFS(BV_Data_An_Cour!$P:$P,BV_Data_An_Cour!$U:$U,$B366,BV_Data_An_Cour!$V:$V,$C366,BV_Data_An_Cour!$W:$W,$L$2)</f>
        <v>0</v>
      </c>
      <c r="M366" s="305"/>
      <c r="N366" s="306">
        <f t="shared" si="196"/>
        <v>0</v>
      </c>
      <c r="O366" s="305"/>
      <c r="P366" s="303"/>
      <c r="Q366" s="298">
        <f>-SUMIFS(BV_Data_An_Prec!$P:$P,BV_Data_An_Prec!$U:$U,$B366,BV_Data_An_Prec!$V:$V,$C366,BV_Data_An_Prec!$W:$W,$L$2)</f>
        <v>0</v>
      </c>
      <c r="R366" s="305"/>
      <c r="S366" s="307">
        <f t="shared" si="197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600" t="str">
        <f t="shared" si="192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+SUMPRODUCT(('Budget original'!$A$8:$A$496=$A367)*('Budget original'!$C$3:$AO$3=F$2),'Budget original'!$C$8:$AO$496)</f>
        <v>0</v>
      </c>
      <c r="G367" s="300"/>
      <c r="H367" s="250"/>
      <c r="I367" s="248">
        <f>+SUMPRODUCT(('Budget révisé'!$A$8:$A$496=$A367)*('Budget révisé'!$C$3:$AO$3=I$2),'Budget révisé'!$C$8:$AO$496)</f>
        <v>0</v>
      </c>
      <c r="J367" s="244"/>
      <c r="K367" s="250"/>
      <c r="L367" s="298">
        <f>-SUMIFS(BV_Data_An_Cour!$P:$P,BV_Data_An_Cour!$U:$U,$B367,BV_Data_An_Cour!$V:$V,$C367,BV_Data_An_Cour!$W:$W,$L$2)</f>
        <v>0</v>
      </c>
      <c r="M367" s="244"/>
      <c r="N367" s="249">
        <f t="shared" si="196"/>
        <v>0</v>
      </c>
      <c r="O367" s="244"/>
      <c r="P367" s="250"/>
      <c r="Q367" s="298">
        <f>-SUMIFS(BV_Data_An_Prec!$P:$P,BV_Data_An_Prec!$U:$U,$B367,BV_Data_An_Prec!$V:$V,$C367,BV_Data_An_Prec!$W:$W,$L$2)</f>
        <v>0</v>
      </c>
      <c r="R367" s="244"/>
      <c r="S367" s="301">
        <f t="shared" si="197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600" t="str">
        <f t="shared" si="192"/>
        <v>Boutique[...]</v>
      </c>
      <c r="B368" s="24" t="s">
        <v>191</v>
      </c>
      <c r="C368" s="308" t="s">
        <v>42</v>
      </c>
      <c r="D368" s="279"/>
      <c r="E368" s="250"/>
      <c r="F368" s="248">
        <f>+SUMPRODUCT(('Budget original'!$A$8:$A$496=$A368)*('Budget original'!$C$3:$AO$3=F$2),'Budget original'!$C$8:$AO$496)</f>
        <v>0</v>
      </c>
      <c r="G368" s="300"/>
      <c r="H368" s="250"/>
      <c r="I368" s="248">
        <f>+SUMPRODUCT(('Budget révisé'!$A$8:$A$496=$A368)*('Budget révisé'!$C$3:$AO$3=I$2),'Budget révisé'!$C$8:$AO$496)</f>
        <v>0</v>
      </c>
      <c r="J368" s="244"/>
      <c r="K368" s="250"/>
      <c r="L368" s="298">
        <f>-SUMIFS(BV_Data_An_Cour!$P:$P,BV_Data_An_Cour!$U:$U,$B368,BV_Data_An_Cour!$V:$V,$C368,BV_Data_An_Cour!$W:$W,$L$2)</f>
        <v>0</v>
      </c>
      <c r="M368" s="244"/>
      <c r="N368" s="249">
        <f t="shared" si="196"/>
        <v>0</v>
      </c>
      <c r="O368" s="244"/>
      <c r="P368" s="250"/>
      <c r="Q368" s="298">
        <f>-SUMIFS(BV_Data_An_Prec!$P:$P,BV_Data_An_Prec!$U:$U,$B368,BV_Data_An_Prec!$V:$V,$C368,BV_Data_An_Prec!$W:$W,$L$2)</f>
        <v>0</v>
      </c>
      <c r="R368" s="244"/>
      <c r="S368" s="301">
        <f t="shared" si="197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600" t="str">
        <f t="shared" si="192"/>
        <v>Boutique[...]</v>
      </c>
      <c r="B369" s="24" t="s">
        <v>191</v>
      </c>
      <c r="C369" s="308" t="s">
        <v>42</v>
      </c>
      <c r="D369" s="279"/>
      <c r="E369" s="250"/>
      <c r="F369" s="248">
        <f>+SUMPRODUCT(('Budget original'!$A$8:$A$496=$A369)*('Budget original'!$C$3:$AO$3=F$2),'Budget original'!$C$8:$AO$496)</f>
        <v>0</v>
      </c>
      <c r="G369" s="300"/>
      <c r="H369" s="250"/>
      <c r="I369" s="248">
        <f>+SUMPRODUCT(('Budget révisé'!$A$8:$A$496=$A369)*('Budget révisé'!$C$3:$AO$3=I$2),'Budget révisé'!$C$8:$AO$496)</f>
        <v>0</v>
      </c>
      <c r="J369" s="244"/>
      <c r="K369" s="250"/>
      <c r="L369" s="298">
        <f>-SUMIFS(BV_Data_An_Cour!$P:$P,BV_Data_An_Cour!$U:$U,$B369,BV_Data_An_Cour!$V:$V,$C369,BV_Data_An_Cour!$W:$W,$L$2)</f>
        <v>0</v>
      </c>
      <c r="M369" s="244"/>
      <c r="N369" s="249">
        <f t="shared" si="196"/>
        <v>0</v>
      </c>
      <c r="O369" s="244"/>
      <c r="P369" s="250"/>
      <c r="Q369" s="298">
        <f>-SUMIFS(BV_Data_An_Prec!$P:$P,BV_Data_An_Prec!$U:$U,$B369,BV_Data_An_Prec!$V:$V,$C369,BV_Data_An_Prec!$W:$W,$L$2)</f>
        <v>0</v>
      </c>
      <c r="R369" s="244"/>
      <c r="S369" s="301">
        <f t="shared" si="197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600" t="str">
        <f t="shared" si="192"/>
        <v>Boutique[...]</v>
      </c>
      <c r="B370" s="24" t="s">
        <v>191</v>
      </c>
      <c r="C370" s="308" t="s">
        <v>42</v>
      </c>
      <c r="D370" s="279"/>
      <c r="E370" s="250"/>
      <c r="F370" s="248">
        <f>+SUMPRODUCT(('Budget original'!$A$8:$A$496=$A370)*('Budget original'!$C$3:$AO$3=F$2),'Budget original'!$C$8:$AO$496)</f>
        <v>0</v>
      </c>
      <c r="G370" s="300"/>
      <c r="H370" s="250"/>
      <c r="I370" s="248">
        <f>+SUMPRODUCT(('Budget révisé'!$A$8:$A$496=$A370)*('Budget révisé'!$C$3:$AO$3=I$2),'Budget révisé'!$C$8:$AO$496)</f>
        <v>0</v>
      </c>
      <c r="J370" s="244"/>
      <c r="K370" s="250"/>
      <c r="L370" s="298">
        <f>-SUMIFS(BV_Data_An_Cour!$P:$P,BV_Data_An_Cour!$U:$U,$B370,BV_Data_An_Cour!$V:$V,$C370,BV_Data_An_Cour!$W:$W,$L$2)</f>
        <v>0</v>
      </c>
      <c r="M370" s="244"/>
      <c r="N370" s="249">
        <f t="shared" si="196"/>
        <v>0</v>
      </c>
      <c r="O370" s="244"/>
      <c r="P370" s="250"/>
      <c r="Q370" s="298">
        <f>-SUMIFS(BV_Data_An_Prec!$P:$P,BV_Data_An_Prec!$U:$U,$B370,BV_Data_An_Prec!$V:$V,$C370,BV_Data_An_Prec!$W:$W,$L$2)</f>
        <v>0</v>
      </c>
      <c r="R370" s="244"/>
      <c r="S370" s="301">
        <f t="shared" si="197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600" t="str">
        <f t="shared" si="192"/>
        <v>BoutiqueSalaires en absences</v>
      </c>
      <c r="B371" s="24" t="s">
        <v>191</v>
      </c>
      <c r="C371" s="299" t="s">
        <v>116</v>
      </c>
      <c r="D371" s="279"/>
      <c r="E371" s="250"/>
      <c r="F371" s="261">
        <f>+SUMPRODUCT(('Budget original'!$A$8:$A$496=$A371)*('Budget original'!$C$3:$AO$3=F$2),'Budget original'!$C$8:$AO$496)</f>
        <v>0</v>
      </c>
      <c r="G371" s="300"/>
      <c r="H371" s="250"/>
      <c r="I371" s="261">
        <f>+SUMPRODUCT(('Budget révisé'!$A$8:$A$496=$A371)*('Budget révisé'!$C$3:$AO$3=I$2),'Budget révisé'!$C$8:$AO$496)</f>
        <v>0</v>
      </c>
      <c r="J371" s="244"/>
      <c r="K371" s="250"/>
      <c r="L371" s="261">
        <f>-SUMIFS(BV_Data_An_Cour!$P:$P,BV_Data_An_Cour!$U:$U,$B371,BV_Data_An_Cour!$V:$V,$C371,BV_Data_An_Cour!$W:$W,$L$2)</f>
        <v>0</v>
      </c>
      <c r="M371" s="244"/>
      <c r="N371" s="249">
        <f t="shared" si="196"/>
        <v>0</v>
      </c>
      <c r="O371" s="244"/>
      <c r="P371" s="250"/>
      <c r="Q371" s="261">
        <f>-SUMIFS(BV_Data_An_Prec!$P:$P,BV_Data_An_Prec!$U:$U,$B371,BV_Data_An_Prec!$V:$V,$C371,BV_Data_An_Prec!$W:$W,$L$2)</f>
        <v>0</v>
      </c>
      <c r="R371" s="244"/>
      <c r="S371" s="301">
        <f t="shared" si="197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600" t="str">
        <f t="shared" si="192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+SUMPRODUCT(('Budget original'!$A$8:$A$496=$A372)*('Budget original'!$C$3:$AO$3=F$2),'Budget original'!$C$8:$AO$496)</f>
        <v>0</v>
      </c>
      <c r="G372" s="304"/>
      <c r="H372" s="303"/>
      <c r="I372" s="248">
        <f>+SUMPRODUCT(('Budget révisé'!$A$8:$A$496=$A372)*('Budget révisé'!$C$3:$AO$3=I$2),'Budget révisé'!$C$8:$AO$496)</f>
        <v>0</v>
      </c>
      <c r="J372" s="305"/>
      <c r="K372" s="303"/>
      <c r="L372" s="298">
        <f>-SUMIFS(BV_Data_An_Cour!$P:$P,BV_Data_An_Cour!$U:$U,$B372,BV_Data_An_Cour!$V:$V,$C372,BV_Data_An_Cour!$W:$W,$L$2)</f>
        <v>0</v>
      </c>
      <c r="M372" s="305"/>
      <c r="N372" s="306">
        <f t="shared" si="196"/>
        <v>0</v>
      </c>
      <c r="O372" s="305"/>
      <c r="P372" s="303"/>
      <c r="Q372" s="298">
        <f>-SUMIFS(BV_Data_An_Prec!$P:$P,BV_Data_An_Prec!$U:$U,$B372,BV_Data_An_Prec!$V:$V,$C372,BV_Data_An_Prec!$W:$W,$L$2)</f>
        <v>0</v>
      </c>
      <c r="R372" s="305"/>
      <c r="S372" s="307">
        <f t="shared" si="197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600" t="str">
        <f t="shared" si="192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+SUMPRODUCT(('Budget original'!$A$8:$A$496=$A373)*('Budget original'!$C$3:$AO$3=F$2),'Budget original'!$C$8:$AO$496)</f>
        <v>0</v>
      </c>
      <c r="G373" s="300"/>
      <c r="H373" s="250"/>
      <c r="I373" s="248">
        <f>+SUMPRODUCT(('Budget révisé'!$A$8:$A$496=$A373)*('Budget révisé'!$C$3:$AO$3=I$2),'Budget révisé'!$C$8:$AO$496)</f>
        <v>0</v>
      </c>
      <c r="J373" s="244"/>
      <c r="K373" s="250"/>
      <c r="L373" s="298">
        <f>-SUMIFS(BV_Data_An_Cour!$P:$P,BV_Data_An_Cour!$U:$U,$B373,BV_Data_An_Cour!$V:$V,$C373,BV_Data_An_Cour!$W:$W,$L$2)</f>
        <v>0</v>
      </c>
      <c r="M373" s="244"/>
      <c r="N373" s="249">
        <f t="shared" si="196"/>
        <v>0</v>
      </c>
      <c r="O373" s="244"/>
      <c r="P373" s="250"/>
      <c r="Q373" s="298">
        <f>-SUMIFS(BV_Data_An_Prec!$P:$P,BV_Data_An_Prec!$U:$U,$B373,BV_Data_An_Prec!$V:$V,$C373,BV_Data_An_Prec!$W:$W,$L$2)</f>
        <v>0</v>
      </c>
      <c r="R373" s="244"/>
      <c r="S373" s="301">
        <f t="shared" si="197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600" t="str">
        <f t="shared" si="192"/>
        <v>BoutiqueCsst</v>
      </c>
      <c r="B374" s="24" t="s">
        <v>191</v>
      </c>
      <c r="C374" s="297" t="s">
        <v>119</v>
      </c>
      <c r="D374" s="279"/>
      <c r="E374" s="250"/>
      <c r="F374" s="248">
        <f>+SUMPRODUCT(('Budget original'!$A$8:$A$496=$A374)*('Budget original'!$C$3:$AO$3=F$2),'Budget original'!$C$8:$AO$496)</f>
        <v>0</v>
      </c>
      <c r="G374" s="300"/>
      <c r="H374" s="250"/>
      <c r="I374" s="248">
        <f>+SUMPRODUCT(('Budget révisé'!$A$8:$A$496=$A374)*('Budget révisé'!$C$3:$AO$3=I$2),'Budget révisé'!$C$8:$AO$496)</f>
        <v>0</v>
      </c>
      <c r="J374" s="244"/>
      <c r="K374" s="250"/>
      <c r="L374" s="298">
        <f>-SUMIFS(BV_Data_An_Cour!$P:$P,BV_Data_An_Cour!$U:$U,$B374,BV_Data_An_Cour!$V:$V,$C374,BV_Data_An_Cour!$W:$W,$L$2)</f>
        <v>0</v>
      </c>
      <c r="M374" s="244"/>
      <c r="N374" s="249">
        <f t="shared" si="196"/>
        <v>0</v>
      </c>
      <c r="O374" s="244"/>
      <c r="P374" s="250"/>
      <c r="Q374" s="298">
        <f>-SUMIFS(BV_Data_An_Prec!$P:$P,BV_Data_An_Prec!$U:$U,$B374,BV_Data_An_Prec!$V:$V,$C374,BV_Data_An_Prec!$W:$W,$L$2)</f>
        <v>0</v>
      </c>
      <c r="R374" s="244"/>
      <c r="S374" s="301">
        <f t="shared" si="197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600" t="str">
        <f t="shared" si="192"/>
        <v>Boutique[...]</v>
      </c>
      <c r="B375" s="24" t="s">
        <v>191</v>
      </c>
      <c r="C375" s="308" t="s">
        <v>42</v>
      </c>
      <c r="D375" s="309"/>
      <c r="E375" s="310"/>
      <c r="F375" s="248">
        <f>+SUMPRODUCT(('Budget original'!$A$8:$A$496=$A375)*('Budget original'!$C$3:$AO$3=F$2),'Budget original'!$C$8:$AO$496)</f>
        <v>0</v>
      </c>
      <c r="G375" s="311"/>
      <c r="H375" s="310"/>
      <c r="I375" s="248">
        <f>+SUMPRODUCT(('Budget révisé'!$A$8:$A$496=$A375)*('Budget révisé'!$C$3:$AO$3=I$2),'Budget révisé'!$C$8:$AO$496)</f>
        <v>0</v>
      </c>
      <c r="J375" s="312"/>
      <c r="K375" s="310"/>
      <c r="L375" s="298">
        <f>-SUMIFS(BV_Data_An_Cour!$P:$P,BV_Data_An_Cour!$U:$U,$B375,BV_Data_An_Cour!$V:$V,$C375,BV_Data_An_Cour!$W:$W,$L$2)</f>
        <v>0</v>
      </c>
      <c r="M375" s="312"/>
      <c r="N375" s="313">
        <f t="shared" si="196"/>
        <v>0</v>
      </c>
      <c r="O375" s="312"/>
      <c r="P375" s="310"/>
      <c r="Q375" s="298">
        <f>-SUMIFS(BV_Data_An_Prec!$P:$P,BV_Data_An_Prec!$U:$U,$B375,BV_Data_An_Prec!$V:$V,$C375,BV_Data_An_Prec!$W:$W,$L$2)</f>
        <v>0</v>
      </c>
      <c r="R375" s="312"/>
      <c r="S375" s="314">
        <f t="shared" si="197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600" t="str">
        <f t="shared" si="192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6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197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600" t="str">
        <f t="shared" si="192"/>
        <v>BoutiquePublicité 2</v>
      </c>
      <c r="B377" s="24" t="s">
        <v>191</v>
      </c>
      <c r="C377" s="317" t="s">
        <v>121</v>
      </c>
      <c r="D377" s="318"/>
      <c r="E377" s="195"/>
      <c r="F377" s="196">
        <f>+SUMPRODUCT(('Budget original'!$A$8:$A$496=$A377)*('Budget original'!$C$3:$AO$3=F$2),'Budget original'!$C$8:$AO$496)</f>
        <v>0</v>
      </c>
      <c r="G377" s="319"/>
      <c r="H377" s="195"/>
      <c r="I377" s="196">
        <f>+SUMPRODUCT(('Budget révisé'!$A$8:$A$496=$A377)*('Budget révisé'!$C$3:$AO$3=I$2),'Budget révisé'!$C$8:$AO$496)</f>
        <v>0</v>
      </c>
      <c r="J377" s="320"/>
      <c r="K377" s="195"/>
      <c r="L377" s="197">
        <f>-SUMIFS(BV_Data_An_Cour!$P:$P,BV_Data_An_Cour!$U:$U,$B377,BV_Data_An_Cour!$V:$V,$C377,BV_Data_An_Cour!$W:$W,$L$2)</f>
        <v>0</v>
      </c>
      <c r="M377" s="320"/>
      <c r="N377" s="321">
        <f t="shared" si="196"/>
        <v>0</v>
      </c>
      <c r="O377" s="320"/>
      <c r="P377" s="195"/>
      <c r="Q377" s="197">
        <f>-SUMIFS(BV_Data_An_Prec!$P:$P,BV_Data_An_Prec!$U:$U,$B377,BV_Data_An_Prec!$V:$V,$C377,BV_Data_An_Prec!$W:$W,$L$2)</f>
        <v>0</v>
      </c>
      <c r="R377" s="320"/>
      <c r="S377" s="216">
        <f t="shared" si="197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600" t="str">
        <f t="shared" si="192"/>
        <v>BoutiqueService gratuit 2</v>
      </c>
      <c r="B378" s="24" t="s">
        <v>191</v>
      </c>
      <c r="C378" s="322" t="s">
        <v>122</v>
      </c>
      <c r="D378" s="318"/>
      <c r="E378" s="195"/>
      <c r="F378" s="196">
        <f>+SUMPRODUCT(('Budget original'!$A$8:$A$496=$A378)*('Budget original'!$C$3:$AO$3=F$2),'Budget original'!$C$8:$AO$496)</f>
        <v>0</v>
      </c>
      <c r="G378" s="319"/>
      <c r="H378" s="195"/>
      <c r="I378" s="196">
        <f>+SUMPRODUCT(('Budget révisé'!$A$8:$A$496=$A378)*('Budget révisé'!$C$3:$AO$3=I$2),'Budget révisé'!$C$8:$AO$496)</f>
        <v>0</v>
      </c>
      <c r="J378" s="320"/>
      <c r="K378" s="195"/>
      <c r="L378" s="197">
        <f>-SUMIFS(BV_Data_An_Cour!$P:$P,BV_Data_An_Cour!$U:$U,$B378,BV_Data_An_Cour!$V:$V,$C378,BV_Data_An_Cour!$W:$W,$L$2)</f>
        <v>0</v>
      </c>
      <c r="M378" s="320"/>
      <c r="N378" s="321">
        <f t="shared" si="196"/>
        <v>0</v>
      </c>
      <c r="O378" s="320"/>
      <c r="P378" s="195"/>
      <c r="Q378" s="197">
        <f>-SUMIFS(BV_Data_An_Prec!$P:$P,BV_Data_An_Prec!$U:$U,$B378,BV_Data_An_Prec!$V:$V,$C378,BV_Data_An_Prec!$W:$W,$L$2)</f>
        <v>0</v>
      </c>
      <c r="R378" s="320"/>
      <c r="S378" s="216">
        <f t="shared" si="197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600" t="str">
        <f t="shared" si="192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+SUMPRODUCT(('Budget original'!$A$8:$A$496=$A379)*('Budget original'!$C$3:$AO$3=F$2),'Budget original'!$C$8:$AO$496)</f>
        <v>0</v>
      </c>
      <c r="G379" s="326"/>
      <c r="H379" s="325"/>
      <c r="I379" s="194">
        <f>+SUMPRODUCT(('Budget révisé'!$A$8:$A$496=$A379)*('Budget révisé'!$C$3:$AO$3=I$2),'Budget révisé'!$C$8:$AO$496)</f>
        <v>0</v>
      </c>
      <c r="J379" s="327"/>
      <c r="K379" s="325"/>
      <c r="L379" s="194">
        <f>-SUMIFS(BV_Data_An_Cour!$P:$P,BV_Data_An_Cour!$U:$U,$B379,BV_Data_An_Cour!$V:$V,$C379,BV_Data_An_Cour!$W:$W,$L$2)</f>
        <v>0</v>
      </c>
      <c r="M379" s="327"/>
      <c r="N379" s="328">
        <f t="shared" si="196"/>
        <v>0</v>
      </c>
      <c r="O379" s="327"/>
      <c r="P379" s="325"/>
      <c r="Q379" s="194">
        <f>-SUMIFS(BV_Data_An_Prec!$P:$P,BV_Data_An_Prec!$U:$U,$B379,BV_Data_An_Prec!$V:$V,$C379,BV_Data_An_Prec!$W:$W,$L$2)</f>
        <v>0</v>
      </c>
      <c r="R379" s="327"/>
      <c r="S379" s="219">
        <f t="shared" si="197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600" t="str">
        <f t="shared" si="192"/>
        <v>BoutiqueInformatique</v>
      </c>
      <c r="B380" s="24" t="s">
        <v>191</v>
      </c>
      <c r="C380" s="322" t="s">
        <v>124</v>
      </c>
      <c r="D380" s="318"/>
      <c r="E380" s="195"/>
      <c r="F380" s="196">
        <f>+SUMPRODUCT(('Budget original'!$A$8:$A$496=$A380)*('Budget original'!$C$3:$AO$3=F$2),'Budget original'!$C$8:$AO$496)</f>
        <v>0</v>
      </c>
      <c r="G380" s="319"/>
      <c r="H380" s="195"/>
      <c r="I380" s="196">
        <f>+SUMPRODUCT(('Budget révisé'!$A$8:$A$496=$A380)*('Budget révisé'!$C$3:$AO$3=I$2),'Budget révisé'!$C$8:$AO$496)</f>
        <v>0</v>
      </c>
      <c r="J380" s="320"/>
      <c r="K380" s="195"/>
      <c r="L380" s="197">
        <f>-SUMIFS(BV_Data_An_Cour!$P:$P,BV_Data_An_Cour!$U:$U,$B380,BV_Data_An_Cour!$V:$V,$C380,BV_Data_An_Cour!$W:$W,$L$2)</f>
        <v>0</v>
      </c>
      <c r="M380" s="320"/>
      <c r="N380" s="321">
        <f t="shared" si="196"/>
        <v>0</v>
      </c>
      <c r="O380" s="320"/>
      <c r="P380" s="195"/>
      <c r="Q380" s="197">
        <f>-SUMIFS(BV_Data_An_Prec!$P:$P,BV_Data_An_Prec!$U:$U,$B380,BV_Data_An_Prec!$V:$V,$C380,BV_Data_An_Prec!$W:$W,$L$2)</f>
        <v>0</v>
      </c>
      <c r="R380" s="320"/>
      <c r="S380" s="216">
        <f t="shared" si="197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600" t="str">
        <f t="shared" si="192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+SUMPRODUCT(('Budget original'!$A$8:$A$496=$A381)*('Budget original'!$C$3:$AO$3=F$2),'Budget original'!$C$8:$AO$496)</f>
        <v>0</v>
      </c>
      <c r="G381" s="319"/>
      <c r="H381" s="195"/>
      <c r="I381" s="196">
        <f>+SUMPRODUCT(('Budget révisé'!$A$8:$A$496=$A381)*('Budget révisé'!$C$3:$AO$3=I$2),'Budget révisé'!$C$8:$AO$496)</f>
        <v>0</v>
      </c>
      <c r="J381" s="320"/>
      <c r="K381" s="195"/>
      <c r="L381" s="197">
        <f>-SUMIFS(BV_Data_An_Cour!$P:$P,BV_Data_An_Cour!$U:$U,$B381,BV_Data_An_Cour!$V:$V,$C381,BV_Data_An_Cour!$W:$W,$L$2)</f>
        <v>0</v>
      </c>
      <c r="M381" s="320"/>
      <c r="N381" s="321">
        <f t="shared" si="196"/>
        <v>0</v>
      </c>
      <c r="O381" s="320"/>
      <c r="P381" s="195"/>
      <c r="Q381" s="197">
        <f>-SUMIFS(BV_Data_An_Prec!$P:$P,BV_Data_An_Prec!$U:$U,$B381,BV_Data_An_Prec!$V:$V,$C381,BV_Data_An_Prec!$W:$W,$L$2)</f>
        <v>0</v>
      </c>
      <c r="R381" s="320"/>
      <c r="S381" s="216">
        <f t="shared" si="197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600" t="str">
        <f t="shared" si="192"/>
        <v>BoutiqueServices extérieurs</v>
      </c>
      <c r="B382" s="24" t="s">
        <v>191</v>
      </c>
      <c r="C382" s="322" t="s">
        <v>126</v>
      </c>
      <c r="D382" s="324"/>
      <c r="E382" s="325"/>
      <c r="F382" s="194">
        <f>+SUMPRODUCT(('Budget original'!$A$8:$A$496=$A382)*('Budget original'!$C$3:$AO$3=F$2),'Budget original'!$C$8:$AO$496)</f>
        <v>0</v>
      </c>
      <c r="G382" s="326"/>
      <c r="H382" s="325"/>
      <c r="I382" s="194">
        <f>+SUMPRODUCT(('Budget révisé'!$A$8:$A$496=$A382)*('Budget révisé'!$C$3:$AO$3=I$2),'Budget révisé'!$C$8:$AO$496)</f>
        <v>0</v>
      </c>
      <c r="J382" s="327"/>
      <c r="K382" s="325"/>
      <c r="L382" s="194">
        <f>-SUMIFS(BV_Data_An_Cour!$P:$P,BV_Data_An_Cour!$U:$U,$B382,BV_Data_An_Cour!$V:$V,$C382,BV_Data_An_Cour!$W:$W,$L$2)</f>
        <v>0</v>
      </c>
      <c r="M382" s="327"/>
      <c r="N382" s="328">
        <f t="shared" si="196"/>
        <v>0</v>
      </c>
      <c r="O382" s="327"/>
      <c r="P382" s="325"/>
      <c r="Q382" s="194">
        <f>-SUMIFS(BV_Data_An_Prec!$P:$P,BV_Data_An_Prec!$U:$U,$B382,BV_Data_An_Prec!$V:$V,$C382,BV_Data_An_Prec!$W:$W,$L$2)</f>
        <v>0</v>
      </c>
      <c r="R382" s="327"/>
      <c r="S382" s="219">
        <f t="shared" si="197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600" t="str">
        <f t="shared" si="192"/>
        <v>BoutiqueFournitures autres</v>
      </c>
      <c r="B383" s="24" t="s">
        <v>191</v>
      </c>
      <c r="C383" s="317" t="s">
        <v>127</v>
      </c>
      <c r="D383" s="318"/>
      <c r="E383" s="195"/>
      <c r="F383" s="196">
        <f>+SUMPRODUCT(('Budget original'!$A$8:$A$496=$A383)*('Budget original'!$C$3:$AO$3=F$2),'Budget original'!$C$8:$AO$496)</f>
        <v>0</v>
      </c>
      <c r="G383" s="319"/>
      <c r="H383" s="195"/>
      <c r="I383" s="196">
        <f>+SUMPRODUCT(('Budget révisé'!$A$8:$A$496=$A383)*('Budget révisé'!$C$3:$AO$3=I$2),'Budget révisé'!$C$8:$AO$496)</f>
        <v>0</v>
      </c>
      <c r="J383" s="320"/>
      <c r="K383" s="195"/>
      <c r="L383" s="197">
        <f>-SUMIFS(BV_Data_An_Cour!$P:$P,BV_Data_An_Cour!$U:$U,$B383,BV_Data_An_Cour!$V:$V,$C383,BV_Data_An_Cour!$W:$W,$L$2)</f>
        <v>0</v>
      </c>
      <c r="M383" s="320"/>
      <c r="N383" s="321">
        <f t="shared" si="196"/>
        <v>0</v>
      </c>
      <c r="O383" s="320"/>
      <c r="P383" s="195"/>
      <c r="Q383" s="197">
        <f>-SUMIFS(BV_Data_An_Prec!$P:$P,BV_Data_An_Prec!$U:$U,$B383,BV_Data_An_Prec!$V:$V,$C383,BV_Data_An_Prec!$W:$W,$L$2)</f>
        <v>0</v>
      </c>
      <c r="R383" s="320"/>
      <c r="S383" s="216">
        <f t="shared" si="197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600" t="str">
        <f t="shared" si="192"/>
        <v>BoutiqueUniformes</v>
      </c>
      <c r="B384" s="24" t="s">
        <v>191</v>
      </c>
      <c r="C384" s="322" t="s">
        <v>128</v>
      </c>
      <c r="D384" s="318"/>
      <c r="E384" s="195"/>
      <c r="F384" s="196">
        <f>+SUMPRODUCT(('Budget original'!$A$8:$A$496=$A384)*('Budget original'!$C$3:$AO$3=F$2),'Budget original'!$C$8:$AO$496)</f>
        <v>0</v>
      </c>
      <c r="G384" s="319"/>
      <c r="H384" s="195"/>
      <c r="I384" s="196">
        <f>+SUMPRODUCT(('Budget révisé'!$A$8:$A$496=$A384)*('Budget révisé'!$C$3:$AO$3=I$2),'Budget révisé'!$C$8:$AO$496)</f>
        <v>0</v>
      </c>
      <c r="J384" s="320"/>
      <c r="K384" s="195"/>
      <c r="L384" s="197">
        <f>-SUMIFS(BV_Data_An_Cour!$P:$P,BV_Data_An_Cour!$U:$U,$B384,BV_Data_An_Cour!$V:$V,$C384,BV_Data_An_Cour!$W:$W,$L$2)</f>
        <v>0</v>
      </c>
      <c r="M384" s="320"/>
      <c r="N384" s="321">
        <f t="shared" si="196"/>
        <v>0</v>
      </c>
      <c r="O384" s="320"/>
      <c r="P384" s="195"/>
      <c r="Q384" s="197">
        <f>-SUMIFS(BV_Data_An_Prec!$P:$P,BV_Data_An_Prec!$U:$U,$B384,BV_Data_An_Prec!$V:$V,$C384,BV_Data_An_Prec!$W:$W,$L$2)</f>
        <v>0</v>
      </c>
      <c r="R384" s="320"/>
      <c r="S384" s="216">
        <f t="shared" si="197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600" t="str">
        <f t="shared" si="192"/>
        <v>BoutiquePapeterie</v>
      </c>
      <c r="B385" s="24" t="s">
        <v>191</v>
      </c>
      <c r="C385" s="322" t="s">
        <v>129</v>
      </c>
      <c r="D385" s="318"/>
      <c r="E385" s="195"/>
      <c r="F385" s="196">
        <f>+SUMPRODUCT(('Budget original'!$A$8:$A$496=$A385)*('Budget original'!$C$3:$AO$3=F$2),'Budget original'!$C$8:$AO$496)</f>
        <v>0</v>
      </c>
      <c r="G385" s="319"/>
      <c r="H385" s="195"/>
      <c r="I385" s="196">
        <f>+SUMPRODUCT(('Budget révisé'!$A$8:$A$496=$A385)*('Budget révisé'!$C$3:$AO$3=I$2),'Budget révisé'!$C$8:$AO$496)</f>
        <v>0</v>
      </c>
      <c r="J385" s="320"/>
      <c r="K385" s="195"/>
      <c r="L385" s="197">
        <f>-SUMIFS(BV_Data_An_Cour!$P:$P,BV_Data_An_Cour!$U:$U,$B385,BV_Data_An_Cour!$V:$V,$C385,BV_Data_An_Cour!$W:$W,$L$2)</f>
        <v>0</v>
      </c>
      <c r="M385" s="320"/>
      <c r="N385" s="321">
        <f t="shared" si="196"/>
        <v>0</v>
      </c>
      <c r="O385" s="320"/>
      <c r="P385" s="195"/>
      <c r="Q385" s="197">
        <f>-SUMIFS(BV_Data_An_Prec!$P:$P,BV_Data_An_Prec!$U:$U,$B385,BV_Data_An_Prec!$V:$V,$C385,BV_Data_An_Prec!$W:$W,$L$2)</f>
        <v>0</v>
      </c>
      <c r="R385" s="320"/>
      <c r="S385" s="216">
        <f t="shared" si="197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600" t="str">
        <f t="shared" si="192"/>
        <v>BoutiqueTéléphone</v>
      </c>
      <c r="B386" s="24" t="s">
        <v>191</v>
      </c>
      <c r="C386" s="322" t="s">
        <v>130</v>
      </c>
      <c r="D386" s="318"/>
      <c r="E386" s="195"/>
      <c r="F386" s="196">
        <f>+SUMPRODUCT(('Budget original'!$A$8:$A$496=$A386)*('Budget original'!$C$3:$AO$3=F$2),'Budget original'!$C$8:$AO$496)</f>
        <v>0</v>
      </c>
      <c r="G386" s="319"/>
      <c r="H386" s="195"/>
      <c r="I386" s="196">
        <f>+SUMPRODUCT(('Budget révisé'!$A$8:$A$496=$A386)*('Budget révisé'!$C$3:$AO$3=I$2),'Budget révisé'!$C$8:$AO$496)</f>
        <v>0</v>
      </c>
      <c r="J386" s="320"/>
      <c r="K386" s="195"/>
      <c r="L386" s="197">
        <f>-SUMIFS(BV_Data_An_Cour!$P:$P,BV_Data_An_Cour!$U:$U,$B386,BV_Data_An_Cour!$V:$V,$C386,BV_Data_An_Cour!$W:$W,$L$2)</f>
        <v>0</v>
      </c>
      <c r="M386" s="320"/>
      <c r="N386" s="321">
        <f t="shared" si="196"/>
        <v>0</v>
      </c>
      <c r="O386" s="320"/>
      <c r="P386" s="195"/>
      <c r="Q386" s="197">
        <f>-SUMIFS(BV_Data_An_Prec!$P:$P,BV_Data_An_Prec!$U:$U,$B386,BV_Data_An_Prec!$V:$V,$C386,BV_Data_An_Prec!$W:$W,$L$2)</f>
        <v>0</v>
      </c>
      <c r="R386" s="320"/>
      <c r="S386" s="216">
        <f t="shared" si="197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600" t="str">
        <f t="shared" si="192"/>
        <v>BoutiqueFrais postaux</v>
      </c>
      <c r="B387" s="24" t="s">
        <v>191</v>
      </c>
      <c r="C387" s="322" t="s">
        <v>131</v>
      </c>
      <c r="D387" s="318"/>
      <c r="E387" s="195"/>
      <c r="F387" s="196">
        <f>+SUMPRODUCT(('Budget original'!$A$8:$A$496=$A387)*('Budget original'!$C$3:$AO$3=F$2),'Budget original'!$C$8:$AO$496)</f>
        <v>0</v>
      </c>
      <c r="G387" s="319"/>
      <c r="H387" s="195"/>
      <c r="I387" s="196">
        <f>+SUMPRODUCT(('Budget révisé'!$A$8:$A$496=$A387)*('Budget révisé'!$C$3:$AO$3=I$2),'Budget révisé'!$C$8:$AO$496)</f>
        <v>0</v>
      </c>
      <c r="J387" s="320"/>
      <c r="K387" s="195"/>
      <c r="L387" s="197">
        <f>-SUMIFS(BV_Data_An_Cour!$P:$P,BV_Data_An_Cour!$U:$U,$B387,BV_Data_An_Cour!$V:$V,$C387,BV_Data_An_Cour!$W:$W,$L$2)</f>
        <v>0</v>
      </c>
      <c r="M387" s="320"/>
      <c r="N387" s="321">
        <f t="shared" si="196"/>
        <v>0</v>
      </c>
      <c r="O387" s="320"/>
      <c r="P387" s="195"/>
      <c r="Q387" s="197">
        <f>-SUMIFS(BV_Data_An_Prec!$P:$P,BV_Data_An_Prec!$U:$U,$B387,BV_Data_An_Prec!$V:$V,$C387,BV_Data_An_Prec!$W:$W,$L$2)</f>
        <v>0</v>
      </c>
      <c r="R387" s="320"/>
      <c r="S387" s="216">
        <f t="shared" si="197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600" t="str">
        <f t="shared" si="192"/>
        <v>BoutiqueDivers</v>
      </c>
      <c r="B388" s="24" t="s">
        <v>191</v>
      </c>
      <c r="C388" s="322" t="s">
        <v>132</v>
      </c>
      <c r="D388" s="318"/>
      <c r="E388" s="195"/>
      <c r="F388" s="196">
        <f>+SUMPRODUCT(('Budget original'!$A$8:$A$496=$A388)*('Budget original'!$C$3:$AO$3=F$2),'Budget original'!$C$8:$AO$496)</f>
        <v>0</v>
      </c>
      <c r="G388" s="319"/>
      <c r="H388" s="195"/>
      <c r="I388" s="196">
        <f>+SUMPRODUCT(('Budget révisé'!$A$8:$A$496=$A388)*('Budget révisé'!$C$3:$AO$3=I$2),'Budget révisé'!$C$8:$AO$496)</f>
        <v>0</v>
      </c>
      <c r="J388" s="320"/>
      <c r="K388" s="195"/>
      <c r="L388" s="197">
        <f>-SUMIFS(BV_Data_An_Cour!$P:$P,BV_Data_An_Cour!$U:$U,$B388,BV_Data_An_Cour!$V:$V,$C388,BV_Data_An_Cour!$W:$W,$L$2)</f>
        <v>0</v>
      </c>
      <c r="M388" s="320"/>
      <c r="N388" s="321">
        <f t="shared" si="196"/>
        <v>0</v>
      </c>
      <c r="O388" s="320"/>
      <c r="P388" s="195"/>
      <c r="Q388" s="197">
        <f>-SUMIFS(BV_Data_An_Prec!$P:$P,BV_Data_An_Prec!$U:$U,$B388,BV_Data_An_Prec!$V:$V,$C388,BV_Data_An_Prec!$W:$W,$L$2)</f>
        <v>0</v>
      </c>
      <c r="R388" s="320"/>
      <c r="S388" s="216">
        <f t="shared" si="197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600" t="str">
        <f t="shared" si="192"/>
        <v>BoutiqueFormation</v>
      </c>
      <c r="B389" s="24" t="s">
        <v>191</v>
      </c>
      <c r="C389" s="322" t="s">
        <v>133</v>
      </c>
      <c r="D389" s="318"/>
      <c r="E389" s="195"/>
      <c r="F389" s="196">
        <f>+SUMPRODUCT(('Budget original'!$A$8:$A$496=$A389)*('Budget original'!$C$3:$AO$3=F$2),'Budget original'!$C$8:$AO$496)</f>
        <v>0</v>
      </c>
      <c r="G389" s="319"/>
      <c r="H389" s="195"/>
      <c r="I389" s="196">
        <f>+SUMPRODUCT(('Budget révisé'!$A$8:$A$496=$A389)*('Budget révisé'!$C$3:$AO$3=I$2),'Budget révisé'!$C$8:$AO$496)</f>
        <v>0</v>
      </c>
      <c r="J389" s="320"/>
      <c r="K389" s="195"/>
      <c r="L389" s="197">
        <f>-SUMIFS(BV_Data_An_Cour!$P:$P,BV_Data_An_Cour!$U:$U,$B389,BV_Data_An_Cour!$V:$V,$C389,BV_Data_An_Cour!$W:$W,$L$2)</f>
        <v>0</v>
      </c>
      <c r="M389" s="320"/>
      <c r="N389" s="321">
        <f t="shared" si="196"/>
        <v>0</v>
      </c>
      <c r="O389" s="320"/>
      <c r="P389" s="195"/>
      <c r="Q389" s="197">
        <f>-SUMIFS(BV_Data_An_Prec!$P:$P,BV_Data_An_Prec!$U:$U,$B389,BV_Data_An_Prec!$V:$V,$C389,BV_Data_An_Prec!$W:$W,$L$2)</f>
        <v>0</v>
      </c>
      <c r="R389" s="320"/>
      <c r="S389" s="216">
        <f t="shared" si="197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600" t="str">
        <f t="shared" si="192"/>
        <v>BoutiqueFrais bancaires</v>
      </c>
      <c r="B390" s="24" t="s">
        <v>191</v>
      </c>
      <c r="C390" s="322" t="s">
        <v>134</v>
      </c>
      <c r="D390" s="318"/>
      <c r="E390" s="195"/>
      <c r="F390" s="196">
        <f>+SUMPRODUCT(('Budget original'!$A$8:$A$496=$A390)*('Budget original'!$C$3:$AO$3=F$2),'Budget original'!$C$8:$AO$496)</f>
        <v>0</v>
      </c>
      <c r="G390" s="319"/>
      <c r="H390" s="195"/>
      <c r="I390" s="196">
        <f>+SUMPRODUCT(('Budget révisé'!$A$8:$A$496=$A390)*('Budget révisé'!$C$3:$AO$3=I$2),'Budget révisé'!$C$8:$AO$496)</f>
        <v>0</v>
      </c>
      <c r="J390" s="320"/>
      <c r="K390" s="195"/>
      <c r="L390" s="197">
        <f>-SUMIFS(BV_Data_An_Cour!$P:$P,BV_Data_An_Cour!$U:$U,$B390,BV_Data_An_Cour!$V:$V,$C390,BV_Data_An_Cour!$W:$W,$L$2)</f>
        <v>0</v>
      </c>
      <c r="M390" s="320"/>
      <c r="N390" s="321">
        <f t="shared" si="196"/>
        <v>0</v>
      </c>
      <c r="O390" s="320"/>
      <c r="P390" s="195"/>
      <c r="Q390" s="197">
        <f>-SUMIFS(BV_Data_An_Prec!$P:$P,BV_Data_An_Prec!$U:$U,$B390,BV_Data_An_Prec!$V:$V,$C390,BV_Data_An_Prec!$W:$W,$L$2)</f>
        <v>0</v>
      </c>
      <c r="R390" s="320"/>
      <c r="S390" s="216">
        <f t="shared" si="197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600" t="str">
        <f t="shared" si="192"/>
        <v>Boutique[...]</v>
      </c>
      <c r="B391" s="24" t="s">
        <v>191</v>
      </c>
      <c r="C391" s="322" t="s">
        <v>42</v>
      </c>
      <c r="D391" s="318"/>
      <c r="E391" s="195"/>
      <c r="F391" s="196">
        <f>+SUMPRODUCT(('Budget original'!$A$8:$A$496=$A391)*('Budget original'!$C$3:$AO$3=F$2),'Budget original'!$C$8:$AO$496)</f>
        <v>0</v>
      </c>
      <c r="G391" s="319"/>
      <c r="H391" s="195"/>
      <c r="I391" s="196">
        <f>+SUMPRODUCT(('Budget révisé'!$A$8:$A$496=$A391)*('Budget révisé'!$C$3:$AO$3=I$2),'Budget révisé'!$C$8:$AO$496)</f>
        <v>0</v>
      </c>
      <c r="J391" s="320"/>
      <c r="K391" s="195"/>
      <c r="L391" s="197">
        <f>-SUMIFS(BV_Data_An_Cour!$P:$P,BV_Data_An_Cour!$U:$U,$B391,BV_Data_An_Cour!$V:$V,$C391,BV_Data_An_Cour!$W:$W,$L$2)</f>
        <v>0</v>
      </c>
      <c r="M391" s="320"/>
      <c r="N391" s="321">
        <f t="shared" si="196"/>
        <v>0</v>
      </c>
      <c r="O391" s="320"/>
      <c r="P391" s="195"/>
      <c r="Q391" s="197">
        <f>-SUMIFS(BV_Data_An_Prec!$P:$P,BV_Data_An_Prec!$U:$U,$B391,BV_Data_An_Prec!$V:$V,$C391,BV_Data_An_Prec!$W:$W,$L$2)</f>
        <v>0</v>
      </c>
      <c r="R391" s="320"/>
      <c r="S391" s="216">
        <f t="shared" si="197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600" t="str">
        <f t="shared" si="192"/>
        <v>Boutique[...]</v>
      </c>
      <c r="B392" s="24" t="s">
        <v>191</v>
      </c>
      <c r="C392" s="322" t="s">
        <v>42</v>
      </c>
      <c r="D392" s="318"/>
      <c r="E392" s="195"/>
      <c r="F392" s="196">
        <f>+SUMPRODUCT(('Budget original'!$A$8:$A$496=$A392)*('Budget original'!$C$3:$AO$3=F$2),'Budget original'!$C$8:$AO$496)</f>
        <v>0</v>
      </c>
      <c r="G392" s="319"/>
      <c r="H392" s="195"/>
      <c r="I392" s="196">
        <f>+SUMPRODUCT(('Budget révisé'!$A$8:$A$496=$A392)*('Budget révisé'!$C$3:$AO$3=I$2),'Budget révisé'!$C$8:$AO$496)</f>
        <v>0</v>
      </c>
      <c r="J392" s="320"/>
      <c r="K392" s="195"/>
      <c r="L392" s="197">
        <f>-SUMIFS(BV_Data_An_Cour!$P:$P,BV_Data_An_Cour!$U:$U,$B392,BV_Data_An_Cour!$V:$V,$C392,BV_Data_An_Cour!$W:$W,$L$2)</f>
        <v>0</v>
      </c>
      <c r="M392" s="320"/>
      <c r="N392" s="321">
        <f t="shared" si="196"/>
        <v>0</v>
      </c>
      <c r="O392" s="320"/>
      <c r="P392" s="195"/>
      <c r="Q392" s="197">
        <f>-SUMIFS(BV_Data_An_Prec!$P:$P,BV_Data_An_Prec!$U:$U,$B392,BV_Data_An_Prec!$V:$V,$C392,BV_Data_An_Prec!$W:$W,$L$2)</f>
        <v>0</v>
      </c>
      <c r="R392" s="320"/>
      <c r="S392" s="216">
        <f t="shared" si="197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600" t="str">
        <f t="shared" si="192"/>
        <v>Boutique[...]</v>
      </c>
      <c r="B393" s="24" t="s">
        <v>191</v>
      </c>
      <c r="C393" s="322" t="s">
        <v>42</v>
      </c>
      <c r="D393" s="324"/>
      <c r="E393" s="325"/>
      <c r="F393" s="196">
        <f>+SUMPRODUCT(('Budget original'!$A$8:$A$496=$A393)*('Budget original'!$C$3:$AO$3=F$2),'Budget original'!$C$8:$AO$496)</f>
        <v>0</v>
      </c>
      <c r="G393" s="326"/>
      <c r="H393" s="325"/>
      <c r="I393" s="196">
        <f>+SUMPRODUCT(('Budget révisé'!$A$8:$A$496=$A393)*('Budget révisé'!$C$3:$AO$3=I$2),'Budget révisé'!$C$8:$AO$496)</f>
        <v>0</v>
      </c>
      <c r="J393" s="327"/>
      <c r="K393" s="325"/>
      <c r="L393" s="197">
        <f>-SUMIFS(BV_Data_An_Cour!$P:$P,BV_Data_An_Cour!$U:$U,$B393,BV_Data_An_Cour!$V:$V,$C393,BV_Data_An_Cour!$W:$W,$L$2)</f>
        <v>0</v>
      </c>
      <c r="M393" s="327"/>
      <c r="N393" s="328">
        <f t="shared" si="196"/>
        <v>0</v>
      </c>
      <c r="O393" s="327"/>
      <c r="P393" s="325"/>
      <c r="Q393" s="197">
        <f>-SUMIFS(BV_Data_An_Prec!$P:$P,BV_Data_An_Prec!$U:$U,$B393,BV_Data_An_Prec!$V:$V,$C393,BV_Data_An_Prec!$W:$W,$L$2)</f>
        <v>0</v>
      </c>
      <c r="R393" s="327"/>
      <c r="S393" s="219">
        <f t="shared" si="197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70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70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70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70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70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70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70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70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Janvier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70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6"/>
      <c r="AM402" s="456"/>
      <c r="AN402" s="456"/>
      <c r="AO402" s="456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600" t="str">
        <f>+U403&amp;V403</f>
        <v/>
      </c>
      <c r="B403" s="170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1071"/>
      <c r="X403" s="1113" t="s">
        <v>194</v>
      </c>
      <c r="Y403" s="1111"/>
      <c r="Z403" s="1114"/>
      <c r="AA403" s="1110" t="s">
        <v>145</v>
      </c>
      <c r="AB403" s="1111"/>
      <c r="AC403" s="1114"/>
      <c r="AD403" s="1110" t="s">
        <v>79</v>
      </c>
      <c r="AE403" s="1111"/>
      <c r="AF403" s="1114"/>
      <c r="AG403" s="1110" t="s">
        <v>195</v>
      </c>
      <c r="AH403" s="1111"/>
      <c r="AI403" s="1114"/>
      <c r="AJ403" s="1110" t="s">
        <v>196</v>
      </c>
      <c r="AK403" s="1111"/>
      <c r="AL403" s="1111"/>
      <c r="AM403" s="1110" t="s">
        <v>197</v>
      </c>
      <c r="AN403" s="1111"/>
      <c r="AO403" s="1112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600" t="str">
        <f t="shared" ref="A404:A483" si="198">+U404&amp;V404</f>
        <v/>
      </c>
      <c r="B404" s="170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60" t="s">
        <v>199</v>
      </c>
      <c r="AE404" s="414" t="s">
        <v>200</v>
      </c>
      <c r="AF404" s="414" t="s">
        <v>201</v>
      </c>
      <c r="AG404" s="460" t="s">
        <v>202</v>
      </c>
      <c r="AH404" s="414" t="s">
        <v>203</v>
      </c>
      <c r="AI404" s="414" t="s">
        <v>204</v>
      </c>
      <c r="AJ404" s="460" t="s">
        <v>199</v>
      </c>
      <c r="AK404" s="414" t="s">
        <v>200</v>
      </c>
      <c r="AL404" s="414" t="s">
        <v>201</v>
      </c>
      <c r="AM404" s="461" t="s">
        <v>202</v>
      </c>
      <c r="AN404" s="414" t="s">
        <v>203</v>
      </c>
      <c r="AO404" s="415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600" t="str">
        <f t="shared" si="198"/>
        <v>Ventes nettes</v>
      </c>
      <c r="B405" s="170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4"/>
      <c r="AE405" s="465"/>
      <c r="AF405" s="465">
        <f>L5+L93+K193+K249+J313+J361</f>
        <v>2075147.3900000001</v>
      </c>
      <c r="AG405" s="464"/>
      <c r="AH405" s="465"/>
      <c r="AI405" s="466"/>
      <c r="AJ405" s="464"/>
      <c r="AK405" s="465"/>
      <c r="AL405" s="465">
        <f>Q5+Q93+P193+P249+O313+O361</f>
        <v>3317383.1799999997</v>
      </c>
      <c r="AM405" s="467"/>
      <c r="AN405" s="465"/>
      <c r="AO405" s="468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600" t="str">
        <f t="shared" si="198"/>
        <v>Profit brut</v>
      </c>
      <c r="B406" s="170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3"/>
      <c r="AE406" s="84"/>
      <c r="AF406" s="84">
        <f>L27+L107+L193+L249+L313+L361</f>
        <v>297419.32000000007</v>
      </c>
      <c r="AG406" s="83"/>
      <c r="AH406" s="84">
        <f>AF406-AC406</f>
        <v>-115861.28047496697</v>
      </c>
      <c r="AI406" s="85">
        <f>AH406/AC406</f>
        <v>-0.2803453158503259</v>
      </c>
      <c r="AJ406" s="83"/>
      <c r="AK406" s="84"/>
      <c r="AL406" s="84">
        <f>Q27+Q107+Q193+Q249+Q313+Q361</f>
        <v>360078.02000000025</v>
      </c>
      <c r="AM406" s="86"/>
      <c r="AN406" s="84">
        <f>AF406-AL406</f>
        <v>-62658.700000000186</v>
      </c>
      <c r="AO406" s="470">
        <f>IF(AL406=0,0,AN406/AL406)</f>
        <v>-0.17401423169345395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600" t="str">
        <f t="shared" si="198"/>
        <v>DÉPENSES</v>
      </c>
      <c r="B407" s="170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3"/>
      <c r="AE407" s="472"/>
      <c r="AF407" s="474"/>
      <c r="AG407" s="473"/>
      <c r="AH407" s="474"/>
      <c r="AI407" s="475"/>
      <c r="AJ407" s="473"/>
      <c r="AK407" s="472"/>
      <c r="AL407" s="474"/>
      <c r="AM407" s="476"/>
      <c r="AN407" s="474"/>
      <c r="AO407" s="230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600" t="str">
        <f t="shared" si="198"/>
        <v>Comm. vendeurs</v>
      </c>
      <c r="B408" s="170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199">Z408/(D$13+D$96)</f>
        <v>455.58860949975389</v>
      </c>
      <c r="Z408" s="87">
        <f t="shared" ref="Z408:Z417" si="200">+SUMIF($C:$C,$V408,F:F)</f>
        <v>34467.450637893795</v>
      </c>
      <c r="AA408" s="472"/>
      <c r="AB408" s="478">
        <f t="shared" ref="AB408:AB414" si="201">IF(AC408=0,0,AC408/(G$13+G$96))</f>
        <v>455.58860949975389</v>
      </c>
      <c r="AC408" s="87">
        <f t="shared" ref="AC408:AC417" si="202">+SUMIF($C:$C,$V408,I:I)</f>
        <v>34467.450637893795</v>
      </c>
      <c r="AD408" s="479"/>
      <c r="AE408" s="478">
        <f t="shared" ref="AE408:AE413" si="203">IF(AF408=0,0,AF408/(J$13+J$96))</f>
        <v>780.37657142857142</v>
      </c>
      <c r="AF408" s="87">
        <f t="shared" ref="AF408:AF417" si="204">+SUMIF($C:$C,$V408,L:L)</f>
        <v>27313.18</v>
      </c>
      <c r="AG408" s="473">
        <f t="shared" ref="AG408:AH413" si="205">AE408-AB408</f>
        <v>324.78796192881754</v>
      </c>
      <c r="AH408" s="474">
        <f t="shared" si="205"/>
        <v>-7154.2706378937946</v>
      </c>
      <c r="AI408" s="475">
        <f>IF(AC408=0,0,AH408/AC408)</f>
        <v>-0.20756599358202407</v>
      </c>
      <c r="AJ408" s="479"/>
      <c r="AK408" s="474">
        <f t="shared" ref="AK408:AK414" si="206">AL408/(O$13+O$96)</f>
        <v>543.66607142857151</v>
      </c>
      <c r="AL408" s="87">
        <f t="shared" ref="AL408:AL417" si="207">+SUMIF($C:$C,$V408,Q:Q)</f>
        <v>45667.950000000004</v>
      </c>
      <c r="AM408" s="476">
        <f t="shared" ref="AM408:AM413" si="208">AE408-Y408</f>
        <v>324.78796192881754</v>
      </c>
      <c r="AN408" s="474">
        <f t="shared" ref="AN408:AN430" si="209">AF408-AL408</f>
        <v>-18354.770000000004</v>
      </c>
      <c r="AO408" s="231">
        <f>IF(AL408=0,0,AN408/AL408)</f>
        <v>-0.40191797529777451</v>
      </c>
      <c r="AP408" s="79"/>
      <c r="AQ408" s="79"/>
      <c r="AR408" s="170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600" t="str">
        <f t="shared" si="198"/>
        <v>Comm. F&amp;I</v>
      </c>
      <c r="B409" s="170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199"/>
        <v>344.22484213127683</v>
      </c>
      <c r="Z409" s="463">
        <f t="shared" si="200"/>
        <v>26042.250633798994</v>
      </c>
      <c r="AA409" s="462"/>
      <c r="AB409" s="481">
        <f t="shared" si="201"/>
        <v>344.22484213127683</v>
      </c>
      <c r="AC409" s="463">
        <f t="shared" si="202"/>
        <v>26042.250633798994</v>
      </c>
      <c r="AD409" s="482"/>
      <c r="AE409" s="481">
        <f t="shared" si="203"/>
        <v>351.04771428571428</v>
      </c>
      <c r="AF409" s="463">
        <f t="shared" si="204"/>
        <v>12286.67</v>
      </c>
      <c r="AG409" s="464">
        <f t="shared" si="205"/>
        <v>6.822872154437448</v>
      </c>
      <c r="AH409" s="465">
        <f t="shared" si="205"/>
        <v>-13755.580633798994</v>
      </c>
      <c r="AI409" s="483">
        <f t="shared" ref="AI409:AI413" si="210">IF(AC409=0,0,AH409/AC409)</f>
        <v>-0.52820245174763358</v>
      </c>
      <c r="AJ409" s="482"/>
      <c r="AK409" s="465">
        <f t="shared" si="206"/>
        <v>207.87642857142856</v>
      </c>
      <c r="AL409" s="463">
        <f t="shared" si="207"/>
        <v>17461.62</v>
      </c>
      <c r="AM409" s="467">
        <f t="shared" si="208"/>
        <v>6.822872154437448</v>
      </c>
      <c r="AN409" s="465">
        <f t="shared" si="209"/>
        <v>-5174.9499999999989</v>
      </c>
      <c r="AO409" s="232">
        <f t="shared" ref="AO409:AO413" si="211">IF(AL409=0,0,AN409/AL409)</f>
        <v>-0.29636139144019852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600" t="str">
        <f t="shared" si="198"/>
        <v>Frais de livraison</v>
      </c>
      <c r="B410" s="170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199"/>
        <v>173.57097440486746</v>
      </c>
      <c r="Z410" s="87">
        <f t="shared" si="200"/>
        <v>13131.471831659408</v>
      </c>
      <c r="AA410" s="472"/>
      <c r="AB410" s="478">
        <f t="shared" si="201"/>
        <v>173.57097440486746</v>
      </c>
      <c r="AC410" s="87">
        <f t="shared" si="202"/>
        <v>13131.471831659408</v>
      </c>
      <c r="AD410" s="479"/>
      <c r="AE410" s="478">
        <f t="shared" si="203"/>
        <v>152.93514285714286</v>
      </c>
      <c r="AF410" s="87">
        <f t="shared" si="204"/>
        <v>5352.7300000000005</v>
      </c>
      <c r="AG410" s="473">
        <f t="shared" si="205"/>
        <v>-20.635831547724592</v>
      </c>
      <c r="AH410" s="474">
        <f t="shared" si="205"/>
        <v>-7778.7418316594076</v>
      </c>
      <c r="AI410" s="475">
        <f t="shared" si="210"/>
        <v>-0.59237394949933941</v>
      </c>
      <c r="AJ410" s="479"/>
      <c r="AK410" s="474">
        <f t="shared" si="206"/>
        <v>122.34559523809523</v>
      </c>
      <c r="AL410" s="87">
        <f t="shared" si="207"/>
        <v>10277.029999999999</v>
      </c>
      <c r="AM410" s="476">
        <f t="shared" si="208"/>
        <v>-20.635831547724592</v>
      </c>
      <c r="AN410" s="474">
        <f t="shared" si="209"/>
        <v>-4924.2999999999984</v>
      </c>
      <c r="AO410" s="231">
        <f t="shared" si="211"/>
        <v>-0.47915594291346808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600" t="str">
        <f t="shared" si="198"/>
        <v>Service gratuit 1</v>
      </c>
      <c r="B411" s="170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199"/>
        <v>33.070810983891086</v>
      </c>
      <c r="Z411" s="87">
        <f t="shared" si="200"/>
        <v>2501.9645385646932</v>
      </c>
      <c r="AA411" s="472"/>
      <c r="AB411" s="478">
        <f t="shared" si="201"/>
        <v>33.070810983891086</v>
      </c>
      <c r="AC411" s="87">
        <f t="shared" si="202"/>
        <v>2501.9645385646932</v>
      </c>
      <c r="AD411" s="479"/>
      <c r="AE411" s="478">
        <f t="shared" si="203"/>
        <v>69.995428571428576</v>
      </c>
      <c r="AF411" s="87">
        <f t="shared" si="204"/>
        <v>2449.84</v>
      </c>
      <c r="AG411" s="473">
        <f t="shared" si="205"/>
        <v>36.92461758753749</v>
      </c>
      <c r="AH411" s="474">
        <f t="shared" si="205"/>
        <v>-52.124538564693012</v>
      </c>
      <c r="AI411" s="475">
        <f t="shared" si="210"/>
        <v>-2.0833444184063216E-2</v>
      </c>
      <c r="AJ411" s="479"/>
      <c r="AK411" s="474">
        <f t="shared" si="206"/>
        <v>2.3809523809523809</v>
      </c>
      <c r="AL411" s="87">
        <f t="shared" si="207"/>
        <v>200</v>
      </c>
      <c r="AM411" s="476">
        <f t="shared" si="208"/>
        <v>36.92461758753749</v>
      </c>
      <c r="AN411" s="474">
        <f t="shared" si="209"/>
        <v>2249.84</v>
      </c>
      <c r="AO411" s="233">
        <f t="shared" si="211"/>
        <v>11.2492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600" t="str">
        <f t="shared" si="198"/>
        <v>Entretien stock</v>
      </c>
      <c r="B412" s="170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199"/>
        <v>43.849286804193831</v>
      </c>
      <c r="Z412" s="463">
        <f t="shared" si="200"/>
        <v>3317.407628100972</v>
      </c>
      <c r="AA412" s="462"/>
      <c r="AB412" s="481">
        <f t="shared" si="201"/>
        <v>43.849286804193831</v>
      </c>
      <c r="AC412" s="463">
        <f t="shared" si="202"/>
        <v>3317.407628100972</v>
      </c>
      <c r="AD412" s="482"/>
      <c r="AE412" s="481">
        <f t="shared" si="203"/>
        <v>59.569999999999993</v>
      </c>
      <c r="AF412" s="463">
        <f t="shared" si="204"/>
        <v>2084.9499999999998</v>
      </c>
      <c r="AG412" s="464">
        <f t="shared" si="205"/>
        <v>15.720713195806162</v>
      </c>
      <c r="AH412" s="465">
        <f t="shared" si="205"/>
        <v>-1232.4576281009722</v>
      </c>
      <c r="AI412" s="483">
        <f t="shared" si="210"/>
        <v>-0.37151226688608191</v>
      </c>
      <c r="AJ412" s="482"/>
      <c r="AK412" s="465">
        <f t="shared" si="206"/>
        <v>32.150595238095242</v>
      </c>
      <c r="AL412" s="463">
        <f t="shared" si="207"/>
        <v>2700.65</v>
      </c>
      <c r="AM412" s="467">
        <f t="shared" si="208"/>
        <v>15.720713195806162</v>
      </c>
      <c r="AN412" s="465">
        <f t="shared" si="209"/>
        <v>-615.70000000000027</v>
      </c>
      <c r="AO412" s="232">
        <f t="shared" si="211"/>
        <v>-0.2279821524447819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600" t="str">
        <f t="shared" si="198"/>
        <v>Publicité 1</v>
      </c>
      <c r="B413" s="170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199"/>
        <v>153.23823239807243</v>
      </c>
      <c r="Z413" s="87">
        <f t="shared" si="200"/>
        <v>11593.202948638496</v>
      </c>
      <c r="AA413" s="475"/>
      <c r="AB413" s="478">
        <f t="shared" si="201"/>
        <v>153.23823239807243</v>
      </c>
      <c r="AC413" s="87">
        <f t="shared" si="202"/>
        <v>11593.202948638496</v>
      </c>
      <c r="AD413" s="479"/>
      <c r="AE413" s="478">
        <f t="shared" si="203"/>
        <v>291.41771428571428</v>
      </c>
      <c r="AF413" s="87">
        <f t="shared" si="204"/>
        <v>10199.620000000001</v>
      </c>
      <c r="AG413" s="473">
        <f t="shared" si="205"/>
        <v>138.17948188764186</v>
      </c>
      <c r="AH413" s="474">
        <f t="shared" si="205"/>
        <v>-1393.5829486384955</v>
      </c>
      <c r="AI413" s="475">
        <f t="shared" si="210"/>
        <v>-0.12020689664560368</v>
      </c>
      <c r="AJ413" s="479"/>
      <c r="AK413" s="474">
        <f t="shared" si="206"/>
        <v>138.45238095238096</v>
      </c>
      <c r="AL413" s="87">
        <f t="shared" si="207"/>
        <v>11630</v>
      </c>
      <c r="AM413" s="476">
        <f t="shared" si="208"/>
        <v>138.17948188764186</v>
      </c>
      <c r="AN413" s="474">
        <f t="shared" si="209"/>
        <v>-1430.3799999999992</v>
      </c>
      <c r="AO413" s="231">
        <f t="shared" si="211"/>
        <v>-0.12299054170249349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600" t="str">
        <f t="shared" si="198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199"/>
        <v>197.05966590141205</v>
      </c>
      <c r="Z414" s="87">
        <f t="shared" si="200"/>
        <v>14908.503341720248</v>
      </c>
      <c r="AA414" s="472"/>
      <c r="AB414" s="478">
        <f t="shared" si="201"/>
        <v>197.05966590141205</v>
      </c>
      <c r="AC414" s="87">
        <f t="shared" si="202"/>
        <v>14908.503341720248</v>
      </c>
      <c r="AD414" s="479"/>
      <c r="AE414" s="478">
        <f>IF(AF414=0,0,AF414/(J$13+J$13))</f>
        <v>301.61424999999997</v>
      </c>
      <c r="AF414" s="87">
        <f t="shared" si="204"/>
        <v>12064.57</v>
      </c>
      <c r="AG414" s="473">
        <f t="shared" ref="AG414" si="212">AE414-AB414</f>
        <v>104.55458409858792</v>
      </c>
      <c r="AH414" s="474">
        <f t="shared" ref="AH414" si="213">AF414-AC414</f>
        <v>-2843.9333417202488</v>
      </c>
      <c r="AI414" s="475">
        <f t="shared" ref="AI414" si="214">IF(AC414=0,0,AH414/AC414)</f>
        <v>-0.19075914439793093</v>
      </c>
      <c r="AJ414" s="479"/>
      <c r="AK414" s="474">
        <f t="shared" si="206"/>
        <v>218.20607142857145</v>
      </c>
      <c r="AL414" s="87">
        <f t="shared" si="207"/>
        <v>18329.310000000001</v>
      </c>
      <c r="AM414" s="476">
        <f t="shared" ref="AM414" si="215">AE414-Y414</f>
        <v>104.55458409858792</v>
      </c>
      <c r="AN414" s="474">
        <f t="shared" ref="AN414" si="216">AF414-AL414</f>
        <v>-6264.7400000000016</v>
      </c>
      <c r="AO414" s="231">
        <f t="shared" ref="AO414" si="217">IF(AL414=0,0,AN414/AL414)</f>
        <v>-0.34178809786074876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customHeight="1">
      <c r="A415" s="600" t="str">
        <f t="shared" si="198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18">Z415/(D$13+D$96)</f>
        <v>0</v>
      </c>
      <c r="Z415" s="87">
        <f t="shared" si="200"/>
        <v>0</v>
      </c>
      <c r="AA415" s="472"/>
      <c r="AB415" s="478">
        <f t="shared" ref="AB415:AB417" si="219">IF(AC415=0,0,AC415/(G$13+G$96))</f>
        <v>0</v>
      </c>
      <c r="AC415" s="87">
        <f t="shared" si="202"/>
        <v>0</v>
      </c>
      <c r="AD415" s="479"/>
      <c r="AE415" s="478">
        <f t="shared" ref="AE415:AE417" si="220">IF(AF415=0,0,AF415/(J$13+J$13))</f>
        <v>0</v>
      </c>
      <c r="AF415" s="87">
        <f t="shared" si="204"/>
        <v>0</v>
      </c>
      <c r="AG415" s="473">
        <f t="shared" ref="AG415:AG417" si="221">AE415-AB415</f>
        <v>0</v>
      </c>
      <c r="AH415" s="474">
        <f t="shared" ref="AH415:AH417" si="222">AF415-AC415</f>
        <v>0</v>
      </c>
      <c r="AI415" s="475">
        <f t="shared" ref="AI415:AI417" si="223">IF(AC415=0,0,AH415/AC415)</f>
        <v>0</v>
      </c>
      <c r="AJ415" s="479"/>
      <c r="AK415" s="474">
        <f t="shared" ref="AK415:AK417" si="224">AL415/(O$13+O$96)</f>
        <v>0</v>
      </c>
      <c r="AL415" s="87">
        <f t="shared" si="207"/>
        <v>0</v>
      </c>
      <c r="AM415" s="476">
        <f t="shared" ref="AM415:AM417" si="225">AE415-Y415</f>
        <v>0</v>
      </c>
      <c r="AN415" s="474">
        <f t="shared" ref="AN415:AN417" si="226">AF415-AL415</f>
        <v>0</v>
      </c>
      <c r="AO415" s="231">
        <f t="shared" ref="AO415:AO417" si="227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customHeight="1">
      <c r="A416" s="600" t="str">
        <f t="shared" si="198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18"/>
        <v>0</v>
      </c>
      <c r="Z416" s="87">
        <f t="shared" si="200"/>
        <v>0</v>
      </c>
      <c r="AA416" s="472"/>
      <c r="AB416" s="478">
        <f t="shared" si="219"/>
        <v>0</v>
      </c>
      <c r="AC416" s="87">
        <f t="shared" si="202"/>
        <v>0</v>
      </c>
      <c r="AD416" s="479"/>
      <c r="AE416" s="478">
        <f t="shared" si="220"/>
        <v>0</v>
      </c>
      <c r="AF416" s="87">
        <f t="shared" si="204"/>
        <v>0</v>
      </c>
      <c r="AG416" s="473">
        <f t="shared" si="221"/>
        <v>0</v>
      </c>
      <c r="AH416" s="474">
        <f t="shared" si="222"/>
        <v>0</v>
      </c>
      <c r="AI416" s="475">
        <f t="shared" si="223"/>
        <v>0</v>
      </c>
      <c r="AJ416" s="479"/>
      <c r="AK416" s="474">
        <f t="shared" si="224"/>
        <v>0</v>
      </c>
      <c r="AL416" s="87">
        <f t="shared" si="207"/>
        <v>0</v>
      </c>
      <c r="AM416" s="476">
        <f t="shared" si="225"/>
        <v>0</v>
      </c>
      <c r="AN416" s="474">
        <f t="shared" si="226"/>
        <v>0</v>
      </c>
      <c r="AO416" s="231">
        <f t="shared" si="227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customHeight="1">
      <c r="A417" s="600" t="str">
        <f t="shared" si="198"/>
        <v>[...]</v>
      </c>
      <c r="B417" s="170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18"/>
        <v>0</v>
      </c>
      <c r="Z417" s="87">
        <f t="shared" si="200"/>
        <v>0</v>
      </c>
      <c r="AA417" s="472"/>
      <c r="AB417" s="478">
        <f t="shared" si="219"/>
        <v>0</v>
      </c>
      <c r="AC417" s="87">
        <f t="shared" si="202"/>
        <v>0</v>
      </c>
      <c r="AD417" s="479"/>
      <c r="AE417" s="478">
        <f t="shared" si="220"/>
        <v>0</v>
      </c>
      <c r="AF417" s="87">
        <f t="shared" si="204"/>
        <v>0</v>
      </c>
      <c r="AG417" s="473">
        <f t="shared" si="221"/>
        <v>0</v>
      </c>
      <c r="AH417" s="474">
        <f t="shared" si="222"/>
        <v>0</v>
      </c>
      <c r="AI417" s="475">
        <f t="shared" si="223"/>
        <v>0</v>
      </c>
      <c r="AJ417" s="479"/>
      <c r="AK417" s="474">
        <f t="shared" si="224"/>
        <v>0</v>
      </c>
      <c r="AL417" s="87">
        <f t="shared" si="207"/>
        <v>0</v>
      </c>
      <c r="AM417" s="476">
        <f t="shared" si="225"/>
        <v>0</v>
      </c>
      <c r="AN417" s="474">
        <f t="shared" si="226"/>
        <v>0</v>
      </c>
      <c r="AO417" s="231">
        <f t="shared" si="227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600" t="str">
        <f t="shared" si="198"/>
        <v>TOTAL VARIABLES</v>
      </c>
      <c r="B418" s="170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1">
        <f>AF418/AF406</f>
        <v>0.24124713888795113</v>
      </c>
      <c r="AE418" s="88"/>
      <c r="AF418" s="90">
        <f>SUM(AF408:AF417)</f>
        <v>71751.56</v>
      </c>
      <c r="AG418" s="92"/>
      <c r="AH418" s="93">
        <f>AF418-AC418</f>
        <v>-34210.69156037661</v>
      </c>
      <c r="AI418" s="89">
        <f>AH418/AC418</f>
        <v>-0.3228573483160046</v>
      </c>
      <c r="AJ418" s="91">
        <f>IF($AL$406=0,0,AL418/$AL$406)</f>
        <v>0.29512092962519604</v>
      </c>
      <c r="AK418" s="88"/>
      <c r="AL418" s="90">
        <f>SUM(AL408:AL417)</f>
        <v>106266.56</v>
      </c>
      <c r="AM418" s="94"/>
      <c r="AN418" s="93">
        <f t="shared" si="209"/>
        <v>-34515</v>
      </c>
      <c r="AO418" s="470">
        <f>IF(AL418=0,0,AN418/AL418)</f>
        <v>-0.32479643643306044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600" t="str">
        <f t="shared" si="198"/>
        <v>Salaires propriétaire</v>
      </c>
      <c r="B419" s="170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+SUMPRODUCT(('Budget original'!$A$8:$A$496=$A419)*('Budget original'!$C$3:$AO$3=Z$2),'Budget original'!$C$8:$AO$496)</f>
        <v>0</v>
      </c>
      <c r="AA419" s="472"/>
      <c r="AB419" s="472"/>
      <c r="AC419" s="87">
        <f>+SUMPRODUCT(('Budget révisé'!$A$8:$A$496=$A419)*('Budget révisé'!$C$3:$AO$3=AC$2),'Budget révisé'!$C$8:$AO$496)</f>
        <v>0</v>
      </c>
      <c r="AD419" s="479"/>
      <c r="AE419" s="478"/>
      <c r="AF419" s="87">
        <f>SUMIFS(BV_Data_An_Cour!$P:$P,BV_Data_An_Cour!$V:$V,$V419)</f>
        <v>2916.67</v>
      </c>
      <c r="AG419" s="473"/>
      <c r="AH419" s="474">
        <f t="shared" ref="AH419:AH430" si="228">AF419-AC419</f>
        <v>2916.67</v>
      </c>
      <c r="AI419" s="475">
        <f>IF(AC419=0,0,AH419/AC419)</f>
        <v>0</v>
      </c>
      <c r="AJ419" s="479"/>
      <c r="AK419" s="472"/>
      <c r="AL419" s="87">
        <f>SUMIFS(BV_Data_An_Prec!$P:$P,BV_Data_An_Prec!$V:$V,$V419)</f>
        <v>14500</v>
      </c>
      <c r="AM419" s="476"/>
      <c r="AN419" s="474">
        <f t="shared" si="209"/>
        <v>-11583.33</v>
      </c>
      <c r="AO419" s="231">
        <f t="shared" ref="AO419:AO430" si="229">IF(AL419=0,0,AN419/AL419)</f>
        <v>-0.79885034482758621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600" t="str">
        <f t="shared" si="198"/>
        <v>Salaires cadres</v>
      </c>
      <c r="B420" s="170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30">+SUMIF($C:$C,$V420,F:F)</f>
        <v>51976.551080722333</v>
      </c>
      <c r="AA420" s="472"/>
      <c r="AB420" s="472"/>
      <c r="AC420" s="87">
        <f t="shared" ref="AC420:AC431" si="231">+SUMIF($C:$C,$V420,I:I)</f>
        <v>51976.551080722333</v>
      </c>
      <c r="AD420" s="479"/>
      <c r="AE420" s="478"/>
      <c r="AF420" s="87">
        <f t="shared" ref="AF420:AF431" si="232">+SUMIF($C:$C,$V420,L:L)</f>
        <v>34687.1</v>
      </c>
      <c r="AG420" s="473"/>
      <c r="AH420" s="474">
        <f t="shared" si="228"/>
        <v>-17289.451080722334</v>
      </c>
      <c r="AI420" s="475">
        <f t="shared" ref="AI420:AI430" si="233">IF(AC420=0,0,AH420/AC420)</f>
        <v>-0.33263944454242267</v>
      </c>
      <c r="AJ420" s="479"/>
      <c r="AK420" s="472"/>
      <c r="AL420" s="87">
        <f t="shared" ref="AL420:AL431" si="234">+SUMIF($C:$C,$V420,Q:Q)</f>
        <v>48573.36</v>
      </c>
      <c r="AM420" s="476"/>
      <c r="AN420" s="474">
        <f t="shared" si="209"/>
        <v>-13886.260000000002</v>
      </c>
      <c r="AO420" s="231">
        <f t="shared" si="229"/>
        <v>-0.28588222021289039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600" t="str">
        <f t="shared" si="198"/>
        <v>Salaires commis</v>
      </c>
      <c r="B421" s="170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30"/>
        <v>25233.696925057473</v>
      </c>
      <c r="AA421" s="462"/>
      <c r="AB421" s="462"/>
      <c r="AC421" s="463">
        <f t="shared" si="231"/>
        <v>25233.696925057473</v>
      </c>
      <c r="AD421" s="482"/>
      <c r="AE421" s="481"/>
      <c r="AF421" s="463">
        <f t="shared" si="232"/>
        <v>21015.16</v>
      </c>
      <c r="AG421" s="464"/>
      <c r="AH421" s="465">
        <f t="shared" si="228"/>
        <v>-4218.5369250574731</v>
      </c>
      <c r="AI421" s="483">
        <f t="shared" si="233"/>
        <v>-0.16717871097470452</v>
      </c>
      <c r="AJ421" s="482"/>
      <c r="AK421" s="462"/>
      <c r="AL421" s="463">
        <f t="shared" si="234"/>
        <v>25374.29</v>
      </c>
      <c r="AM421" s="467"/>
      <c r="AN421" s="465">
        <f t="shared" si="209"/>
        <v>-4359.130000000001</v>
      </c>
      <c r="AO421" s="468">
        <f t="shared" si="229"/>
        <v>-0.17179318120822301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600" t="str">
        <f t="shared" si="198"/>
        <v>Salaires autres</v>
      </c>
      <c r="B422" s="170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30"/>
        <v>43666.343229793099</v>
      </c>
      <c r="AA422" s="472"/>
      <c r="AB422" s="472"/>
      <c r="AC422" s="87">
        <f t="shared" si="231"/>
        <v>43666.343229793099</v>
      </c>
      <c r="AD422" s="479"/>
      <c r="AE422" s="478"/>
      <c r="AF422" s="87">
        <f t="shared" si="232"/>
        <v>50200.78</v>
      </c>
      <c r="AG422" s="473"/>
      <c r="AH422" s="474">
        <f t="shared" si="228"/>
        <v>6534.4367702068994</v>
      </c>
      <c r="AI422" s="475">
        <f t="shared" si="233"/>
        <v>0.14964469856840495</v>
      </c>
      <c r="AJ422" s="479"/>
      <c r="AK422" s="472"/>
      <c r="AL422" s="87">
        <f t="shared" si="234"/>
        <v>44295.43</v>
      </c>
      <c r="AM422" s="476"/>
      <c r="AN422" s="474">
        <f t="shared" si="209"/>
        <v>5905.3499999999985</v>
      </c>
      <c r="AO422" s="231">
        <f t="shared" si="229"/>
        <v>0.13331736479361411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600" t="str">
        <f t="shared" si="198"/>
        <v>Salaires spécialistes</v>
      </c>
      <c r="B423" s="170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30"/>
        <v>33973.008648275863</v>
      </c>
      <c r="AA423" s="472"/>
      <c r="AB423" s="472"/>
      <c r="AC423" s="87">
        <f t="shared" si="231"/>
        <v>33973.008648275863</v>
      </c>
      <c r="AD423" s="479"/>
      <c r="AE423" s="478"/>
      <c r="AF423" s="87">
        <f t="shared" si="232"/>
        <v>24615.4</v>
      </c>
      <c r="AG423" s="473"/>
      <c r="AH423" s="474">
        <f t="shared" si="228"/>
        <v>-9357.6086482758619</v>
      </c>
      <c r="AI423" s="475">
        <f t="shared" si="233"/>
        <v>-0.27544244741923268</v>
      </c>
      <c r="AJ423" s="479"/>
      <c r="AK423" s="472"/>
      <c r="AL423" s="87">
        <f t="shared" si="234"/>
        <v>23962.38</v>
      </c>
      <c r="AM423" s="476"/>
      <c r="AN423" s="474">
        <f t="shared" si="209"/>
        <v>653.02000000000044</v>
      </c>
      <c r="AO423" s="231">
        <f t="shared" si="229"/>
        <v>2.7251883994828578E-2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customHeight="1">
      <c r="A424" s="600" t="str">
        <f t="shared" si="198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30"/>
        <v>0</v>
      </c>
      <c r="AA424" s="472"/>
      <c r="AB424" s="472"/>
      <c r="AC424" s="87">
        <f t="shared" si="231"/>
        <v>0</v>
      </c>
      <c r="AD424" s="479"/>
      <c r="AE424" s="478"/>
      <c r="AF424" s="87">
        <f t="shared" si="232"/>
        <v>0</v>
      </c>
      <c r="AG424" s="473"/>
      <c r="AH424" s="474">
        <f t="shared" ref="AH424:AH426" si="235">AF424-AC424</f>
        <v>0</v>
      </c>
      <c r="AI424" s="475">
        <f t="shared" ref="AI424:AI426" si="236">IF(AC424=0,0,AH424/AC424)</f>
        <v>0</v>
      </c>
      <c r="AJ424" s="479"/>
      <c r="AK424" s="472"/>
      <c r="AL424" s="87">
        <f t="shared" si="234"/>
        <v>0</v>
      </c>
      <c r="AM424" s="476"/>
      <c r="AN424" s="474">
        <f t="shared" ref="AN424:AN426" si="237">AF424-AL424</f>
        <v>0</v>
      </c>
      <c r="AO424" s="231">
        <f t="shared" ref="AO424:AO426" si="23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customHeight="1">
      <c r="A425" s="600" t="str">
        <f t="shared" si="198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30"/>
        <v>0</v>
      </c>
      <c r="AA425" s="472"/>
      <c r="AB425" s="472"/>
      <c r="AC425" s="87">
        <f t="shared" si="231"/>
        <v>0</v>
      </c>
      <c r="AD425" s="479"/>
      <c r="AE425" s="478"/>
      <c r="AF425" s="87">
        <f t="shared" si="232"/>
        <v>0</v>
      </c>
      <c r="AG425" s="473"/>
      <c r="AH425" s="474">
        <f t="shared" si="235"/>
        <v>0</v>
      </c>
      <c r="AI425" s="475">
        <f t="shared" si="236"/>
        <v>0</v>
      </c>
      <c r="AJ425" s="479"/>
      <c r="AK425" s="472"/>
      <c r="AL425" s="87">
        <f t="shared" si="234"/>
        <v>0</v>
      </c>
      <c r="AM425" s="476"/>
      <c r="AN425" s="474">
        <f t="shared" si="237"/>
        <v>0</v>
      </c>
      <c r="AO425" s="231">
        <f t="shared" si="23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customHeight="1">
      <c r="A426" s="600" t="str">
        <f t="shared" si="198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30"/>
        <v>0</v>
      </c>
      <c r="AA426" s="472"/>
      <c r="AB426" s="472"/>
      <c r="AC426" s="87">
        <f t="shared" si="231"/>
        <v>0</v>
      </c>
      <c r="AD426" s="479"/>
      <c r="AE426" s="478"/>
      <c r="AF426" s="87">
        <f t="shared" si="232"/>
        <v>0</v>
      </c>
      <c r="AG426" s="473"/>
      <c r="AH426" s="474">
        <f t="shared" si="235"/>
        <v>0</v>
      </c>
      <c r="AI426" s="475">
        <f t="shared" si="236"/>
        <v>0</v>
      </c>
      <c r="AJ426" s="479"/>
      <c r="AK426" s="472"/>
      <c r="AL426" s="87">
        <f t="shared" si="234"/>
        <v>0</v>
      </c>
      <c r="AM426" s="476"/>
      <c r="AN426" s="474">
        <f t="shared" si="237"/>
        <v>0</v>
      </c>
      <c r="AO426" s="231">
        <f t="shared" si="23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600" t="str">
        <f t="shared" si="198"/>
        <v>Salaires en absences</v>
      </c>
      <c r="B427" s="170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30"/>
        <v>34942.936938664985</v>
      </c>
      <c r="AA427" s="462"/>
      <c r="AB427" s="462"/>
      <c r="AC427" s="463">
        <f t="shared" si="231"/>
        <v>34942.936938664985</v>
      </c>
      <c r="AD427" s="482"/>
      <c r="AE427" s="481"/>
      <c r="AF427" s="463">
        <f t="shared" si="232"/>
        <v>22034.920000000002</v>
      </c>
      <c r="AG427" s="464"/>
      <c r="AH427" s="465">
        <f t="shared" si="228"/>
        <v>-12908.016938664983</v>
      </c>
      <c r="AI427" s="483">
        <f t="shared" si="233"/>
        <v>-0.36940274829566577</v>
      </c>
      <c r="AJ427" s="482"/>
      <c r="AK427" s="462"/>
      <c r="AL427" s="463">
        <f t="shared" si="234"/>
        <v>36767.710000000006</v>
      </c>
      <c r="AM427" s="467"/>
      <c r="AN427" s="465">
        <f t="shared" si="209"/>
        <v>-14732.790000000005</v>
      </c>
      <c r="AO427" s="232">
        <f t="shared" si="229"/>
        <v>-0.40069914607137624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600" t="str">
        <f t="shared" si="198"/>
        <v>Déduction à la source</v>
      </c>
      <c r="B428" s="170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30"/>
        <v>34942.936938664985</v>
      </c>
      <c r="AA428" s="472"/>
      <c r="AB428" s="472"/>
      <c r="AC428" s="87">
        <f t="shared" si="231"/>
        <v>34942.936938664985</v>
      </c>
      <c r="AD428" s="479"/>
      <c r="AE428" s="478"/>
      <c r="AF428" s="87">
        <f t="shared" si="232"/>
        <v>31766.530000000002</v>
      </c>
      <c r="AG428" s="473"/>
      <c r="AH428" s="474">
        <f t="shared" si="228"/>
        <v>-3176.4069386649826</v>
      </c>
      <c r="AI428" s="475">
        <f t="shared" si="233"/>
        <v>-9.0902689268520853E-2</v>
      </c>
      <c r="AJ428" s="479"/>
      <c r="AK428" s="472"/>
      <c r="AL428" s="87">
        <f t="shared" si="234"/>
        <v>28614.859999999997</v>
      </c>
      <c r="AM428" s="476"/>
      <c r="AN428" s="474">
        <f t="shared" si="209"/>
        <v>3151.6700000000055</v>
      </c>
      <c r="AO428" s="231">
        <f t="shared" si="229"/>
        <v>0.11014102462846248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600" t="str">
        <f t="shared" si="198"/>
        <v>Bénéfices marginaux</v>
      </c>
      <c r="B429" s="170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30"/>
        <v>25042.438139376573</v>
      </c>
      <c r="AA429" s="472"/>
      <c r="AB429" s="472"/>
      <c r="AC429" s="87">
        <f t="shared" si="231"/>
        <v>25042.438139376573</v>
      </c>
      <c r="AD429" s="479"/>
      <c r="AE429" s="478"/>
      <c r="AF429" s="87">
        <f t="shared" si="232"/>
        <v>18505.86</v>
      </c>
      <c r="AG429" s="473"/>
      <c r="AH429" s="474">
        <f t="shared" si="228"/>
        <v>-6536.5781393765719</v>
      </c>
      <c r="AI429" s="475">
        <f t="shared" si="233"/>
        <v>-0.26102003738599627</v>
      </c>
      <c r="AJ429" s="479"/>
      <c r="AK429" s="472"/>
      <c r="AL429" s="87">
        <f t="shared" si="234"/>
        <v>23722.65</v>
      </c>
      <c r="AM429" s="476"/>
      <c r="AN429" s="474">
        <f t="shared" si="209"/>
        <v>-5216.7900000000009</v>
      </c>
      <c r="AO429" s="231">
        <f t="shared" si="229"/>
        <v>-0.21990755670213913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600" t="str">
        <f t="shared" si="198"/>
        <v>Csst</v>
      </c>
      <c r="B430" s="170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30"/>
        <v>5823.8228231108315</v>
      </c>
      <c r="AA430" s="472"/>
      <c r="AB430" s="472"/>
      <c r="AC430" s="87">
        <f t="shared" si="231"/>
        <v>5823.8228231108315</v>
      </c>
      <c r="AD430" s="479"/>
      <c r="AE430" s="478"/>
      <c r="AF430" s="87">
        <f t="shared" si="232"/>
        <v>5020.3100000000004</v>
      </c>
      <c r="AG430" s="473"/>
      <c r="AH430" s="474">
        <f t="shared" si="228"/>
        <v>-803.51282311083105</v>
      </c>
      <c r="AI430" s="97">
        <f t="shared" si="233"/>
        <v>-0.13796999797490914</v>
      </c>
      <c r="AJ430" s="479"/>
      <c r="AK430" s="472"/>
      <c r="AL430" s="87">
        <f t="shared" si="234"/>
        <v>11489.880000000001</v>
      </c>
      <c r="AM430" s="476"/>
      <c r="AN430" s="474">
        <f t="shared" si="209"/>
        <v>-6469.5700000000006</v>
      </c>
      <c r="AO430" s="231">
        <f t="shared" si="229"/>
        <v>-0.56306680313458457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customHeight="1">
      <c r="A431" s="600" t="str">
        <f t="shared" si="198"/>
        <v>[...]</v>
      </c>
      <c r="B431" s="170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30"/>
        <v>0</v>
      </c>
      <c r="AA431" s="472"/>
      <c r="AB431" s="478"/>
      <c r="AC431" s="87">
        <f t="shared" si="231"/>
        <v>0</v>
      </c>
      <c r="AD431" s="479"/>
      <c r="AE431" s="478"/>
      <c r="AF431" s="87">
        <f t="shared" si="232"/>
        <v>0</v>
      </c>
      <c r="AG431" s="473"/>
      <c r="AH431" s="474"/>
      <c r="AI431" s="475"/>
      <c r="AJ431" s="479"/>
      <c r="AK431" s="474"/>
      <c r="AL431" s="87">
        <f t="shared" si="234"/>
        <v>0</v>
      </c>
      <c r="AM431" s="476"/>
      <c r="AN431" s="474"/>
      <c r="AO431" s="232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600" t="str">
        <f t="shared" si="198"/>
        <v>TOTAL PERSONNEL</v>
      </c>
      <c r="B432" s="170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1">
        <f>AF432/AF406</f>
        <v>0.708638329211431</v>
      </c>
      <c r="AE432" s="98"/>
      <c r="AF432" s="90">
        <f>SUM(AF419:AF431)</f>
        <v>210762.72999999998</v>
      </c>
      <c r="AG432" s="99"/>
      <c r="AH432" s="93">
        <f t="shared" ref="AH432:AH446" si="239">AF432-AC432</f>
        <v>-44839.004723666178</v>
      </c>
      <c r="AI432" s="89">
        <f>AH432/AC432</f>
        <v>-0.17542527546670258</v>
      </c>
      <c r="AJ432" s="91">
        <f>IF($AL$406=0,0,AL432/$AL$406)</f>
        <v>0.7145689148146277</v>
      </c>
      <c r="AK432" s="88"/>
      <c r="AL432" s="90">
        <f>SUM(AL419:AL431)</f>
        <v>257300.55999999997</v>
      </c>
      <c r="AM432" s="100"/>
      <c r="AN432" s="93">
        <f t="shared" ref="AN432:AN446" si="240">AF432-AL432</f>
        <v>-46537.829999999987</v>
      </c>
      <c r="AO432" s="470">
        <f>IF(AL432=0,0,AN432/AL432)</f>
        <v>-0.18086952473014437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600" t="str">
        <f t="shared" si="198"/>
        <v>Publicité 2</v>
      </c>
      <c r="B433" s="170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41">+SUMIF($C:$C,$V433,F:F)</f>
        <v>10881.833333333332</v>
      </c>
      <c r="AA433" s="486"/>
      <c r="AB433" s="486"/>
      <c r="AC433" s="487">
        <f t="shared" ref="AC433:AC450" si="242">+SUMIF($C:$C,$V433,I:I)</f>
        <v>10881.833333333332</v>
      </c>
      <c r="AD433" s="488"/>
      <c r="AE433" s="489"/>
      <c r="AF433" s="487">
        <f t="shared" ref="AF433:AF450" si="243">+SUMIF($C:$C,$V433,L:L)</f>
        <v>11345.369999999999</v>
      </c>
      <c r="AG433" s="488"/>
      <c r="AH433" s="490">
        <f t="shared" si="239"/>
        <v>463.53666666666686</v>
      </c>
      <c r="AI433" s="491">
        <f>IF(AC433=0,0,AH433/AC433)</f>
        <v>4.2597295186166569E-2</v>
      </c>
      <c r="AJ433" s="488"/>
      <c r="AK433" s="486"/>
      <c r="AL433" s="487">
        <f t="shared" ref="AL433:AL450" si="244">+SUMIF($C:$C,$V433,Q:Q)</f>
        <v>17392.949999999997</v>
      </c>
      <c r="AM433" s="492"/>
      <c r="AN433" s="490">
        <f t="shared" si="240"/>
        <v>-6047.5799999999981</v>
      </c>
      <c r="AO433" s="230">
        <f t="shared" ref="AO433:AO446" si="245">IF(AL433=0,0,AN433/AL433)</f>
        <v>-0.34770294860848788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600" t="str">
        <f t="shared" si="198"/>
        <v>Service gratuit 2</v>
      </c>
      <c r="B434" s="170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41"/>
        <v>4410.3140789863637</v>
      </c>
      <c r="AA434" s="472"/>
      <c r="AB434" s="472"/>
      <c r="AC434" s="87">
        <f t="shared" si="242"/>
        <v>4410.3140789863637</v>
      </c>
      <c r="AD434" s="479"/>
      <c r="AE434" s="478"/>
      <c r="AF434" s="87">
        <f t="shared" si="243"/>
        <v>324.87</v>
      </c>
      <c r="AG434" s="473"/>
      <c r="AH434" s="474">
        <f t="shared" si="239"/>
        <v>-4085.4440789863638</v>
      </c>
      <c r="AI434" s="475">
        <f t="shared" ref="AI434:AI446" si="246">IF(AC434=0,0,AH434/AC434)</f>
        <v>-0.9263385794794311</v>
      </c>
      <c r="AJ434" s="479"/>
      <c r="AK434" s="472"/>
      <c r="AL434" s="87">
        <f t="shared" si="244"/>
        <v>1139.1399999999999</v>
      </c>
      <c r="AM434" s="476"/>
      <c r="AN434" s="474">
        <f t="shared" si="240"/>
        <v>-814.26999999999987</v>
      </c>
      <c r="AO434" s="231">
        <f t="shared" si="245"/>
        <v>-0.71481117334129252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600" t="str">
        <f t="shared" si="198"/>
        <v>Frais véhicules de cie</v>
      </c>
      <c r="B435" s="170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41"/>
        <v>26652.437500000004</v>
      </c>
      <c r="AA435" s="462"/>
      <c r="AB435" s="462"/>
      <c r="AC435" s="463">
        <f t="shared" si="242"/>
        <v>26652.437500000004</v>
      </c>
      <c r="AD435" s="482"/>
      <c r="AE435" s="481"/>
      <c r="AF435" s="463">
        <f t="shared" si="243"/>
        <v>18132.73</v>
      </c>
      <c r="AG435" s="464"/>
      <c r="AH435" s="465">
        <f t="shared" si="239"/>
        <v>-8519.7075000000041</v>
      </c>
      <c r="AI435" s="483">
        <f t="shared" si="246"/>
        <v>-0.31965959961448193</v>
      </c>
      <c r="AJ435" s="482"/>
      <c r="AK435" s="462"/>
      <c r="AL435" s="463">
        <f t="shared" si="244"/>
        <v>32151.829999999998</v>
      </c>
      <c r="AM435" s="467"/>
      <c r="AN435" s="465">
        <f t="shared" si="240"/>
        <v>-14019.099999999999</v>
      </c>
      <c r="AO435" s="468">
        <f t="shared" si="245"/>
        <v>-0.43602805812297463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600" t="str">
        <f t="shared" si="198"/>
        <v>Informatique</v>
      </c>
      <c r="B436" s="170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41"/>
        <v>19483.113333333335</v>
      </c>
      <c r="AA436" s="472"/>
      <c r="AB436" s="472"/>
      <c r="AC436" s="87">
        <f t="shared" si="242"/>
        <v>19483.113333333335</v>
      </c>
      <c r="AD436" s="479"/>
      <c r="AE436" s="478"/>
      <c r="AF436" s="87">
        <f t="shared" si="243"/>
        <v>17343.57</v>
      </c>
      <c r="AG436" s="473"/>
      <c r="AH436" s="474">
        <f t="shared" si="239"/>
        <v>-2139.5433333333349</v>
      </c>
      <c r="AI436" s="475">
        <f t="shared" si="246"/>
        <v>-0.10981526908601541</v>
      </c>
      <c r="AJ436" s="479"/>
      <c r="AK436" s="472"/>
      <c r="AL436" s="87">
        <f t="shared" si="244"/>
        <v>19200.900000000001</v>
      </c>
      <c r="AM436" s="476"/>
      <c r="AN436" s="474">
        <f t="shared" si="240"/>
        <v>-1857.3300000000017</v>
      </c>
      <c r="AO436" s="231">
        <f t="shared" si="245"/>
        <v>-9.6731403215474354E-2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600" t="str">
        <f t="shared" si="198"/>
        <v>Frais de déplacement</v>
      </c>
      <c r="B437" s="170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41"/>
        <v>4989.0524999999998</v>
      </c>
      <c r="AA437" s="472"/>
      <c r="AB437" s="472"/>
      <c r="AC437" s="87">
        <f t="shared" si="242"/>
        <v>4989.0524999999998</v>
      </c>
      <c r="AD437" s="479"/>
      <c r="AE437" s="478"/>
      <c r="AF437" s="87">
        <f t="shared" si="243"/>
        <v>230.06</v>
      </c>
      <c r="AG437" s="473"/>
      <c r="AH437" s="474">
        <f t="shared" si="239"/>
        <v>-4758.9924999999994</v>
      </c>
      <c r="AI437" s="475">
        <f t="shared" si="246"/>
        <v>-0.95388703566458755</v>
      </c>
      <c r="AJ437" s="479"/>
      <c r="AK437" s="472"/>
      <c r="AL437" s="87">
        <f t="shared" si="244"/>
        <v>6077.0000000000009</v>
      </c>
      <c r="AM437" s="476"/>
      <c r="AN437" s="474">
        <f t="shared" si="240"/>
        <v>-5846.9400000000005</v>
      </c>
      <c r="AO437" s="231">
        <f t="shared" si="245"/>
        <v>-0.96214250452525907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600" t="str">
        <f t="shared" si="198"/>
        <v>Services extérieurs</v>
      </c>
      <c r="B438" s="170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41"/>
        <v>23987.578033333331</v>
      </c>
      <c r="AA438" s="472"/>
      <c r="AB438" s="472"/>
      <c r="AC438" s="87">
        <f t="shared" si="242"/>
        <v>23987.578033333331</v>
      </c>
      <c r="AD438" s="479"/>
      <c r="AE438" s="478"/>
      <c r="AF438" s="87">
        <f t="shared" si="243"/>
        <v>13891.41</v>
      </c>
      <c r="AG438" s="473"/>
      <c r="AH438" s="474">
        <f t="shared" si="239"/>
        <v>-10096.168033333332</v>
      </c>
      <c r="AI438" s="475">
        <f t="shared" si="246"/>
        <v>-0.42089151390372198</v>
      </c>
      <c r="AJ438" s="479"/>
      <c r="AK438" s="472"/>
      <c r="AL438" s="87">
        <f t="shared" si="244"/>
        <v>30162.68</v>
      </c>
      <c r="AM438" s="476"/>
      <c r="AN438" s="474">
        <f t="shared" si="240"/>
        <v>-16271.27</v>
      </c>
      <c r="AO438" s="231">
        <f t="shared" si="245"/>
        <v>-0.53945040692670543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41"/>
        <v>0</v>
      </c>
      <c r="AA439" s="783"/>
      <c r="AB439" s="783"/>
      <c r="AC439" s="784">
        <f t="shared" si="242"/>
        <v>0</v>
      </c>
      <c r="AD439" s="785"/>
      <c r="AE439" s="786"/>
      <c r="AF439" s="784">
        <f t="shared" si="243"/>
        <v>0</v>
      </c>
      <c r="AG439" s="787"/>
      <c r="AH439" s="788">
        <f t="shared" ref="AH439" si="247">AF439-AC439</f>
        <v>0</v>
      </c>
      <c r="AI439" s="789">
        <f t="shared" ref="AI439" si="248">IF(AC439=0,0,AH439/AC439)</f>
        <v>0</v>
      </c>
      <c r="AJ439" s="785"/>
      <c r="AK439" s="783"/>
      <c r="AL439" s="784">
        <f t="shared" si="244"/>
        <v>0</v>
      </c>
      <c r="AM439" s="790"/>
      <c r="AN439" s="788">
        <f t="shared" ref="AN439" si="249">AF439-AL439</f>
        <v>0</v>
      </c>
      <c r="AO439" s="791">
        <f t="shared" ref="AO439" si="250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600" t="str">
        <f t="shared" si="198"/>
        <v>Fournitures autres</v>
      </c>
      <c r="B440" s="170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41"/>
        <v>997.68078981366978</v>
      </c>
      <c r="AA440" s="472"/>
      <c r="AB440" s="478"/>
      <c r="AC440" s="87">
        <f t="shared" si="242"/>
        <v>997.68078981366978</v>
      </c>
      <c r="AD440" s="479"/>
      <c r="AE440" s="478"/>
      <c r="AF440" s="87">
        <f t="shared" si="243"/>
        <v>2332.67</v>
      </c>
      <c r="AG440" s="473"/>
      <c r="AH440" s="474">
        <f t="shared" si="239"/>
        <v>1334.9892101863302</v>
      </c>
      <c r="AI440" s="475">
        <f t="shared" si="246"/>
        <v>1.3380925280075375</v>
      </c>
      <c r="AJ440" s="479"/>
      <c r="AK440" s="472"/>
      <c r="AL440" s="87">
        <f t="shared" si="244"/>
        <v>837</v>
      </c>
      <c r="AM440" s="476"/>
      <c r="AN440" s="474">
        <f t="shared" si="240"/>
        <v>1495.67</v>
      </c>
      <c r="AO440" s="231">
        <f t="shared" si="245"/>
        <v>1.7869414575866189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600" t="str">
        <f t="shared" si="198"/>
        <v>Uniformes</v>
      </c>
      <c r="B441" s="170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41"/>
        <v>1515</v>
      </c>
      <c r="AA441" s="472"/>
      <c r="AB441" s="472"/>
      <c r="AC441" s="87">
        <f t="shared" si="242"/>
        <v>1515</v>
      </c>
      <c r="AD441" s="479"/>
      <c r="AE441" s="478"/>
      <c r="AF441" s="87">
        <f t="shared" si="243"/>
        <v>509.73</v>
      </c>
      <c r="AG441" s="473"/>
      <c r="AH441" s="474">
        <f t="shared" si="239"/>
        <v>-1005.27</v>
      </c>
      <c r="AI441" s="97">
        <f t="shared" si="246"/>
        <v>-0.66354455445544558</v>
      </c>
      <c r="AJ441" s="479"/>
      <c r="AK441" s="472"/>
      <c r="AL441" s="87">
        <f t="shared" si="244"/>
        <v>1515</v>
      </c>
      <c r="AM441" s="476"/>
      <c r="AN441" s="474">
        <f t="shared" si="240"/>
        <v>-1005.27</v>
      </c>
      <c r="AO441" s="231">
        <f t="shared" si="245"/>
        <v>-0.66354455445544558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600" t="str">
        <f t="shared" si="198"/>
        <v>Papeterie</v>
      </c>
      <c r="B442" s="170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41"/>
        <v>2180</v>
      </c>
      <c r="AA442" s="472"/>
      <c r="AB442" s="472"/>
      <c r="AC442" s="87">
        <f t="shared" si="242"/>
        <v>2180</v>
      </c>
      <c r="AD442" s="479"/>
      <c r="AE442" s="478"/>
      <c r="AF442" s="87">
        <f t="shared" si="243"/>
        <v>1007.3100000000001</v>
      </c>
      <c r="AG442" s="473"/>
      <c r="AH442" s="474">
        <f t="shared" si="239"/>
        <v>-1172.69</v>
      </c>
      <c r="AI442" s="475">
        <f t="shared" si="246"/>
        <v>-0.53793119266055045</v>
      </c>
      <c r="AJ442" s="479"/>
      <c r="AK442" s="472"/>
      <c r="AL442" s="87">
        <f t="shared" si="244"/>
        <v>1850</v>
      </c>
      <c r="AM442" s="476"/>
      <c r="AN442" s="474">
        <f t="shared" si="240"/>
        <v>-842.68999999999994</v>
      </c>
      <c r="AO442" s="231">
        <f t="shared" si="245"/>
        <v>-0.4555081081081081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600" t="str">
        <f t="shared" si="198"/>
        <v>Téléphone</v>
      </c>
      <c r="B443" s="170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41"/>
        <v>1949.1</v>
      </c>
      <c r="AA443" s="472"/>
      <c r="AB443" s="472"/>
      <c r="AC443" s="87">
        <f t="shared" si="242"/>
        <v>1949.1</v>
      </c>
      <c r="AD443" s="479"/>
      <c r="AE443" s="478"/>
      <c r="AF443" s="87">
        <f t="shared" si="243"/>
        <v>1363.01</v>
      </c>
      <c r="AG443" s="473"/>
      <c r="AH443" s="474">
        <f t="shared" si="239"/>
        <v>-586.08999999999992</v>
      </c>
      <c r="AI443" s="97">
        <f t="shared" si="246"/>
        <v>-0.30069775793956183</v>
      </c>
      <c r="AJ443" s="479"/>
      <c r="AK443" s="472"/>
      <c r="AL443" s="87">
        <f t="shared" si="244"/>
        <v>1572.7199999999998</v>
      </c>
      <c r="AM443" s="476"/>
      <c r="AN443" s="474">
        <f t="shared" si="240"/>
        <v>-209.70999999999981</v>
      </c>
      <c r="AO443" s="231">
        <f t="shared" si="245"/>
        <v>-0.13334223510860155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600" t="str">
        <f t="shared" si="198"/>
        <v>Frais postaux</v>
      </c>
      <c r="B444" s="170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41"/>
        <v>865</v>
      </c>
      <c r="AA444" s="472"/>
      <c r="AB444" s="472"/>
      <c r="AC444" s="87">
        <f t="shared" si="242"/>
        <v>865</v>
      </c>
      <c r="AD444" s="479"/>
      <c r="AE444" s="478"/>
      <c r="AF444" s="87">
        <f t="shared" si="243"/>
        <v>183.03</v>
      </c>
      <c r="AG444" s="473"/>
      <c r="AH444" s="474">
        <f t="shared" si="239"/>
        <v>-681.97</v>
      </c>
      <c r="AI444" s="475">
        <f t="shared" si="246"/>
        <v>-0.78840462427745672</v>
      </c>
      <c r="AJ444" s="479"/>
      <c r="AK444" s="472"/>
      <c r="AL444" s="87">
        <f t="shared" si="244"/>
        <v>662.24</v>
      </c>
      <c r="AM444" s="476"/>
      <c r="AN444" s="474">
        <f t="shared" si="240"/>
        <v>-479.21000000000004</v>
      </c>
      <c r="AO444" s="231">
        <f t="shared" si="245"/>
        <v>-0.72361983570910848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600" t="str">
        <f t="shared" si="198"/>
        <v>Divers</v>
      </c>
      <c r="B445" s="170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41"/>
        <v>3891</v>
      </c>
      <c r="AA445" s="472"/>
      <c r="AB445" s="478"/>
      <c r="AC445" s="87">
        <f t="shared" si="242"/>
        <v>3891</v>
      </c>
      <c r="AD445" s="479"/>
      <c r="AE445" s="478"/>
      <c r="AF445" s="87">
        <f t="shared" si="243"/>
        <v>788.43</v>
      </c>
      <c r="AG445" s="473"/>
      <c r="AH445" s="474">
        <f t="shared" si="239"/>
        <v>-3102.57</v>
      </c>
      <c r="AI445" s="97">
        <f t="shared" si="246"/>
        <v>-0.79737085582112577</v>
      </c>
      <c r="AJ445" s="479"/>
      <c r="AK445" s="472"/>
      <c r="AL445" s="87">
        <f t="shared" si="244"/>
        <v>5329</v>
      </c>
      <c r="AM445" s="476"/>
      <c r="AN445" s="474">
        <f t="shared" si="240"/>
        <v>-4540.57</v>
      </c>
      <c r="AO445" s="231">
        <f t="shared" si="245"/>
        <v>-0.85204916494651894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600" t="str">
        <f t="shared" si="198"/>
        <v>Formation</v>
      </c>
      <c r="B446" s="170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41"/>
        <v>3188.5833333333335</v>
      </c>
      <c r="AA446" s="472"/>
      <c r="AB446" s="478"/>
      <c r="AC446" s="87">
        <f t="shared" si="242"/>
        <v>3188.5833333333335</v>
      </c>
      <c r="AD446" s="479"/>
      <c r="AE446" s="478"/>
      <c r="AF446" s="87">
        <f t="shared" si="243"/>
        <v>1271.0400000000002</v>
      </c>
      <c r="AG446" s="473"/>
      <c r="AH446" s="474">
        <f t="shared" si="239"/>
        <v>-1917.5433333333333</v>
      </c>
      <c r="AI446" s="475">
        <f t="shared" si="246"/>
        <v>-0.60137783237069753</v>
      </c>
      <c r="AJ446" s="479"/>
      <c r="AK446" s="472"/>
      <c r="AL446" s="87">
        <f t="shared" si="244"/>
        <v>7762.5</v>
      </c>
      <c r="AM446" s="476"/>
      <c r="AN446" s="474">
        <f t="shared" si="240"/>
        <v>-6491.46</v>
      </c>
      <c r="AO446" s="231">
        <f t="shared" si="245"/>
        <v>-0.83625893719806765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600" t="str">
        <f t="shared" si="198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41"/>
        <v>6523.9807276844222</v>
      </c>
      <c r="AA447" s="472"/>
      <c r="AB447" s="478"/>
      <c r="AC447" s="87">
        <f t="shared" si="242"/>
        <v>6523.9807276844222</v>
      </c>
      <c r="AD447" s="479"/>
      <c r="AE447" s="478"/>
      <c r="AF447" s="87">
        <f t="shared" si="243"/>
        <v>4281.22</v>
      </c>
      <c r="AG447" s="473"/>
      <c r="AH447" s="474">
        <f t="shared" ref="AH447:AH450" si="251">AF447-AC447</f>
        <v>-2242.7607276844219</v>
      </c>
      <c r="AI447" s="475">
        <f t="shared" ref="AI447:AI450" si="252">IF(AC447=0,0,AH447/AC447)</f>
        <v>-0.3437718198901627</v>
      </c>
      <c r="AJ447" s="479"/>
      <c r="AK447" s="472"/>
      <c r="AL447" s="87">
        <f t="shared" si="244"/>
        <v>5310.96</v>
      </c>
      <c r="AM447" s="476"/>
      <c r="AN447" s="474">
        <f t="shared" ref="AN447:AN450" si="253">AF447-AL447</f>
        <v>-1029.7399999999998</v>
      </c>
      <c r="AO447" s="231">
        <f t="shared" ref="AO447:AO450" si="254">IF(AL447=0,0,AN447/AL447)</f>
        <v>-0.19388961694307616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customHeight="1">
      <c r="A448" s="600" t="str">
        <f t="shared" si="198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41"/>
        <v>0</v>
      </c>
      <c r="AA448" s="472"/>
      <c r="AB448" s="478"/>
      <c r="AC448" s="87">
        <f t="shared" si="242"/>
        <v>0</v>
      </c>
      <c r="AD448" s="479"/>
      <c r="AE448" s="478"/>
      <c r="AF448" s="87">
        <f t="shared" si="243"/>
        <v>0</v>
      </c>
      <c r="AG448" s="473"/>
      <c r="AH448" s="474">
        <f t="shared" si="251"/>
        <v>0</v>
      </c>
      <c r="AI448" s="475">
        <f t="shared" si="252"/>
        <v>0</v>
      </c>
      <c r="AJ448" s="479"/>
      <c r="AK448" s="472"/>
      <c r="AL448" s="87">
        <f t="shared" si="244"/>
        <v>0</v>
      </c>
      <c r="AM448" s="476"/>
      <c r="AN448" s="474">
        <f t="shared" si="253"/>
        <v>0</v>
      </c>
      <c r="AO448" s="231">
        <f t="shared" si="254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customHeight="1">
      <c r="A449" s="600" t="str">
        <f t="shared" si="198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41"/>
        <v>0</v>
      </c>
      <c r="AA449" s="472"/>
      <c r="AB449" s="478"/>
      <c r="AC449" s="87">
        <f t="shared" si="242"/>
        <v>0</v>
      </c>
      <c r="AD449" s="479"/>
      <c r="AE449" s="478"/>
      <c r="AF449" s="87">
        <f t="shared" si="243"/>
        <v>0</v>
      </c>
      <c r="AG449" s="473"/>
      <c r="AH449" s="474">
        <f t="shared" si="251"/>
        <v>0</v>
      </c>
      <c r="AI449" s="475">
        <f t="shared" si="252"/>
        <v>0</v>
      </c>
      <c r="AJ449" s="479"/>
      <c r="AK449" s="472"/>
      <c r="AL449" s="87">
        <f t="shared" si="244"/>
        <v>0</v>
      </c>
      <c r="AM449" s="476"/>
      <c r="AN449" s="474">
        <f t="shared" si="253"/>
        <v>0</v>
      </c>
      <c r="AO449" s="231">
        <f t="shared" si="254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customHeight="1">
      <c r="A450" s="600" t="str">
        <f t="shared" si="198"/>
        <v>[...]</v>
      </c>
      <c r="B450" s="170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41"/>
        <v>0</v>
      </c>
      <c r="AA450" s="472"/>
      <c r="AB450" s="478"/>
      <c r="AC450" s="87">
        <f t="shared" si="242"/>
        <v>0</v>
      </c>
      <c r="AD450" s="479"/>
      <c r="AE450" s="478"/>
      <c r="AF450" s="87">
        <f t="shared" si="243"/>
        <v>0</v>
      </c>
      <c r="AG450" s="473"/>
      <c r="AH450" s="474">
        <f t="shared" si="251"/>
        <v>0</v>
      </c>
      <c r="AI450" s="475">
        <f t="shared" si="252"/>
        <v>0</v>
      </c>
      <c r="AJ450" s="479"/>
      <c r="AK450" s="472"/>
      <c r="AL450" s="87">
        <f t="shared" si="244"/>
        <v>0</v>
      </c>
      <c r="AM450" s="476"/>
      <c r="AN450" s="474">
        <f t="shared" si="253"/>
        <v>0</v>
      </c>
      <c r="AO450" s="231">
        <f t="shared" si="254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600" t="str">
        <f t="shared" si="198"/>
        <v>TOTAL SEMI-FIXES</v>
      </c>
      <c r="B451" s="170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1">
        <f>AF451/AF406</f>
        <v>0.24545967625774939</v>
      </c>
      <c r="AE451" s="88"/>
      <c r="AF451" s="90">
        <f>+SUM(AF433:AF450)</f>
        <v>73004.449999999983</v>
      </c>
      <c r="AG451" s="99"/>
      <c r="AH451" s="573">
        <f>+SUM(AH433:AH450)</f>
        <v>-38510.223629817796</v>
      </c>
      <c r="AI451" s="89">
        <f>AH451/AC451</f>
        <v>-0.34533772441154859</v>
      </c>
      <c r="AJ451" s="91">
        <f>IF($AL$406=0,0,AL451/$AL$406)</f>
        <v>0.36370984266132078</v>
      </c>
      <c r="AK451" s="89"/>
      <c r="AL451" s="90">
        <f>+SUM(AL433:AL450)</f>
        <v>130963.92000000001</v>
      </c>
      <c r="AM451" s="100"/>
      <c r="AN451" s="93">
        <f>+SUM(AN433:AN450)</f>
        <v>-57959.47</v>
      </c>
      <c r="AO451" s="670">
        <f>IF(AL451=0,0,AN451/AL451)</f>
        <v>-0.44256059226083028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600" t="str">
        <f t="shared" si="198"/>
        <v>Loyer</v>
      </c>
      <c r="B452" s="170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+SUMPRODUCT(('Budget original'!$A$8:$A$496=$A452)*('Budget original'!$C$3:$AO$3=Z$2),'Budget original'!$C$8:$AO$496)</f>
        <v>26000</v>
      </c>
      <c r="AA452" s="472"/>
      <c r="AB452" s="478"/>
      <c r="AC452" s="87">
        <f>+SUMPRODUCT(('Budget révisé'!$A$8:$A$496=$A452)*('Budget révisé'!$C$3:$AO$3=AC$2),'Budget révisé'!$C$8:$AO$496)</f>
        <v>26000</v>
      </c>
      <c r="AD452" s="479"/>
      <c r="AE452" s="478"/>
      <c r="AF452" s="87">
        <f>SUMIFS(BV_Data_An_Cour!$P:$P,BV_Data_An_Cour!$V:$V,$V452)</f>
        <v>26000</v>
      </c>
      <c r="AG452" s="473"/>
      <c r="AH452" s="474">
        <f t="shared" ref="AH452:AH460" si="255">AF452-AC452</f>
        <v>0</v>
      </c>
      <c r="AI452" s="475">
        <f>IF(AC452=0,0,AH452/AC452)</f>
        <v>0</v>
      </c>
      <c r="AJ452" s="479"/>
      <c r="AK452" s="472"/>
      <c r="AL452" s="87">
        <f>SUMIFS(BV_Data_An_Prec!$P:$P,BV_Data_An_Prec!$V:$V,$V452)</f>
        <v>26000.129999999997</v>
      </c>
      <c r="AM452" s="476"/>
      <c r="AN452" s="474">
        <f t="shared" ref="AN452:AN460" si="256">AF452-AL452</f>
        <v>-0.12999999999738066</v>
      </c>
      <c r="AO452" s="231">
        <f t="shared" ref="AO452:AO460" si="257">IF(AL452=0,0,AN452/AL452)</f>
        <v>-4.999975000024256E-6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600" t="str">
        <f t="shared" si="198"/>
        <v>Taxes foncières</v>
      </c>
      <c r="B453" s="170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+SUMPRODUCT(('Budget original'!$A$8:$A$496=$A453)*('Budget original'!$C$3:$AO$3=Z$2),'Budget original'!$C$8:$AO$496)</f>
        <v>4810</v>
      </c>
      <c r="AA453" s="472"/>
      <c r="AB453" s="478"/>
      <c r="AC453" s="87">
        <f>+SUMPRODUCT(('Budget révisé'!$A$8:$A$496=$A453)*('Budget révisé'!$C$3:$AO$3=AC$2),'Budget révisé'!$C$8:$AO$496)</f>
        <v>4810</v>
      </c>
      <c r="AD453" s="479"/>
      <c r="AE453" s="478"/>
      <c r="AF453" s="87">
        <f>SUMIFS(BV_Data_An_Cour!$P:$P,BV_Data_An_Cour!$V:$V,$V453)</f>
        <v>4810</v>
      </c>
      <c r="AG453" s="473"/>
      <c r="AH453" s="474">
        <f t="shared" si="255"/>
        <v>0</v>
      </c>
      <c r="AI453" s="475">
        <f t="shared" ref="AI453:AI460" si="258">IF(AC453=0,0,AH453/AC453)</f>
        <v>0</v>
      </c>
      <c r="AJ453" s="479"/>
      <c r="AK453" s="472"/>
      <c r="AL453" s="87">
        <f>SUMIFS(BV_Data_An_Prec!$P:$P,BV_Data_An_Prec!$V:$V,$V453)</f>
        <v>4700</v>
      </c>
      <c r="AM453" s="476"/>
      <c r="AN453" s="474">
        <f t="shared" si="256"/>
        <v>110</v>
      </c>
      <c r="AO453" s="231">
        <f t="shared" si="257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600" t="str">
        <f t="shared" si="198"/>
        <v>Taxes d`affaires</v>
      </c>
      <c r="B454" s="170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+SUMPRODUCT(('Budget original'!$A$8:$A$496=$A454)*('Budget original'!$C$3:$AO$3=Z$2),'Budget original'!$C$8:$AO$496)</f>
        <v>3200</v>
      </c>
      <c r="AA454" s="462"/>
      <c r="AB454" s="481"/>
      <c r="AC454" s="463">
        <f>+SUMPRODUCT(('Budget révisé'!$A$8:$A$496=$A454)*('Budget révisé'!$C$3:$AO$3=AC$2),'Budget révisé'!$C$8:$AO$496)</f>
        <v>3200</v>
      </c>
      <c r="AD454" s="482"/>
      <c r="AE454" s="481"/>
      <c r="AF454" s="463">
        <f>SUMIFS(BV_Data_An_Cour!$P:$P,BV_Data_An_Cour!$V:$V,$V454)</f>
        <v>3200</v>
      </c>
      <c r="AG454" s="464"/>
      <c r="AH454" s="465">
        <f t="shared" si="255"/>
        <v>0</v>
      </c>
      <c r="AI454" s="483">
        <f t="shared" si="258"/>
        <v>0</v>
      </c>
      <c r="AJ454" s="482"/>
      <c r="AK454" s="462"/>
      <c r="AL454" s="463">
        <f>SUMIFS(BV_Data_An_Prec!$P:$P,BV_Data_An_Prec!$V:$V,$V454)</f>
        <v>3150</v>
      </c>
      <c r="AM454" s="467"/>
      <c r="AN454" s="465">
        <f t="shared" si="256"/>
        <v>50</v>
      </c>
      <c r="AO454" s="468">
        <f t="shared" si="257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600" t="str">
        <f t="shared" si="198"/>
        <v>Taxe sur le capital</v>
      </c>
      <c r="B455" s="170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+SUMPRODUCT(('Budget original'!$A$8:$A$496=$A455)*('Budget original'!$C$3:$AO$3=Z$2),'Budget original'!$C$8:$AO$496)</f>
        <v>0</v>
      </c>
      <c r="AA455" s="472"/>
      <c r="AB455" s="478"/>
      <c r="AC455" s="87">
        <f>+SUMPRODUCT(('Budget révisé'!$A$8:$A$496=$A455)*('Budget révisé'!$C$3:$AO$3=AC$2),'Budget révisé'!$C$8:$AO$496)</f>
        <v>0</v>
      </c>
      <c r="AD455" s="479"/>
      <c r="AE455" s="478"/>
      <c r="AF455" s="87">
        <f>SUMIFS(BV_Data_An_Cour!$P:$P,BV_Data_An_Cour!$V:$V,$V455)</f>
        <v>0</v>
      </c>
      <c r="AG455" s="473"/>
      <c r="AH455" s="474">
        <f t="shared" si="255"/>
        <v>0</v>
      </c>
      <c r="AI455" s="475">
        <f t="shared" si="258"/>
        <v>0</v>
      </c>
      <c r="AJ455" s="479"/>
      <c r="AK455" s="472"/>
      <c r="AL455" s="87">
        <f>SUMIFS(BV_Data_An_Prec!$P:$P,BV_Data_An_Prec!$V:$V,$V455)</f>
        <v>0</v>
      </c>
      <c r="AM455" s="476"/>
      <c r="AN455" s="474">
        <f t="shared" si="256"/>
        <v>0</v>
      </c>
      <c r="AO455" s="231">
        <f t="shared" si="257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600" t="str">
        <f t="shared" si="198"/>
        <v>Assurances</v>
      </c>
      <c r="B456" s="170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+SUMPRODUCT(('Budget original'!$A$8:$A$496=$A456)*('Budget original'!$C$3:$AO$3=Z$2),'Budget original'!$C$8:$AO$496)</f>
        <v>3708.0833333333339</v>
      </c>
      <c r="AA456" s="462"/>
      <c r="AB456" s="481"/>
      <c r="AC456" s="463">
        <f>+SUMPRODUCT(('Budget révisé'!$A$8:$A$496=$A456)*('Budget révisé'!$C$3:$AO$3=AC$2),'Budget révisé'!$C$8:$AO$496)</f>
        <v>3708.0833333333339</v>
      </c>
      <c r="AD456" s="482"/>
      <c r="AE456" s="481"/>
      <c r="AF456" s="463">
        <f>SUMIF(BV_Data_An_Cour!$V:$V,Print_AAD!$V456,BV_Data_An_Cour!$P:$P)</f>
        <v>3708.11</v>
      </c>
      <c r="AG456" s="464"/>
      <c r="AH456" s="465">
        <f t="shared" si="255"/>
        <v>2.6666666666187666E-2</v>
      </c>
      <c r="AI456" s="483">
        <f t="shared" si="258"/>
        <v>7.1914960557847035E-6</v>
      </c>
      <c r="AJ456" s="482"/>
      <c r="AK456" s="462"/>
      <c r="AL456" s="463">
        <f>SUMIF(BV_Data_An_Prec!$V:$V,Print_AAD!$V456,BV_Data_An_Prec!$P:$P)</f>
        <v>1500</v>
      </c>
      <c r="AM456" s="467"/>
      <c r="AN456" s="465">
        <f t="shared" si="256"/>
        <v>2208.11</v>
      </c>
      <c r="AO456" s="468">
        <f t="shared" si="257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600" t="str">
        <f t="shared" si="198"/>
        <v>Chauffage, éclairage</v>
      </c>
      <c r="B457" s="170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+SUMPRODUCT(('Budget original'!$A$8:$A$496=$A457)*('Budget original'!$C$3:$AO$3=Z$2),'Budget original'!$C$8:$AO$496)</f>
        <v>3810</v>
      </c>
      <c r="AA457" s="493"/>
      <c r="AB457" s="494"/>
      <c r="AC457" s="87">
        <f>+SUMPRODUCT(('Budget révisé'!$A$8:$A$496=$A457)*('Budget révisé'!$C$3:$AO$3=AC$2),'Budget révisé'!$C$8:$AO$496)</f>
        <v>3810</v>
      </c>
      <c r="AD457" s="479"/>
      <c r="AE457" s="478"/>
      <c r="AF457" s="87">
        <f>SUMIFS(BV_Data_An_Cour!$P:$P,BV_Data_An_Cour!$V:$V,$V457)</f>
        <v>1695.7600000000002</v>
      </c>
      <c r="AG457" s="473"/>
      <c r="AH457" s="474">
        <f t="shared" si="255"/>
        <v>-2114.2399999999998</v>
      </c>
      <c r="AI457" s="475">
        <f t="shared" si="258"/>
        <v>-0.55491863517060358</v>
      </c>
      <c r="AJ457" s="479"/>
      <c r="AK457" s="472"/>
      <c r="AL457" s="87">
        <f>SUMIFS(BV_Data_An_Prec!$P:$P,BV_Data_An_Prec!$V:$V,$V457)</f>
        <v>3670.0000000000005</v>
      </c>
      <c r="AM457" s="476"/>
      <c r="AN457" s="474">
        <f t="shared" si="256"/>
        <v>-1974.2400000000002</v>
      </c>
      <c r="AO457" s="231">
        <f t="shared" si="257"/>
        <v>-0.53794005449591276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600" t="str">
        <f t="shared" si="198"/>
        <v>Honoraires</v>
      </c>
      <c r="B458" s="170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+SUMPRODUCT(('Budget original'!$A$8:$A$496=$A458)*('Budget original'!$C$3:$AO$3=Z$2),'Budget original'!$C$8:$AO$496)</f>
        <v>6217.1666666666679</v>
      </c>
      <c r="AA458" s="472"/>
      <c r="AB458" s="478"/>
      <c r="AC458" s="87">
        <f>+SUMPRODUCT(('Budget révisé'!$A$8:$A$496=$A458)*('Budget révisé'!$C$3:$AO$3=AC$2),'Budget révisé'!$C$8:$AO$496)</f>
        <v>6217.1666666666679</v>
      </c>
      <c r="AD458" s="479"/>
      <c r="AE458" s="478"/>
      <c r="AF458" s="87">
        <f>SUMIFS(BV_Data_An_Cour!$P:$P,BV_Data_An_Cour!$V:$V,$V458)</f>
        <v>6217.0999999999985</v>
      </c>
      <c r="AG458" s="473"/>
      <c r="AH458" s="474">
        <f t="shared" si="255"/>
        <v>-6.6666666669334518E-2</v>
      </c>
      <c r="AI458" s="475">
        <f t="shared" si="258"/>
        <v>-1.0722998150711927E-5</v>
      </c>
      <c r="AJ458" s="479"/>
      <c r="AK458" s="472"/>
      <c r="AL458" s="87">
        <f>SUMIFS(BV_Data_An_Prec!$P:$P,BV_Data_An_Prec!$V:$V,$V458)</f>
        <v>8025</v>
      </c>
      <c r="AM458" s="476"/>
      <c r="AN458" s="474">
        <f t="shared" si="256"/>
        <v>-1807.9000000000015</v>
      </c>
      <c r="AO458" s="231">
        <f t="shared" si="257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600" t="str">
        <f t="shared" si="198"/>
        <v>Réparation équipement</v>
      </c>
      <c r="B459" s="170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+SUMPRODUCT(('Budget original'!$A$8:$A$496=$A459)*('Budget original'!$C$3:$AO$3=Z$2),'Budget original'!$C$8:$AO$496)</f>
        <v>1000</v>
      </c>
      <c r="AA459" s="462"/>
      <c r="AB459" s="481"/>
      <c r="AC459" s="463">
        <f>+SUMPRODUCT(('Budget révisé'!$A$8:$A$496=$A459)*('Budget révisé'!$C$3:$AO$3=AC$2),'Budget révisé'!$C$8:$AO$496)</f>
        <v>1000</v>
      </c>
      <c r="AD459" s="482"/>
      <c r="AE459" s="481"/>
      <c r="AF459" s="463">
        <f>SUMIFS(BV_Data_An_Cour!$P:$P,BV_Data_An_Cour!$V:$V,$V459)</f>
        <v>2107.3399999999997</v>
      </c>
      <c r="AG459" s="464"/>
      <c r="AH459" s="465">
        <f t="shared" si="255"/>
        <v>1107.3399999999997</v>
      </c>
      <c r="AI459" s="483">
        <f t="shared" si="258"/>
        <v>1.1073399999999998</v>
      </c>
      <c r="AJ459" s="482"/>
      <c r="AK459" s="462"/>
      <c r="AL459" s="463">
        <f>SUMIFS(BV_Data_An_Prec!$P:$P,BV_Data_An_Prec!$V:$V,$V459)</f>
        <v>884.2</v>
      </c>
      <c r="AM459" s="467"/>
      <c r="AN459" s="465">
        <f t="shared" si="256"/>
        <v>1223.1399999999996</v>
      </c>
      <c r="AO459" s="468">
        <f t="shared" si="257"/>
        <v>1.3833295634471834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600" t="str">
        <f t="shared" si="198"/>
        <v>Location équipement</v>
      </c>
      <c r="B460" s="170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+SUMPRODUCT(('Budget original'!$A$8:$A$496=$A460)*('Budget original'!$C$3:$AO$3=Z$2),'Budget original'!$C$8:$AO$496)</f>
        <v>900</v>
      </c>
      <c r="AA460" s="472"/>
      <c r="AB460" s="478"/>
      <c r="AC460" s="87">
        <f>+SUMPRODUCT(('Budget révisé'!$A$8:$A$496=$A460)*('Budget révisé'!$C$3:$AO$3=AC$2),'Budget révisé'!$C$8:$AO$496)</f>
        <v>900</v>
      </c>
      <c r="AD460" s="479"/>
      <c r="AE460" s="478"/>
      <c r="AF460" s="87">
        <f>SUMIFS(BV_Data_An_Cour!$P:$P,BV_Data_An_Cour!$V:$V,$V460)</f>
        <v>0</v>
      </c>
      <c r="AG460" s="473"/>
      <c r="AH460" s="474">
        <f t="shared" si="255"/>
        <v>-900</v>
      </c>
      <c r="AI460" s="495">
        <f t="shared" si="258"/>
        <v>-1</v>
      </c>
      <c r="AJ460" s="472"/>
      <c r="AK460" s="472"/>
      <c r="AL460" s="87">
        <f>SUMIFS(BV_Data_An_Prec!$P:$P,BV_Data_An_Prec!$V:$V,$V460)</f>
        <v>900</v>
      </c>
      <c r="AM460" s="476"/>
      <c r="AN460" s="474">
        <f t="shared" si="256"/>
        <v>-900</v>
      </c>
      <c r="AO460" s="231">
        <f t="shared" si="257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600" t="str">
        <f t="shared" si="198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9"/>
      <c r="AE461" s="478"/>
      <c r="AF461" s="87">
        <v>0</v>
      </c>
      <c r="AG461" s="473"/>
      <c r="AH461" s="474">
        <v>0</v>
      </c>
      <c r="AI461" s="97">
        <v>0</v>
      </c>
      <c r="AJ461" s="472"/>
      <c r="AK461" s="472"/>
      <c r="AL461" s="87">
        <v>0</v>
      </c>
      <c r="AM461" s="476"/>
      <c r="AN461" s="474">
        <v>0</v>
      </c>
      <c r="AO461" s="231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customHeight="1">
      <c r="A462" s="600" t="str">
        <f t="shared" si="198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9"/>
      <c r="AE462" s="478"/>
      <c r="AF462" s="87">
        <v>0</v>
      </c>
      <c r="AG462" s="473"/>
      <c r="AH462" s="474">
        <v>0</v>
      </c>
      <c r="AI462" s="97">
        <v>1</v>
      </c>
      <c r="AJ462" s="472"/>
      <c r="AK462" s="472"/>
      <c r="AL462" s="87">
        <v>0</v>
      </c>
      <c r="AM462" s="476"/>
      <c r="AN462" s="474">
        <v>0</v>
      </c>
      <c r="AO462" s="231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customHeight="1">
      <c r="A463" s="600" t="str">
        <f t="shared" si="198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9"/>
      <c r="AE463" s="478"/>
      <c r="AF463" s="87">
        <v>0</v>
      </c>
      <c r="AG463" s="473"/>
      <c r="AH463" s="474">
        <v>0</v>
      </c>
      <c r="AI463" s="97">
        <v>2</v>
      </c>
      <c r="AJ463" s="472"/>
      <c r="AK463" s="472"/>
      <c r="AL463" s="87">
        <v>0</v>
      </c>
      <c r="AM463" s="476"/>
      <c r="AN463" s="474">
        <v>0</v>
      </c>
      <c r="AO463" s="231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customHeight="1">
      <c r="A464" s="600" t="str">
        <f t="shared" si="198"/>
        <v>[...]</v>
      </c>
      <c r="B464" s="170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9"/>
      <c r="AE464" s="478"/>
      <c r="AF464" s="87">
        <v>0</v>
      </c>
      <c r="AG464" s="473"/>
      <c r="AH464" s="474">
        <v>0</v>
      </c>
      <c r="AI464" s="97">
        <v>3</v>
      </c>
      <c r="AJ464" s="472"/>
      <c r="AK464" s="472"/>
      <c r="AL464" s="87">
        <v>0</v>
      </c>
      <c r="AM464" s="476"/>
      <c r="AN464" s="474">
        <v>0</v>
      </c>
      <c r="AO464" s="231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600" t="str">
        <f t="shared" si="198"/>
        <v>TOTAL DÉPENSES FIXES</v>
      </c>
      <c r="B465" s="170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1">
        <f>AF465/AF406</f>
        <v>0.16050843637192092</v>
      </c>
      <c r="AE465" s="88"/>
      <c r="AF465" s="90">
        <f>SUM(AF452:AF464)</f>
        <v>47738.31</v>
      </c>
      <c r="AG465" s="99"/>
      <c r="AH465" s="586">
        <f>SUM(AH452:AH464)</f>
        <v>-1906.9400000000032</v>
      </c>
      <c r="AI465" s="89">
        <f>IF(AC465=0,0,AH465/AC465)</f>
        <v>-3.8411328374819406E-2</v>
      </c>
      <c r="AJ465" s="91">
        <f>IF($AL$406=0,0,AL465/$AL$406)</f>
        <v>0.13560763858899236</v>
      </c>
      <c r="AK465" s="89"/>
      <c r="AL465" s="90">
        <f>SUM(AL452:AL464)</f>
        <v>48829.329999999994</v>
      </c>
      <c r="AM465" s="100"/>
      <c r="AN465" s="93">
        <f>SUM(AN452:AN464)</f>
        <v>-1091.0199999999993</v>
      </c>
      <c r="AO465" s="670">
        <f>IF(AL465=0,0,AN465/AL465)</f>
        <v>-2.2343538197226943E-2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600" t="str">
        <f t="shared" si="198"/>
        <v/>
      </c>
      <c r="B466" s="170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9"/>
      <c r="AE466" s="472"/>
      <c r="AF466" s="105"/>
      <c r="AG466" s="479"/>
      <c r="AH466" s="474">
        <f t="shared" ref="AH466:AH472" si="259">AF466-AC466</f>
        <v>0</v>
      </c>
      <c r="AI466" s="475"/>
      <c r="AJ466" s="479"/>
      <c r="AK466" s="472"/>
      <c r="AL466" s="105"/>
      <c r="AM466" s="496"/>
      <c r="AN466" s="474">
        <f t="shared" ref="AN466:AN472" si="260">AF466-AL466</f>
        <v>0</v>
      </c>
      <c r="AO466" s="497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600" t="str">
        <f t="shared" si="198"/>
        <v>TOTAL DES DÉPENSES</v>
      </c>
      <c r="B467" s="170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1">
        <f>AF467/AF406</f>
        <v>1.3558535807290526</v>
      </c>
      <c r="AE467" s="88"/>
      <c r="AF467" s="90">
        <f>AF418+AF432+AF451+AF465</f>
        <v>403257.05</v>
      </c>
      <c r="AG467" s="99"/>
      <c r="AH467" s="93">
        <f t="shared" si="259"/>
        <v>-119466.85991386056</v>
      </c>
      <c r="AI467" s="89">
        <f>AH467/AC467</f>
        <v>-0.22854676751546998</v>
      </c>
      <c r="AJ467" s="91">
        <f>IF($AL$406=0,0,AL467/$AL$406)</f>
        <v>1.5090073256901368</v>
      </c>
      <c r="AK467" s="89"/>
      <c r="AL467" s="90">
        <f>AL418+AL432+AL451+AL465</f>
        <v>543360.37</v>
      </c>
      <c r="AM467" s="100"/>
      <c r="AN467" s="93">
        <f t="shared" si="260"/>
        <v>-140103.32</v>
      </c>
      <c r="AO467" s="470">
        <f>IF(AL467=0,0,AN467/AL467)</f>
        <v>-0.25784604055684079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600" t="str">
        <f t="shared" si="198"/>
        <v>Revenus autres</v>
      </c>
      <c r="B468" s="170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+SUMPRODUCT(('Budget original'!$A$8:$A$496=$A468)*('Budget original'!$C$3:$AO$3=Z$2),'Budget original'!$C$8:$AO$496)</f>
        <v>0</v>
      </c>
      <c r="AA468" s="266"/>
      <c r="AB468" s="267"/>
      <c r="AC468" s="265">
        <f>+SUMPRODUCT(('Budget révisé'!$A$8:$A$496=$A468)*('Budget révisé'!$C$3:$AO$3=AC$2),'Budget révisé'!$C$8:$AO$496)</f>
        <v>0</v>
      </c>
      <c r="AD468" s="269"/>
      <c r="AE468" s="267"/>
      <c r="AF468" s="87">
        <f>-SUMIFS(BV_Data_An_Cour!$P:$P,BV_Data_An_Cour!$V:$V,$V468)</f>
        <v>33828.54</v>
      </c>
      <c r="AG468" s="268"/>
      <c r="AH468" s="499">
        <f t="shared" si="259"/>
        <v>33828.54</v>
      </c>
      <c r="AI468" s="500" t="e">
        <f t="shared" ref="AI468:AI472" si="261">IF(AH468=0,0,AH468/AC468)</f>
        <v>#DIV/0!</v>
      </c>
      <c r="AJ468" s="269"/>
      <c r="AK468" s="266"/>
      <c r="AL468" s="501">
        <f>-SUMIFS(BV_Data_An_Prec!$P:$P,BV_Data_An_Prec!$V:$V,$V468)</f>
        <v>100717.7</v>
      </c>
      <c r="AM468" s="270"/>
      <c r="AN468" s="499">
        <f t="shared" si="260"/>
        <v>-66889.16</v>
      </c>
      <c r="AO468" s="278">
        <f>IF(AL468=0,0,AN468/AL468)</f>
        <v>-0.66412517362886569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600" t="str">
        <f t="shared" si="198"/>
        <v>Holdbacks</v>
      </c>
      <c r="B469" s="170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62">+SUMIF($C:$C,$V469,F:F)</f>
        <v>36387.783750000002</v>
      </c>
      <c r="AA469" s="272"/>
      <c r="AB469" s="264"/>
      <c r="AC469" s="271">
        <f t="shared" ref="AC469:AC479" si="263">+SUMIF($C:$C,$V469,I:I)</f>
        <v>36387.783750000002</v>
      </c>
      <c r="AD469" s="275"/>
      <c r="AE469" s="264"/>
      <c r="AF469" s="271">
        <f t="shared" ref="AF469:AF479" si="264">+SUMIF($C:$C,$V469,L:L)</f>
        <v>22341</v>
      </c>
      <c r="AG469" s="273"/>
      <c r="AH469" s="499">
        <f t="shared" si="259"/>
        <v>-14046.783750000002</v>
      </c>
      <c r="AI469" s="274">
        <f>IF(AC469=0,0,AH469/AC469)</f>
        <v>-0.38603020855866227</v>
      </c>
      <c r="AJ469" s="275"/>
      <c r="AK469" s="272"/>
      <c r="AL469" s="276">
        <f t="shared" ref="AL469:AL479" si="265">+SUMIF($C:$C,$V469,Q:Q)</f>
        <v>73636.100000000006</v>
      </c>
      <c r="AM469" s="277"/>
      <c r="AN469" s="499">
        <f t="shared" si="260"/>
        <v>-51295.100000000006</v>
      </c>
      <c r="AO469" s="278">
        <f>IF(AL469=0,0,AN469/AL469)</f>
        <v>-0.69660261746616137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600" t="str">
        <f t="shared" si="198"/>
        <v>Programme neuf 1</v>
      </c>
      <c r="B470" s="170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62"/>
        <v>22678.818750000006</v>
      </c>
      <c r="AA470" s="272"/>
      <c r="AB470" s="264"/>
      <c r="AC470" s="271">
        <f t="shared" si="263"/>
        <v>22678.818750000006</v>
      </c>
      <c r="AD470" s="275"/>
      <c r="AE470" s="264"/>
      <c r="AF470" s="271">
        <f t="shared" si="264"/>
        <v>11500</v>
      </c>
      <c r="AG470" s="273"/>
      <c r="AH470" s="499">
        <f t="shared" si="259"/>
        <v>-11178.818750000006</v>
      </c>
      <c r="AI470" s="274">
        <f t="shared" si="261"/>
        <v>-0.4929189158055246</v>
      </c>
      <c r="AJ470" s="275"/>
      <c r="AK470" s="272"/>
      <c r="AL470" s="276">
        <f t="shared" si="265"/>
        <v>7920</v>
      </c>
      <c r="AM470" s="277"/>
      <c r="AN470" s="499">
        <f t="shared" si="260"/>
        <v>3580</v>
      </c>
      <c r="AO470" s="278">
        <f t="shared" ref="AO470:AO472" si="266">IF(AL470=0,0,AN470/AL470)</f>
        <v>0.45202020202020204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600" t="str">
        <f t="shared" si="198"/>
        <v>Programme neuf 2</v>
      </c>
      <c r="B471" s="170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62"/>
        <v>0</v>
      </c>
      <c r="AA471" s="272"/>
      <c r="AB471" s="264"/>
      <c r="AC471" s="271">
        <f t="shared" si="263"/>
        <v>0</v>
      </c>
      <c r="AD471" s="275"/>
      <c r="AE471" s="264"/>
      <c r="AF471" s="271">
        <f t="shared" si="264"/>
        <v>0</v>
      </c>
      <c r="AG471" s="273"/>
      <c r="AH471" s="499">
        <f t="shared" si="259"/>
        <v>0</v>
      </c>
      <c r="AI471" s="274">
        <f t="shared" si="261"/>
        <v>0</v>
      </c>
      <c r="AJ471" s="275"/>
      <c r="AK471" s="272"/>
      <c r="AL471" s="276">
        <f t="shared" si="265"/>
        <v>0</v>
      </c>
      <c r="AM471" s="277"/>
      <c r="AN471" s="499">
        <f t="shared" si="260"/>
        <v>0</v>
      </c>
      <c r="AO471" s="278">
        <f t="shared" si="266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600" t="str">
        <f t="shared" si="198"/>
        <v>Programme neuf 3</v>
      </c>
      <c r="B472" s="170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62"/>
        <v>0</v>
      </c>
      <c r="AA472" s="272"/>
      <c r="AB472" s="264"/>
      <c r="AC472" s="271">
        <f t="shared" si="263"/>
        <v>0</v>
      </c>
      <c r="AD472" s="275"/>
      <c r="AE472" s="264"/>
      <c r="AF472" s="271">
        <f t="shared" si="264"/>
        <v>0</v>
      </c>
      <c r="AG472" s="273"/>
      <c r="AH472" s="499">
        <f t="shared" si="259"/>
        <v>0</v>
      </c>
      <c r="AI472" s="274">
        <f t="shared" si="261"/>
        <v>0</v>
      </c>
      <c r="AJ472" s="275"/>
      <c r="AK472" s="272"/>
      <c r="AL472" s="276">
        <f t="shared" si="265"/>
        <v>0</v>
      </c>
      <c r="AM472" s="277"/>
      <c r="AN472" s="499">
        <f t="shared" si="260"/>
        <v>0</v>
      </c>
      <c r="AO472" s="278">
        <f t="shared" si="266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600" t="str">
        <f t="shared" si="198"/>
        <v>Programme used 1</v>
      </c>
      <c r="B473" s="170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62"/>
        <v>0</v>
      </c>
      <c r="AA473" s="272"/>
      <c r="AB473" s="264"/>
      <c r="AC473" s="271">
        <f t="shared" si="263"/>
        <v>0</v>
      </c>
      <c r="AD473" s="275"/>
      <c r="AE473" s="264"/>
      <c r="AF473" s="271">
        <f t="shared" si="264"/>
        <v>0</v>
      </c>
      <c r="AG473" s="273"/>
      <c r="AH473" s="499">
        <f t="shared" ref="AH473:AH478" si="267">AF473-AC473</f>
        <v>0</v>
      </c>
      <c r="AI473" s="274">
        <f t="shared" ref="AI473:AI478" si="268">IF(AH473=0,0,AH473/AC473)</f>
        <v>0</v>
      </c>
      <c r="AJ473" s="275"/>
      <c r="AK473" s="272"/>
      <c r="AL473" s="276">
        <f t="shared" si="265"/>
        <v>0</v>
      </c>
      <c r="AM473" s="277"/>
      <c r="AN473" s="499">
        <f t="shared" ref="AN473:AN475" si="269">AF473-AL473</f>
        <v>0</v>
      </c>
      <c r="AO473" s="278">
        <f t="shared" ref="AO473:AO475" si="270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600" t="str">
        <f t="shared" si="198"/>
        <v>Programme used 2</v>
      </c>
      <c r="B474" s="170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62"/>
        <v>0</v>
      </c>
      <c r="AA474" s="272"/>
      <c r="AB474" s="264"/>
      <c r="AC474" s="271">
        <f t="shared" si="263"/>
        <v>0</v>
      </c>
      <c r="AD474" s="275"/>
      <c r="AE474" s="264"/>
      <c r="AF474" s="271">
        <f t="shared" si="264"/>
        <v>0</v>
      </c>
      <c r="AG474" s="273"/>
      <c r="AH474" s="499">
        <f t="shared" si="267"/>
        <v>0</v>
      </c>
      <c r="AI474" s="274">
        <f t="shared" si="268"/>
        <v>0</v>
      </c>
      <c r="AJ474" s="275"/>
      <c r="AK474" s="272"/>
      <c r="AL474" s="276">
        <f t="shared" si="265"/>
        <v>0</v>
      </c>
      <c r="AM474" s="277"/>
      <c r="AN474" s="499">
        <f t="shared" si="269"/>
        <v>0</v>
      </c>
      <c r="AO474" s="278">
        <f t="shared" si="27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600" t="str">
        <f t="shared" si="198"/>
        <v>Programme used 3</v>
      </c>
      <c r="B475" s="170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62"/>
        <v>0</v>
      </c>
      <c r="AA475" s="272"/>
      <c r="AB475" s="264"/>
      <c r="AC475" s="271">
        <f t="shared" si="263"/>
        <v>0</v>
      </c>
      <c r="AD475" s="275"/>
      <c r="AE475" s="264"/>
      <c r="AF475" s="271">
        <f t="shared" si="264"/>
        <v>0</v>
      </c>
      <c r="AG475" s="273"/>
      <c r="AH475" s="499">
        <f t="shared" si="267"/>
        <v>0</v>
      </c>
      <c r="AI475" s="274">
        <f t="shared" si="268"/>
        <v>0</v>
      </c>
      <c r="AJ475" s="275"/>
      <c r="AK475" s="272"/>
      <c r="AL475" s="276">
        <f t="shared" si="265"/>
        <v>0</v>
      </c>
      <c r="AM475" s="277"/>
      <c r="AN475" s="499">
        <f t="shared" si="269"/>
        <v>0</v>
      </c>
      <c r="AO475" s="278">
        <f t="shared" si="27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customHeight="1">
      <c r="A476" s="600" t="str">
        <f t="shared" si="198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62"/>
        <v>0</v>
      </c>
      <c r="AA476" s="272"/>
      <c r="AB476" s="264"/>
      <c r="AC476" s="271">
        <f t="shared" si="263"/>
        <v>0</v>
      </c>
      <c r="AD476" s="275"/>
      <c r="AE476" s="264"/>
      <c r="AF476" s="271">
        <f t="shared" si="264"/>
        <v>0</v>
      </c>
      <c r="AG476" s="273"/>
      <c r="AH476" s="499">
        <f t="shared" si="267"/>
        <v>0</v>
      </c>
      <c r="AI476" s="274">
        <f t="shared" si="268"/>
        <v>0</v>
      </c>
      <c r="AJ476" s="275"/>
      <c r="AK476" s="272"/>
      <c r="AL476" s="276">
        <f t="shared" si="265"/>
        <v>0</v>
      </c>
      <c r="AM476" s="277"/>
      <c r="AN476" s="499">
        <f t="shared" ref="AN476:AN479" si="271">AF476-AL476</f>
        <v>0</v>
      </c>
      <c r="AO476" s="278">
        <f t="shared" ref="AO476:AO479" si="272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customHeight="1">
      <c r="A477" s="600" t="str">
        <f t="shared" si="198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62"/>
        <v>0</v>
      </c>
      <c r="AA477" s="272"/>
      <c r="AB477" s="264"/>
      <c r="AC477" s="271">
        <f t="shared" si="263"/>
        <v>0</v>
      </c>
      <c r="AD477" s="275"/>
      <c r="AE477" s="264"/>
      <c r="AF477" s="271">
        <f t="shared" si="264"/>
        <v>0</v>
      </c>
      <c r="AG477" s="273"/>
      <c r="AH477" s="499">
        <f t="shared" si="267"/>
        <v>0</v>
      </c>
      <c r="AI477" s="274">
        <f t="shared" si="268"/>
        <v>0</v>
      </c>
      <c r="AJ477" s="275"/>
      <c r="AK477" s="272"/>
      <c r="AL477" s="276">
        <f t="shared" si="265"/>
        <v>0</v>
      </c>
      <c r="AM477" s="277"/>
      <c r="AN477" s="499">
        <f t="shared" si="271"/>
        <v>0</v>
      </c>
      <c r="AO477" s="278">
        <f t="shared" si="27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customHeight="1">
      <c r="A478" s="600" t="str">
        <f t="shared" si="198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62"/>
        <v>0</v>
      </c>
      <c r="AA478" s="272"/>
      <c r="AB478" s="264"/>
      <c r="AC478" s="271">
        <f t="shared" si="263"/>
        <v>0</v>
      </c>
      <c r="AD478" s="275"/>
      <c r="AE478" s="264"/>
      <c r="AF478" s="271">
        <f t="shared" si="264"/>
        <v>0</v>
      </c>
      <c r="AG478" s="273"/>
      <c r="AH478" s="499">
        <f t="shared" si="267"/>
        <v>0</v>
      </c>
      <c r="AI478" s="274">
        <f t="shared" si="268"/>
        <v>0</v>
      </c>
      <c r="AJ478" s="275"/>
      <c r="AK478" s="272"/>
      <c r="AL478" s="276">
        <f t="shared" si="265"/>
        <v>0</v>
      </c>
      <c r="AM478" s="277"/>
      <c r="AN478" s="499">
        <f t="shared" si="271"/>
        <v>0</v>
      </c>
      <c r="AO478" s="278">
        <f t="shared" si="27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600" t="str">
        <f t="shared" si="198"/>
        <v>Frais administration</v>
      </c>
      <c r="B479" s="170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62"/>
        <v>25574.084020118418</v>
      </c>
      <c r="AA479" s="272"/>
      <c r="AB479" s="264"/>
      <c r="AC479" s="271">
        <f t="shared" si="263"/>
        <v>25574.084020118418</v>
      </c>
      <c r="AD479" s="275"/>
      <c r="AE479" s="264"/>
      <c r="AF479" s="271">
        <f t="shared" si="264"/>
        <v>11496</v>
      </c>
      <c r="AG479" s="273"/>
      <c r="AH479" s="499">
        <f t="shared" ref="AH479:AH480" si="273">AF479-AC479</f>
        <v>-14078.084020118418</v>
      </c>
      <c r="AI479" s="274">
        <f>IF(AH479=0,0,AH479/AC479)</f>
        <v>-0.55048243405486519</v>
      </c>
      <c r="AJ479" s="275"/>
      <c r="AK479" s="272"/>
      <c r="AL479" s="276">
        <f t="shared" si="265"/>
        <v>23795.25</v>
      </c>
      <c r="AM479" s="277"/>
      <c r="AN479" s="499">
        <f t="shared" si="271"/>
        <v>-12299.25</v>
      </c>
      <c r="AO479" s="278">
        <f t="shared" si="272"/>
        <v>-0.5168783685819649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600" t="str">
        <f t="shared" si="198"/>
        <v>TOTAL AUTRES REVENUS</v>
      </c>
      <c r="B480" s="170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89">
        <f>AF480/+AF406</f>
        <v>0.26617484028946065</v>
      </c>
      <c r="AE480" s="103"/>
      <c r="AF480" s="90">
        <f>SUM(AF468:AF479)</f>
        <v>79165.540000000008</v>
      </c>
      <c r="AG480" s="99"/>
      <c r="AH480" s="93">
        <f t="shared" si="273"/>
        <v>-5475.1465201184183</v>
      </c>
      <c r="AI480" s="89">
        <f>AH480/AC480</f>
        <v>-6.4686934206482583E-2</v>
      </c>
      <c r="AJ480" s="109"/>
      <c r="AK480" s="110"/>
      <c r="AL480" s="90">
        <f>SUM(AL468:AL479)</f>
        <v>206069.05</v>
      </c>
      <c r="AM480" s="111"/>
      <c r="AN480" s="93">
        <f t="shared" ref="AN480:AN482" si="274">AF480-AL480</f>
        <v>-126903.50999999998</v>
      </c>
      <c r="AO480" s="670">
        <f>IF(AL480=0,0,AN480/AL480)</f>
        <v>-0.61583003367075251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600" t="str">
        <f t="shared" si="198"/>
        <v/>
      </c>
      <c r="B481" s="170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74"/>
        <v>0</v>
      </c>
      <c r="AO481" s="503">
        <f t="shared" ref="AO481" si="275">IF(AL481=0,0,AN481/AL481)</f>
        <v>0</v>
      </c>
      <c r="AP481" s="79"/>
      <c r="AQ481" s="236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600" t="str">
        <f t="shared" si="198"/>
        <v>BAIIA OPÉRATIONNEL</v>
      </c>
      <c r="B482" s="170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506" t="s">
        <v>258</v>
      </c>
      <c r="AE482" s="507">
        <f>AF482/AF405</f>
        <v>-1.2853154493281517E-2</v>
      </c>
      <c r="AF482" s="234">
        <f>AF406-AF467+AF480</f>
        <v>-26672.189999999915</v>
      </c>
      <c r="AG482" s="509"/>
      <c r="AH482" s="509">
        <f>AF482-AC482</f>
        <v>-1869.5670812248281</v>
      </c>
      <c r="AI482" s="563">
        <f>AH482/AC482</f>
        <v>7.5377797233275812E-2</v>
      </c>
      <c r="AJ482" s="510" t="s">
        <v>258</v>
      </c>
      <c r="AK482" s="507">
        <f>IF($AL$405=0,0,AL482/$AL$405)</f>
        <v>6.8688778967041864E-3</v>
      </c>
      <c r="AL482" s="234">
        <f>AL406-AL467+AL480</f>
        <v>22786.700000000244</v>
      </c>
      <c r="AM482" s="235"/>
      <c r="AN482" s="234">
        <f t="shared" si="274"/>
        <v>-49458.890000000159</v>
      </c>
      <c r="AO482" s="511">
        <f>IF(AL482=0,0,AN482/AL482)</f>
        <v>-2.1705156955592355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600" t="str">
        <f t="shared" si="198"/>
        <v/>
      </c>
      <c r="B483" s="170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600" t="str">
        <f t="shared" ref="A484:A497" si="276">+U484&amp;V484</f>
        <v>Volks</v>
      </c>
      <c r="B484" s="170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Janvier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600" t="str">
        <f t="shared" si="276"/>
        <v/>
      </c>
      <c r="B485" s="170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600" t="str">
        <f t="shared" si="276"/>
        <v/>
      </c>
      <c r="B486" s="170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600" t="str">
        <f t="shared" si="276"/>
        <v/>
      </c>
      <c r="B487" s="170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600" t="str">
        <f t="shared" si="276"/>
        <v>BAIIA OPÉRATIONNEL</v>
      </c>
      <c r="B488" s="170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4" t="s">
        <v>258</v>
      </c>
      <c r="AE488" s="515">
        <f>AF488/AF405</f>
        <v>-1.2853154493281517E-2</v>
      </c>
      <c r="AF488" s="516">
        <f>AF482</f>
        <v>-26672.189999999915</v>
      </c>
      <c r="AG488" s="517"/>
      <c r="AH488" s="509">
        <f>AF488-AC488</f>
        <v>-1869.5670812248281</v>
      </c>
      <c r="AI488" s="563">
        <f>AH488/AC488</f>
        <v>7.5377797233275812E-2</v>
      </c>
      <c r="AJ488" s="514" t="s">
        <v>258</v>
      </c>
      <c r="AK488" s="515">
        <f>IF($AL$405=0,0,AL488/$AL$405)</f>
        <v>6.8688778967041864E-3</v>
      </c>
      <c r="AL488" s="518">
        <f>AL482</f>
        <v>22786.700000000244</v>
      </c>
      <c r="AM488" s="519"/>
      <c r="AN488" s="520">
        <f>AF488-AL488</f>
        <v>-49458.890000000159</v>
      </c>
      <c r="AO488" s="521">
        <f>IF(AL488=0,0,AN488/AL488)</f>
        <v>-2.1705156955592355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600" t="str">
        <f t="shared" si="276"/>
        <v/>
      </c>
      <c r="B489" s="170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122"/>
      <c r="AG489" s="236"/>
      <c r="AH489" s="236"/>
      <c r="AI489" s="122"/>
      <c r="AJ489" s="236"/>
      <c r="AK489" s="236"/>
      <c r="AL489" s="123"/>
      <c r="AM489" s="523"/>
      <c r="AN489" s="236"/>
      <c r="AO489" s="524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600" t="str">
        <f t="shared" si="276"/>
        <v>Amortissement</v>
      </c>
      <c r="B490" s="170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+SUMPRODUCT(('Budget original'!$A$8:$A$496=$A490)*('Budget original'!$C$3:$AO$3=Z$2),'Budget original'!$C$8:$AO$496)</f>
        <v>9167</v>
      </c>
      <c r="AA490" s="472"/>
      <c r="AB490" s="478"/>
      <c r="AC490" s="87">
        <f>+SUMPRODUCT(('Budget révisé'!$A$8:$A$496=$A490)*('Budget révisé'!$C$3:$AO$3=AC$2),'Budget révisé'!$C$8:$AO$496)</f>
        <v>9167</v>
      </c>
      <c r="AD490" s="472"/>
      <c r="AE490" s="478"/>
      <c r="AF490" s="87">
        <f>SUMIFS(BV_Data_An_Cour!$P:$P,BV_Data_An_Cour!$V:$V,$V490)</f>
        <v>9167</v>
      </c>
      <c r="AG490" s="472"/>
      <c r="AH490" s="474">
        <f t="shared" ref="AH490:AH491" si="277">AF490-AC490</f>
        <v>0</v>
      </c>
      <c r="AI490" s="97">
        <f>IF(AC490=0,0,AH490/AC490)</f>
        <v>0</v>
      </c>
      <c r="AJ490" s="472"/>
      <c r="AK490" s="472"/>
      <c r="AL490" s="87">
        <f>SUMIFS(BV_Data_An_Prec!$P:$P,BV_Data_An_Prec!$V:$V,$V490)</f>
        <v>9000</v>
      </c>
      <c r="AM490" s="476"/>
      <c r="AN490" s="474">
        <f t="shared" ref="AN490:AN491" si="278">AF490-AL490</f>
        <v>167</v>
      </c>
      <c r="AO490" s="231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600" t="str">
        <f t="shared" si="276"/>
        <v>Intérêts sur marge</v>
      </c>
      <c r="B491" s="170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+SUMPRODUCT(('Budget original'!$A$8:$A$496=$A491)*('Budget original'!$C$3:$AO$3=Z$2),'Budget original'!$C$8:$AO$496)</f>
        <v>456.25</v>
      </c>
      <c r="AA491" s="456"/>
      <c r="AB491" s="456"/>
      <c r="AC491" s="87">
        <f>+SUMPRODUCT(('Budget révisé'!$A$8:$A$496=$A491)*('Budget révisé'!$C$3:$AO$3=AC$2),'Budget révisé'!$C$8:$AO$496)</f>
        <v>456.25</v>
      </c>
      <c r="AD491" s="456"/>
      <c r="AE491" s="195"/>
      <c r="AF491" s="87">
        <f>SUMIFS(BV_Data_An_Cour!$P:$P,BV_Data_An_Cour!$V:$V,$V491)</f>
        <v>-3540.56</v>
      </c>
      <c r="AG491" s="456"/>
      <c r="AH491" s="474">
        <f t="shared" si="277"/>
        <v>-3996.81</v>
      </c>
      <c r="AI491" s="97">
        <f t="shared" ref="AI491" si="279">IF(AC491=0,0,AH491/AC491)</f>
        <v>-8.7601315068493157</v>
      </c>
      <c r="AJ491" s="456"/>
      <c r="AK491" s="456"/>
      <c r="AL491" s="87">
        <f>SUMIFS(BV_Data_An_Prec!$P:$P,BV_Data_An_Prec!$V:$V,$V491)</f>
        <v>0</v>
      </c>
      <c r="AM491" s="525"/>
      <c r="AN491" s="474">
        <f t="shared" si="278"/>
        <v>-3540.56</v>
      </c>
      <c r="AO491" s="231">
        <f t="shared" ref="AO491" si="280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600" t="str">
        <f t="shared" si="276"/>
        <v>Intérêts sur prêt</v>
      </c>
      <c r="B492" s="170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+SUMPRODUCT(('Budget original'!$A$8:$A$496=$A492)*('Budget original'!$C$3:$AO$3=Z$2),'Budget original'!$C$8:$AO$496)</f>
        <v>594.88319947675336</v>
      </c>
      <c r="AA492" s="456"/>
      <c r="AB492" s="456"/>
      <c r="AC492" s="87">
        <f>+SUMPRODUCT(('Budget révisé'!$A$8:$A$496=$A492)*('Budget révisé'!$C$3:$AO$3=AC$2),'Budget révisé'!$C$8:$AO$496)</f>
        <v>594.88319947675336</v>
      </c>
      <c r="AD492" s="456"/>
      <c r="AE492" s="195"/>
      <c r="AF492" s="87">
        <f>SUMIFS(BV_Data_An_Cour!$P:$P,BV_Data_An_Cour!$V:$V,$V492)</f>
        <v>570.58999999999992</v>
      </c>
      <c r="AG492" s="456"/>
      <c r="AH492" s="474">
        <f t="shared" ref="AH492:AH496" si="281">AF492-AC492</f>
        <v>-24.293199476753443</v>
      </c>
      <c r="AI492" s="97">
        <f t="shared" ref="AI492:AI496" si="282">IF(AC492=0,0,AH492/AC492)</f>
        <v>-4.0836923110488289E-2</v>
      </c>
      <c r="AJ492" s="456"/>
      <c r="AK492" s="456"/>
      <c r="AL492" s="87">
        <f>SUMIFS(BV_Data_An_Prec!$P:$P,BV_Data_An_Prec!$V:$V,$V492)</f>
        <v>3853.95</v>
      </c>
      <c r="AM492" s="525"/>
      <c r="AN492" s="474">
        <f t="shared" ref="AN492:AN496" si="283">AF492-AL492</f>
        <v>-3283.3599999999997</v>
      </c>
      <c r="AO492" s="231">
        <f t="shared" ref="AO492:AO496" si="284">IF(AL492=0,0,AN492/AL492)</f>
        <v>-0.85194670403092931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>
      <c r="A493" s="600" t="str">
        <f t="shared" si="276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+SUMPRODUCT(('Budget original'!$A$8:$A$496=$A493)*('Budget original'!$C$3:$AO$3=Z$2),'Budget original'!$C$8:$AO$496)</f>
        <v>0</v>
      </c>
      <c r="AA493" s="456"/>
      <c r="AB493" s="456"/>
      <c r="AC493" s="87">
        <f>+SUMPRODUCT(('Budget révisé'!$A$8:$A$496=$A493)*('Budget révisé'!$C$3:$AO$3=AC$2),'Budget révisé'!$C$8:$AO$496)</f>
        <v>0</v>
      </c>
      <c r="AD493" s="456"/>
      <c r="AE493" s="195"/>
      <c r="AF493" s="87">
        <f>SUMIFS(BV_Data_An_Cour!$P:$P,BV_Data_An_Cour!$V:$V,$V493)</f>
        <v>0</v>
      </c>
      <c r="AG493" s="456"/>
      <c r="AH493" s="474">
        <f t="shared" si="281"/>
        <v>0</v>
      </c>
      <c r="AI493" s="97">
        <f t="shared" si="282"/>
        <v>0</v>
      </c>
      <c r="AJ493" s="456"/>
      <c r="AK493" s="456"/>
      <c r="AL493" s="87">
        <f>SUMIFS(BV_Data_An_Prec!$P:$P,BV_Data_An_Prec!$V:$V,$V493)</f>
        <v>0</v>
      </c>
      <c r="AM493" s="525"/>
      <c r="AN493" s="474">
        <f t="shared" si="283"/>
        <v>0</v>
      </c>
      <c r="AO493" s="231">
        <f t="shared" si="284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customHeight="1">
      <c r="A494" s="600" t="str">
        <f t="shared" si="276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+SUMPRODUCT(('Budget original'!$A$8:$A$496=$A494)*('Budget original'!$C$3:$AO$3=Z$2),'Budget original'!$C$8:$AO$496)</f>
        <v>0</v>
      </c>
      <c r="AA494" s="456"/>
      <c r="AB494" s="456"/>
      <c r="AC494" s="87">
        <f>+SUMPRODUCT(('Budget révisé'!$A$8:$A$496=$A494)*('Budget révisé'!$C$3:$AO$3=AC$2),'Budget révisé'!$C$8:$AO$496)</f>
        <v>0</v>
      </c>
      <c r="AD494" s="456"/>
      <c r="AE494" s="195"/>
      <c r="AF494" s="87">
        <f>SUMIFS(BV_Data_An_Cour!$P:$P,BV_Data_An_Cour!$V:$V,$V494)</f>
        <v>0</v>
      </c>
      <c r="AG494" s="456"/>
      <c r="AH494" s="474">
        <f t="shared" si="281"/>
        <v>0</v>
      </c>
      <c r="AI494" s="97">
        <f t="shared" si="282"/>
        <v>0</v>
      </c>
      <c r="AJ494" s="456"/>
      <c r="AK494" s="456"/>
      <c r="AL494" s="87">
        <f>SUMIFS(BV_Data_An_Prec!$P:$P,BV_Data_An_Prec!$V:$V,$V494)</f>
        <v>0</v>
      </c>
      <c r="AM494" s="525"/>
      <c r="AN494" s="474">
        <f t="shared" si="283"/>
        <v>0</v>
      </c>
      <c r="AO494" s="231">
        <f t="shared" si="284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customHeight="1">
      <c r="A495" s="600" t="str">
        <f t="shared" si="276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+SUMPRODUCT(('Budget original'!$A$8:$A$496=$A495)*('Budget original'!$C$3:$AO$3=Z$2),'Budget original'!$C$8:$AO$496)</f>
        <v>0</v>
      </c>
      <c r="AA495" s="456"/>
      <c r="AB495" s="456"/>
      <c r="AC495" s="87">
        <f>+SUMPRODUCT(('Budget révisé'!$A$8:$A$496=$A495)*('Budget révisé'!$C$3:$AO$3=AC$2),'Budget révisé'!$C$8:$AO$496)</f>
        <v>0</v>
      </c>
      <c r="AD495" s="456"/>
      <c r="AE495" s="195"/>
      <c r="AF495" s="87">
        <f>SUMIFS(BV_Data_An_Cour!$P:$P,BV_Data_An_Cour!$V:$V,$V495)</f>
        <v>0</v>
      </c>
      <c r="AG495" s="456"/>
      <c r="AH495" s="474">
        <f t="shared" si="281"/>
        <v>0</v>
      </c>
      <c r="AI495" s="97">
        <f t="shared" si="282"/>
        <v>0</v>
      </c>
      <c r="AJ495" s="456"/>
      <c r="AK495" s="456"/>
      <c r="AL495" s="87">
        <f>SUMIFS(BV_Data_An_Prec!$P:$P,BV_Data_An_Prec!$V:$V,$V495)</f>
        <v>0</v>
      </c>
      <c r="AM495" s="525"/>
      <c r="AN495" s="474">
        <f t="shared" si="283"/>
        <v>0</v>
      </c>
      <c r="AO495" s="231">
        <f t="shared" si="284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customHeight="1" thickBot="1">
      <c r="A496" s="600" t="str">
        <f t="shared" si="276"/>
        <v>[...]</v>
      </c>
      <c r="B496" s="170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+SUMPRODUCT(('Budget révisé'!$A$8:$A$496=$A496)*('Budget révisé'!$C$3:$AO$3=AC$2),'Budget révisé'!$C$8:$AO$496)</f>
        <v>0</v>
      </c>
      <c r="AD496" s="456"/>
      <c r="AE496" s="195"/>
      <c r="AF496" s="87">
        <f>SUMIFS(BV_Data_An_Cour!$P:$P,BV_Data_An_Cour!$V:$V,$V496)</f>
        <v>0</v>
      </c>
      <c r="AG496" s="456"/>
      <c r="AH496" s="474">
        <f t="shared" si="281"/>
        <v>0</v>
      </c>
      <c r="AI496" s="97">
        <f t="shared" si="282"/>
        <v>0</v>
      </c>
      <c r="AJ496" s="456"/>
      <c r="AK496" s="456"/>
      <c r="AL496" s="87">
        <f>SUMIFS(BV_Data_An_Prec!$P:$P,BV_Data_An_Prec!$V:$V,$V496)</f>
        <v>0</v>
      </c>
      <c r="AM496" s="525"/>
      <c r="AN496" s="474">
        <f t="shared" si="283"/>
        <v>0</v>
      </c>
      <c r="AO496" s="231">
        <f t="shared" si="284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600" t="str">
        <f t="shared" si="276"/>
        <v>Profit Net</v>
      </c>
      <c r="B497" s="170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506" t="s">
        <v>258</v>
      </c>
      <c r="AE497" s="507">
        <f>AF497/AF405</f>
        <v>-1.5839462853768624E-2</v>
      </c>
      <c r="AF497" s="234">
        <f>AF488-AF490-AF491-AF492-AF496</f>
        <v>-32869.219999999914</v>
      </c>
      <c r="AG497" s="509"/>
      <c r="AH497" s="509">
        <f>AF497-AC497</f>
        <v>2151.5361182519264</v>
      </c>
      <c r="AI497" s="563">
        <f>AH497/AC497</f>
        <v>-6.1436026994591525E-2</v>
      </c>
      <c r="AJ497" s="510" t="s">
        <v>258</v>
      </c>
      <c r="AK497" s="507">
        <f>IF($AL$405=0,0,AL497/$AL$405)</f>
        <v>2.9941521557965592E-3</v>
      </c>
      <c r="AL497" s="234">
        <f>AL488-AL490-AL491-AL492-AL496</f>
        <v>9932.7500000002437</v>
      </c>
      <c r="AM497" s="235"/>
      <c r="AN497" s="234">
        <f>AF497-AL497</f>
        <v>-42801.970000000161</v>
      </c>
      <c r="AO497" s="526">
        <f>IF(AL497=0,0,AN497/AL497)</f>
        <v>-4.309176210012243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600" t="str">
        <f t="shared" ref="A498" si="285">+U498&amp;V498</f>
        <v/>
      </c>
      <c r="B498" s="170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70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70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70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70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70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70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70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70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70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70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70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70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70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70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70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70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70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70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70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70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70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70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70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70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70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70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70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70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70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70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70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70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70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70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70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70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70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70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70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70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70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70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70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70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70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70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70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70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70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70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70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70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70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70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70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70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70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70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70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70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70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70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70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70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70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70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70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70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70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70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70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70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70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70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70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70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70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70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70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70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70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70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70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70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70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70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70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70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70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70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70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70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70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70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70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70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70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70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70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70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70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70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70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70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70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70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70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70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70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70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70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70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70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70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70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70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70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70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70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70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70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70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70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70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70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70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70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70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70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70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70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70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70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70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70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70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70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70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70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70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70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70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70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70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70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70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70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70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70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70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70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70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70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70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70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70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70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70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70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70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70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70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70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70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70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70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70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70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70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70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70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70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70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70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70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70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70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70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70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70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70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70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70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70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70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70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70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70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70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70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70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70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70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70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70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70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70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70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70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2" priority="318" stopIfTrue="1">
      <formula>"esterreur(reference)"</formula>
    </cfRule>
  </conditionalFormatting>
  <conditionalFormatting sqref="M95:M96">
    <cfRule type="expression" dxfId="341" priority="319" stopIfTrue="1">
      <formula>"esterreur(reference)"</formula>
    </cfRule>
  </conditionalFormatting>
  <conditionalFormatting sqref="H275:H280 J275:K280">
    <cfRule type="expression" dxfId="340" priority="320" stopIfTrue="1">
      <formula>"esterreur(reference)"</formula>
    </cfRule>
  </conditionalFormatting>
  <conditionalFormatting sqref="H219:H224 J219:K224">
    <cfRule type="expression" dxfId="339" priority="321" stopIfTrue="1">
      <formula>"esterreur(reference)"</formula>
    </cfRule>
  </conditionalFormatting>
  <conditionalFormatting sqref="H141:H147 J141:K147">
    <cfRule type="expression" dxfId="338" priority="322" stopIfTrue="1">
      <formula>"esterreur(reference)"</formula>
    </cfRule>
  </conditionalFormatting>
  <conditionalFormatting sqref="H137:H139 J137:K139">
    <cfRule type="expression" dxfId="337" priority="323" stopIfTrue="1">
      <formula>"esterreur(reference)"</formula>
    </cfRule>
  </conditionalFormatting>
  <conditionalFormatting sqref="H140 J140:K140">
    <cfRule type="expression" dxfId="336" priority="324" stopIfTrue="1">
      <formula>"esterreur(reference)"</formula>
    </cfRule>
  </conditionalFormatting>
  <conditionalFormatting sqref="L82">
    <cfRule type="expression" dxfId="335" priority="298" stopIfTrue="1">
      <formula>"esterreur(reference)"</formula>
    </cfRule>
  </conditionalFormatting>
  <conditionalFormatting sqref="M311">
    <cfRule type="expression" dxfId="334" priority="325" stopIfTrue="1">
      <formula>"esterreur(reference)"</formula>
    </cfRule>
  </conditionalFormatting>
  <conditionalFormatting sqref="R311">
    <cfRule type="expression" dxfId="333" priority="32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2" priority="327" operator="greaterThan">
      <formula>0</formula>
    </cfRule>
  </conditionalFormatting>
  <conditionalFormatting sqref="AH468:AI479">
    <cfRule type="cellIs" dxfId="331" priority="328" operator="lessThan">
      <formula>0</formula>
    </cfRule>
  </conditionalFormatting>
  <conditionalFormatting sqref="AH491:AH496">
    <cfRule type="cellIs" dxfId="330" priority="329" operator="greaterThan">
      <formula>0</formula>
    </cfRule>
  </conditionalFormatting>
  <conditionalFormatting sqref="J281:K283">
    <cfRule type="expression" dxfId="329" priority="330" stopIfTrue="1">
      <formula>"esterreur(reference)"</formula>
    </cfRule>
  </conditionalFormatting>
  <conditionalFormatting sqref="K356 J356:J357 H356:I356 L355:L356 H358:L358">
    <cfRule type="expression" dxfId="328" priority="331" stopIfTrue="1">
      <formula>"esterreur(reference)"</formula>
    </cfRule>
  </conditionalFormatting>
  <conditionalFormatting sqref="H396">
    <cfRule type="expression" dxfId="327" priority="332" stopIfTrue="1">
      <formula>"esterreur(reference)"</formula>
    </cfRule>
  </conditionalFormatting>
  <conditionalFormatting sqref="I376:L376 H377:H392 J377:K392">
    <cfRule type="expression" dxfId="326" priority="333" stopIfTrue="1">
      <formula>"esterreur(reference)"</formula>
    </cfRule>
  </conditionalFormatting>
  <conditionalFormatting sqref="H397:L398 I396:L396 H395:L395 H393:H394 J393:K393">
    <cfRule type="expression" dxfId="325" priority="334" stopIfTrue="1">
      <formula>"esterreur(reference)"</formula>
    </cfRule>
  </conditionalFormatting>
  <conditionalFormatting sqref="H360:L362 H359 K359">
    <cfRule type="expression" dxfId="324" priority="335" stopIfTrue="1">
      <formula>"esterreur(reference)"</formula>
    </cfRule>
  </conditionalFormatting>
  <conditionalFormatting sqref="K394">
    <cfRule type="expression" dxfId="323" priority="336" stopIfTrue="1">
      <formula>"esterreur(reference)"</formula>
    </cfRule>
  </conditionalFormatting>
  <conditionalFormatting sqref="H316:L316">
    <cfRule type="expression" dxfId="322" priority="337" stopIfTrue="1">
      <formula>"esterreur(reference)"</formula>
    </cfRule>
  </conditionalFormatting>
  <conditionalFormatting sqref="H196:L196">
    <cfRule type="expression" dxfId="321" priority="338" stopIfTrue="1">
      <formula>"esterreur(reference)"</formula>
    </cfRule>
  </conditionalFormatting>
  <conditionalFormatting sqref="H55:H56 J55:K56 H71 J71:K71">
    <cfRule type="expression" dxfId="320" priority="339" stopIfTrue="1">
      <formula>"esterreur(reference)"</formula>
    </cfRule>
  </conditionalFormatting>
  <conditionalFormatting sqref="J61:K70 H61:H70">
    <cfRule type="expression" dxfId="319" priority="340" stopIfTrue="1">
      <formula>"esterreur(reference)"</formula>
    </cfRule>
  </conditionalFormatting>
  <conditionalFormatting sqref="H57:H59 J57:K59">
    <cfRule type="expression" dxfId="318" priority="341" stopIfTrue="1">
      <formula>"esterreur(reference)"</formula>
    </cfRule>
  </conditionalFormatting>
  <conditionalFormatting sqref="H60 J60:K60">
    <cfRule type="expression" dxfId="317" priority="342" stopIfTrue="1">
      <formula>"esterreur(reference)"</formula>
    </cfRule>
  </conditionalFormatting>
  <conditionalFormatting sqref="L19 L21:L23">
    <cfRule type="expression" dxfId="316" priority="316" stopIfTrue="1">
      <formula>"esterreur(reference)"</formula>
    </cfRule>
  </conditionalFormatting>
  <conditionalFormatting sqref="K98">
    <cfRule type="expression" dxfId="315" priority="343" stopIfTrue="1">
      <formula>"esterreur(reference)"</formula>
    </cfRule>
  </conditionalFormatting>
  <conditionalFormatting sqref="L331:L347">
    <cfRule type="expression" dxfId="314" priority="211" stopIfTrue="1">
      <formula>"esterreur(reference)"</formula>
    </cfRule>
  </conditionalFormatting>
  <conditionalFormatting sqref="L16:L17">
    <cfRule type="expression" dxfId="313" priority="317" stopIfTrue="1">
      <formula>"esterreur(reference)"</formula>
    </cfRule>
  </conditionalFormatting>
  <conditionalFormatting sqref="L20">
    <cfRule type="expression" dxfId="312" priority="315" stopIfTrue="1">
      <formula>"esterreur(reference)"</formula>
    </cfRule>
  </conditionalFormatting>
  <conditionalFormatting sqref="L325">
    <cfRule type="expression" dxfId="311" priority="215" stopIfTrue="1">
      <formula>"esterreur(reference)"</formula>
    </cfRule>
  </conditionalFormatting>
  <conditionalFormatting sqref="L326">
    <cfRule type="expression" dxfId="310" priority="214" stopIfTrue="1">
      <formula>"esterreur(reference)"</formula>
    </cfRule>
  </conditionalFormatting>
  <conditionalFormatting sqref="L327">
    <cfRule type="expression" dxfId="309" priority="213" stopIfTrue="1">
      <formula>"esterreur(reference)"</formula>
    </cfRule>
  </conditionalFormatting>
  <conditionalFormatting sqref="L328">
    <cfRule type="expression" dxfId="308" priority="212" stopIfTrue="1">
      <formula>"esterreur(reference)"</formula>
    </cfRule>
  </conditionalFormatting>
  <conditionalFormatting sqref="L42">
    <cfRule type="expression" dxfId="307" priority="314" stopIfTrue="1">
      <formula>"esterreur(reference)"</formula>
    </cfRule>
  </conditionalFormatting>
  <conditionalFormatting sqref="L43">
    <cfRule type="expression" dxfId="306" priority="313" stopIfTrue="1">
      <formula>"esterreur(reference)"</formula>
    </cfRule>
  </conditionalFormatting>
  <conditionalFormatting sqref="L44">
    <cfRule type="expression" dxfId="305" priority="312" stopIfTrue="1">
      <formula>"esterreur(reference)"</formula>
    </cfRule>
  </conditionalFormatting>
  <conditionalFormatting sqref="L45:L48">
    <cfRule type="expression" dxfId="304" priority="311" stopIfTrue="1">
      <formula>"esterreur(reference)"</formula>
    </cfRule>
  </conditionalFormatting>
  <conditionalFormatting sqref="L55">
    <cfRule type="expression" dxfId="303" priority="310" stopIfTrue="1">
      <formula>"esterreur(reference)"</formula>
    </cfRule>
  </conditionalFormatting>
  <conditionalFormatting sqref="L56">
    <cfRule type="expression" dxfId="302" priority="309" stopIfTrue="1">
      <formula>"esterreur(reference)"</formula>
    </cfRule>
  </conditionalFormatting>
  <conditionalFormatting sqref="L271">
    <cfRule type="expression" dxfId="301" priority="226" stopIfTrue="1">
      <formula>"esterreur(reference)"</formula>
    </cfRule>
  </conditionalFormatting>
  <conditionalFormatting sqref="L58">
    <cfRule type="expression" dxfId="300" priority="308" stopIfTrue="1">
      <formula>"esterreur(reference)"</formula>
    </cfRule>
  </conditionalFormatting>
  <conditionalFormatting sqref="L61">
    <cfRule type="expression" dxfId="299" priority="307" stopIfTrue="1">
      <formula>"esterreur(reference)"</formula>
    </cfRule>
  </conditionalFormatting>
  <conditionalFormatting sqref="L274">
    <cfRule type="expression" dxfId="298" priority="224" stopIfTrue="1">
      <formula>"esterreur(reference)"</formula>
    </cfRule>
  </conditionalFormatting>
  <conditionalFormatting sqref="L63">
    <cfRule type="expression" dxfId="297" priority="306" stopIfTrue="1">
      <formula>"esterreur(reference)"</formula>
    </cfRule>
  </conditionalFormatting>
  <conditionalFormatting sqref="L62">
    <cfRule type="expression" dxfId="296" priority="305" stopIfTrue="1">
      <formula>"esterreur(reference)"</formula>
    </cfRule>
  </conditionalFormatting>
  <conditionalFormatting sqref="L64">
    <cfRule type="expression" dxfId="295" priority="304" stopIfTrue="1">
      <formula>"esterreur(reference)"</formula>
    </cfRule>
  </conditionalFormatting>
  <conditionalFormatting sqref="L65">
    <cfRule type="expression" dxfId="294" priority="303" stopIfTrue="1">
      <formula>"esterreur(reference)"</formula>
    </cfRule>
  </conditionalFormatting>
  <conditionalFormatting sqref="L69 L66:L67">
    <cfRule type="expression" dxfId="293" priority="302" stopIfTrue="1">
      <formula>"esterreur(reference)"</formula>
    </cfRule>
  </conditionalFormatting>
  <conditionalFormatting sqref="L70">
    <cfRule type="expression" dxfId="292" priority="301" stopIfTrue="1">
      <formula>"esterreur(reference)"</formula>
    </cfRule>
  </conditionalFormatting>
  <conditionalFormatting sqref="L76:L77">
    <cfRule type="expression" dxfId="291" priority="300" stopIfTrue="1">
      <formula>"esterreur(reference)"</formula>
    </cfRule>
  </conditionalFormatting>
  <conditionalFormatting sqref="L78:L81">
    <cfRule type="expression" dxfId="290" priority="299" stopIfTrue="1">
      <formula>"esterreur(reference)"</formula>
    </cfRule>
  </conditionalFormatting>
  <conditionalFormatting sqref="L57">
    <cfRule type="expression" dxfId="289" priority="297" stopIfTrue="1">
      <formula>"esterreur(reference)"</formula>
    </cfRule>
  </conditionalFormatting>
  <conditionalFormatting sqref="L94:L95">
    <cfRule type="expression" dxfId="288" priority="296" stopIfTrue="1">
      <formula>"esterreur(reference)"</formula>
    </cfRule>
  </conditionalFormatting>
  <conditionalFormatting sqref="L98">
    <cfRule type="expression" dxfId="287" priority="295" stopIfTrue="1">
      <formula>"esterreur(reference)"</formula>
    </cfRule>
  </conditionalFormatting>
  <conditionalFormatting sqref="L99">
    <cfRule type="expression" dxfId="286" priority="294" stopIfTrue="1">
      <formula>"esterreur(reference)"</formula>
    </cfRule>
  </conditionalFormatting>
  <conditionalFormatting sqref="L101">
    <cfRule type="expression" dxfId="285" priority="293" stopIfTrue="1">
      <formula>"esterreur(reference)"</formula>
    </cfRule>
  </conditionalFormatting>
  <conditionalFormatting sqref="L102">
    <cfRule type="expression" dxfId="284" priority="292" stopIfTrue="1">
      <formula>"esterreur(reference)"</formula>
    </cfRule>
  </conditionalFormatting>
  <conditionalFormatting sqref="L103">
    <cfRule type="expression" dxfId="283" priority="291" stopIfTrue="1">
      <formula>"esterreur(reference)"</formula>
    </cfRule>
  </conditionalFormatting>
  <conditionalFormatting sqref="L111">
    <cfRule type="expression" dxfId="282" priority="290" stopIfTrue="1">
      <formula>"esterreur(reference)"</formula>
    </cfRule>
  </conditionalFormatting>
  <conditionalFormatting sqref="L112">
    <cfRule type="expression" dxfId="281" priority="289" stopIfTrue="1">
      <formula>"esterreur(reference)"</formula>
    </cfRule>
  </conditionalFormatting>
  <conditionalFormatting sqref="L207">
    <cfRule type="expression" dxfId="280" priority="249" stopIfTrue="1">
      <formula>"esterreur(reference)"</formula>
    </cfRule>
  </conditionalFormatting>
  <conditionalFormatting sqref="L114">
    <cfRule type="expression" dxfId="279" priority="288" stopIfTrue="1">
      <formula>"esterreur(reference)"</formula>
    </cfRule>
  </conditionalFormatting>
  <conditionalFormatting sqref="L227">
    <cfRule type="expression" dxfId="278" priority="245" stopIfTrue="1">
      <formula>"esterreur(reference)"</formula>
    </cfRule>
  </conditionalFormatting>
  <conditionalFormatting sqref="L116:L119">
    <cfRule type="expression" dxfId="277" priority="287" stopIfTrue="1">
      <formula>"esterreur(reference)"</formula>
    </cfRule>
  </conditionalFormatting>
  <conditionalFormatting sqref="L120">
    <cfRule type="expression" dxfId="276" priority="286" stopIfTrue="1">
      <formula>"esterreur(reference)"</formula>
    </cfRule>
  </conditionalFormatting>
  <conditionalFormatting sqref="L130">
    <cfRule type="expression" dxfId="275" priority="283" stopIfTrue="1">
      <formula>"esterreur(reference)"</formula>
    </cfRule>
  </conditionalFormatting>
  <conditionalFormatting sqref="L124">
    <cfRule type="expression" dxfId="274" priority="285" stopIfTrue="1">
      <formula>"esterreur(reference)"</formula>
    </cfRule>
  </conditionalFormatting>
  <conditionalFormatting sqref="L123">
    <cfRule type="expression" dxfId="273" priority="284" stopIfTrue="1">
      <formula>"esterreur(reference)"</formula>
    </cfRule>
  </conditionalFormatting>
  <conditionalFormatting sqref="L138">
    <cfRule type="expression" dxfId="272" priority="277" stopIfTrue="1">
      <formula>"esterreur(reference)"</formula>
    </cfRule>
  </conditionalFormatting>
  <conditionalFormatting sqref="L131">
    <cfRule type="expression" dxfId="271" priority="282" stopIfTrue="1">
      <formula>"esterreur(reference)"</formula>
    </cfRule>
  </conditionalFormatting>
  <conditionalFormatting sqref="L132">
    <cfRule type="expression" dxfId="270" priority="281" stopIfTrue="1">
      <formula>"esterreur(reference)"</formula>
    </cfRule>
  </conditionalFormatting>
  <conditionalFormatting sqref="L133">
    <cfRule type="expression" dxfId="269" priority="280" stopIfTrue="1">
      <formula>"esterreur(reference)"</formula>
    </cfRule>
  </conditionalFormatting>
  <conditionalFormatting sqref="L139">
    <cfRule type="expression" dxfId="268" priority="276" stopIfTrue="1">
      <formula>"esterreur(reference)"</formula>
    </cfRule>
  </conditionalFormatting>
  <conditionalFormatting sqref="L136">
    <cfRule type="expression" dxfId="267" priority="279" stopIfTrue="1">
      <formula>"esterreur(reference)"</formula>
    </cfRule>
  </conditionalFormatting>
  <conditionalFormatting sqref="L137">
    <cfRule type="expression" dxfId="266" priority="278" stopIfTrue="1">
      <formula>"esterreur(reference)"</formula>
    </cfRule>
  </conditionalFormatting>
  <conditionalFormatting sqref="L140">
    <cfRule type="expression" dxfId="265" priority="275" stopIfTrue="1">
      <formula>"esterreur(reference)"</formula>
    </cfRule>
  </conditionalFormatting>
  <conditionalFormatting sqref="L141">
    <cfRule type="expression" dxfId="264" priority="274" stopIfTrue="1">
      <formula>"esterreur(reference)"</formula>
    </cfRule>
  </conditionalFormatting>
  <conditionalFormatting sqref="L142">
    <cfRule type="expression" dxfId="263" priority="273" stopIfTrue="1">
      <formula>"esterreur(reference)"</formula>
    </cfRule>
  </conditionalFormatting>
  <conditionalFormatting sqref="L143">
    <cfRule type="expression" dxfId="262" priority="272" stopIfTrue="1">
      <formula>"esterreur(reference)"</formula>
    </cfRule>
  </conditionalFormatting>
  <conditionalFormatting sqref="L144">
    <cfRule type="expression" dxfId="261" priority="271" stopIfTrue="1">
      <formula>"esterreur(reference)"</formula>
    </cfRule>
  </conditionalFormatting>
  <conditionalFormatting sqref="L145">
    <cfRule type="expression" dxfId="260" priority="270" stopIfTrue="1">
      <formula>"esterreur(reference)"</formula>
    </cfRule>
  </conditionalFormatting>
  <conditionalFormatting sqref="L146">
    <cfRule type="expression" dxfId="259" priority="269" stopIfTrue="1">
      <formula>"esterreur(reference)"</formula>
    </cfRule>
  </conditionalFormatting>
  <conditionalFormatting sqref="L147">
    <cfRule type="expression" dxfId="258" priority="268" stopIfTrue="1">
      <formula>"esterreur(reference)"</formula>
    </cfRule>
  </conditionalFormatting>
  <conditionalFormatting sqref="L155">
    <cfRule type="expression" dxfId="257" priority="267" stopIfTrue="1">
      <formula>"esterreur(reference)"</formula>
    </cfRule>
  </conditionalFormatting>
  <conditionalFormatting sqref="L157">
    <cfRule type="expression" dxfId="256" priority="265" stopIfTrue="1">
      <formula>"esterreur(reference)"</formula>
    </cfRule>
  </conditionalFormatting>
  <conditionalFormatting sqref="L156">
    <cfRule type="expression" dxfId="255" priority="266" stopIfTrue="1">
      <formula>"esterreur(reference)"</formula>
    </cfRule>
  </conditionalFormatting>
  <conditionalFormatting sqref="L115">
    <cfRule type="expression" dxfId="254" priority="264" stopIfTrue="1">
      <formula>"esterreur(reference)"</formula>
    </cfRule>
  </conditionalFormatting>
  <conditionalFormatting sqref="L113">
    <cfRule type="expression" dxfId="253" priority="263" stopIfTrue="1">
      <formula>"esterreur(reference)"</formula>
    </cfRule>
  </conditionalFormatting>
  <conditionalFormatting sqref="L171">
    <cfRule type="expression" dxfId="252" priority="262" stopIfTrue="1">
      <formula>"esterreur(reference)"</formula>
    </cfRule>
  </conditionalFormatting>
  <conditionalFormatting sqref="L174">
    <cfRule type="expression" dxfId="251" priority="261" stopIfTrue="1">
      <formula>"esterreur(reference)"</formula>
    </cfRule>
  </conditionalFormatting>
  <conditionalFormatting sqref="L177">
    <cfRule type="expression" dxfId="250" priority="260" stopIfTrue="1">
      <formula>"esterreur(reference)"</formula>
    </cfRule>
  </conditionalFormatting>
  <conditionalFormatting sqref="L183">
    <cfRule type="expression" dxfId="249" priority="259" stopIfTrue="1">
      <formula>"esterreur(reference)"</formula>
    </cfRule>
  </conditionalFormatting>
  <conditionalFormatting sqref="L187">
    <cfRule type="expression" dxfId="248" priority="258" stopIfTrue="1">
      <formula>"esterreur(reference)"</formula>
    </cfRule>
  </conditionalFormatting>
  <conditionalFormatting sqref="L197">
    <cfRule type="expression" dxfId="247" priority="257" stopIfTrue="1">
      <formula>"esterreur(reference)"</formula>
    </cfRule>
  </conditionalFormatting>
  <conditionalFormatting sqref="L199">
    <cfRule type="expression" dxfId="246" priority="256" stopIfTrue="1">
      <formula>"esterreur(reference)"</formula>
    </cfRule>
  </conditionalFormatting>
  <conditionalFormatting sqref="L198">
    <cfRule type="expression" dxfId="245" priority="255" stopIfTrue="1">
      <formula>"esterreur(reference)"</formula>
    </cfRule>
  </conditionalFormatting>
  <conditionalFormatting sqref="L200">
    <cfRule type="expression" dxfId="244" priority="254" stopIfTrue="1">
      <formula>"esterreur(reference)"</formula>
    </cfRule>
  </conditionalFormatting>
  <conditionalFormatting sqref="L201">
    <cfRule type="expression" dxfId="243" priority="253" stopIfTrue="1">
      <formula>"esterreur(reference)"</formula>
    </cfRule>
  </conditionalFormatting>
  <conditionalFormatting sqref="L202:L204">
    <cfRule type="expression" dxfId="242" priority="252" stopIfTrue="1">
      <formula>"esterreur(reference)"</formula>
    </cfRule>
  </conditionalFormatting>
  <conditionalFormatting sqref="L206">
    <cfRule type="expression" dxfId="241" priority="250" stopIfTrue="1">
      <formula>"esterreur(reference)"</formula>
    </cfRule>
  </conditionalFormatting>
  <conditionalFormatting sqref="L205">
    <cfRule type="expression" dxfId="240" priority="251" stopIfTrue="1">
      <formula>"esterreur(reference)"</formula>
    </cfRule>
  </conditionalFormatting>
  <conditionalFormatting sqref="L208">
    <cfRule type="expression" dxfId="239" priority="248" stopIfTrue="1">
      <formula>"esterreur(reference)"</formula>
    </cfRule>
  </conditionalFormatting>
  <conditionalFormatting sqref="L211:L224">
    <cfRule type="expression" dxfId="238" priority="247" stopIfTrue="1">
      <formula>"esterreur(reference)"</formula>
    </cfRule>
  </conditionalFormatting>
  <conditionalFormatting sqref="L225:L226">
    <cfRule type="expression" dxfId="237" priority="246" stopIfTrue="1">
      <formula>"esterreur(reference)"</formula>
    </cfRule>
  </conditionalFormatting>
  <conditionalFormatting sqref="L180">
    <cfRule type="expression" dxfId="236" priority="244" stopIfTrue="1">
      <formula>"esterreur(reference)"</formula>
    </cfRule>
  </conditionalFormatting>
  <conditionalFormatting sqref="L243">
    <cfRule type="expression" dxfId="235" priority="243" stopIfTrue="1">
      <formula>"esterreur(reference)"</formula>
    </cfRule>
  </conditionalFormatting>
  <conditionalFormatting sqref="L246">
    <cfRule type="expression" dxfId="234" priority="242" stopIfTrue="1">
      <formula>"esterreur(reference)"</formula>
    </cfRule>
  </conditionalFormatting>
  <conditionalFormatting sqref="L253">
    <cfRule type="expression" dxfId="233" priority="241" stopIfTrue="1">
      <formula>"esterreur(reference)"</formula>
    </cfRule>
  </conditionalFormatting>
  <conditionalFormatting sqref="L254">
    <cfRule type="expression" dxfId="232" priority="240" stopIfTrue="1">
      <formula>"esterreur(reference)"</formula>
    </cfRule>
  </conditionalFormatting>
  <conditionalFormatting sqref="L255">
    <cfRule type="expression" dxfId="231" priority="239" stopIfTrue="1">
      <formula>"esterreur(reference)"</formula>
    </cfRule>
  </conditionalFormatting>
  <conditionalFormatting sqref="L256">
    <cfRule type="expression" dxfId="230" priority="238" stopIfTrue="1">
      <formula>"esterreur(reference)"</formula>
    </cfRule>
  </conditionalFormatting>
  <conditionalFormatting sqref="L257">
    <cfRule type="expression" dxfId="229" priority="237" stopIfTrue="1">
      <formula>"esterreur(reference)"</formula>
    </cfRule>
  </conditionalFormatting>
  <conditionalFormatting sqref="L258">
    <cfRule type="expression" dxfId="228" priority="236" stopIfTrue="1">
      <formula>"esterreur(reference)"</formula>
    </cfRule>
  </conditionalFormatting>
  <conditionalFormatting sqref="L259">
    <cfRule type="expression" dxfId="227" priority="235" stopIfTrue="1">
      <formula>"esterreur(reference)"</formula>
    </cfRule>
  </conditionalFormatting>
  <conditionalFormatting sqref="L260">
    <cfRule type="expression" dxfId="226" priority="234" stopIfTrue="1">
      <formula>"esterreur(reference)"</formula>
    </cfRule>
  </conditionalFormatting>
  <conditionalFormatting sqref="L261">
    <cfRule type="expression" dxfId="225" priority="233" stopIfTrue="1">
      <formula>"esterreur(reference)"</formula>
    </cfRule>
  </conditionalFormatting>
  <conditionalFormatting sqref="L262">
    <cfRule type="expression" dxfId="224" priority="232" stopIfTrue="1">
      <formula>"esterreur(reference)"</formula>
    </cfRule>
  </conditionalFormatting>
  <conditionalFormatting sqref="L263:L264">
    <cfRule type="expression" dxfId="223" priority="231" stopIfTrue="1">
      <formula>"esterreur(reference)"</formula>
    </cfRule>
  </conditionalFormatting>
  <conditionalFormatting sqref="L268">
    <cfRule type="expression" dxfId="222" priority="229" stopIfTrue="1">
      <formula>"esterreur(reference)"</formula>
    </cfRule>
  </conditionalFormatting>
  <conditionalFormatting sqref="L267">
    <cfRule type="expression" dxfId="221" priority="230" stopIfTrue="1">
      <formula>"esterreur(reference)"</formula>
    </cfRule>
  </conditionalFormatting>
  <conditionalFormatting sqref="L269">
    <cfRule type="expression" dxfId="220" priority="228" stopIfTrue="1">
      <formula>"esterreur(reference)"</formula>
    </cfRule>
  </conditionalFormatting>
  <conditionalFormatting sqref="L270">
    <cfRule type="expression" dxfId="219" priority="227" stopIfTrue="1">
      <formula>"esterreur(reference)"</formula>
    </cfRule>
  </conditionalFormatting>
  <conditionalFormatting sqref="L272:L273">
    <cfRule type="expression" dxfId="218" priority="225" stopIfTrue="1">
      <formula>"esterreur(reference)"</formula>
    </cfRule>
  </conditionalFormatting>
  <conditionalFormatting sqref="L294:L300">
    <cfRule type="expression" dxfId="217" priority="223" stopIfTrue="1">
      <formula>"esterreur(reference)"</formula>
    </cfRule>
  </conditionalFormatting>
  <conditionalFormatting sqref="L301">
    <cfRule type="expression" dxfId="216" priority="222" stopIfTrue="1">
      <formula>"esterreur(reference)"</formula>
    </cfRule>
  </conditionalFormatting>
  <conditionalFormatting sqref="L302">
    <cfRule type="expression" dxfId="215" priority="221" stopIfTrue="1">
      <formula>"esterreur(reference)"</formula>
    </cfRule>
  </conditionalFormatting>
  <conditionalFormatting sqref="L306">
    <cfRule type="expression" dxfId="214" priority="220" stopIfTrue="1">
      <formula>"esterreur(reference)"</formula>
    </cfRule>
  </conditionalFormatting>
  <conditionalFormatting sqref="L307">
    <cfRule type="expression" dxfId="213" priority="219" stopIfTrue="1">
      <formula>"esterreur(reference)"</formula>
    </cfRule>
  </conditionalFormatting>
  <conditionalFormatting sqref="L311">
    <cfRule type="expression" dxfId="212" priority="218" stopIfTrue="1">
      <formula>"esterreur(reference)"</formula>
    </cfRule>
  </conditionalFormatting>
  <conditionalFormatting sqref="L317">
    <cfRule type="expression" dxfId="211" priority="217" stopIfTrue="1">
      <formula>"esterreur(reference)"</formula>
    </cfRule>
  </conditionalFormatting>
  <conditionalFormatting sqref="L318">
    <cfRule type="expression" dxfId="210" priority="216" stopIfTrue="1">
      <formula>"esterreur(reference)"</formula>
    </cfRule>
  </conditionalFormatting>
  <conditionalFormatting sqref="K5">
    <cfRule type="expression" dxfId="209" priority="210" stopIfTrue="1">
      <formula>"esterreur(reference)"</formula>
    </cfRule>
  </conditionalFormatting>
  <conditionalFormatting sqref="L5">
    <cfRule type="expression" dxfId="208" priority="209" stopIfTrue="1">
      <formula>"esterreur(reference)"</formula>
    </cfRule>
  </conditionalFormatting>
  <conditionalFormatting sqref="K182">
    <cfRule type="expression" dxfId="207" priority="208" stopIfTrue="1">
      <formula>"esterreur(reference)"</formula>
    </cfRule>
  </conditionalFormatting>
  <conditionalFormatting sqref="L93">
    <cfRule type="expression" dxfId="206" priority="207" stopIfTrue="1">
      <formula>"esterreur(reference)"</formula>
    </cfRule>
  </conditionalFormatting>
  <conditionalFormatting sqref="K171">
    <cfRule type="expression" dxfId="205" priority="206" stopIfTrue="1">
      <formula>"esterreur(reference)"</formula>
    </cfRule>
  </conditionalFormatting>
  <conditionalFormatting sqref="K174">
    <cfRule type="expression" dxfId="204" priority="205" stopIfTrue="1">
      <formula>"esterreur(reference)"</formula>
    </cfRule>
  </conditionalFormatting>
  <conditionalFormatting sqref="K177">
    <cfRule type="expression" dxfId="203" priority="204" stopIfTrue="1">
      <formula>"esterreur(reference)"</formula>
    </cfRule>
  </conditionalFormatting>
  <conditionalFormatting sqref="K180">
    <cfRule type="expression" dxfId="202" priority="203" stopIfTrue="1">
      <formula>"esterreur(reference)"</formula>
    </cfRule>
  </conditionalFormatting>
  <conditionalFormatting sqref="K240">
    <cfRule type="expression" dxfId="201" priority="202" stopIfTrue="1">
      <formula>"esterreur(reference)"</formula>
    </cfRule>
  </conditionalFormatting>
  <conditionalFormatting sqref="K243">
    <cfRule type="expression" dxfId="200" priority="201" stopIfTrue="1">
      <formula>"esterreur(reference)"</formula>
    </cfRule>
  </conditionalFormatting>
  <conditionalFormatting sqref="K246">
    <cfRule type="expression" dxfId="199" priority="200" stopIfTrue="1">
      <formula>"esterreur(reference)"</formula>
    </cfRule>
  </conditionalFormatting>
  <conditionalFormatting sqref="J306:J307">
    <cfRule type="expression" dxfId="198" priority="199" stopIfTrue="1">
      <formula>"esterreur(reference)"</formula>
    </cfRule>
  </conditionalFormatting>
  <conditionalFormatting sqref="K187">
    <cfRule type="expression" dxfId="197" priority="198" stopIfTrue="1">
      <formula>"esterreur(reference)"</formula>
    </cfRule>
  </conditionalFormatting>
  <conditionalFormatting sqref="K190">
    <cfRule type="expression" dxfId="196" priority="197" stopIfTrue="1">
      <formula>"esterreur(reference)"</formula>
    </cfRule>
  </conditionalFormatting>
  <conditionalFormatting sqref="J311">
    <cfRule type="expression" dxfId="195" priority="196" stopIfTrue="1">
      <formula>"esterreur(reference)"</formula>
    </cfRule>
  </conditionalFormatting>
  <conditionalFormatting sqref="L364:L375">
    <cfRule type="expression" dxfId="194" priority="195" stopIfTrue="1">
      <formula>"esterreur(reference)"</formula>
    </cfRule>
  </conditionalFormatting>
  <conditionalFormatting sqref="L377:L393">
    <cfRule type="expression" dxfId="193" priority="194" stopIfTrue="1">
      <formula>"esterreur(reference)"</formula>
    </cfRule>
  </conditionalFormatting>
  <conditionalFormatting sqref="K93">
    <cfRule type="expression" dxfId="192" priority="193" stopIfTrue="1">
      <formula>"esterreur(reference)"</formula>
    </cfRule>
  </conditionalFormatting>
  <conditionalFormatting sqref="L240">
    <cfRule type="expression" dxfId="191" priority="192" stopIfTrue="1">
      <formula>"esterreur(reference)"</formula>
    </cfRule>
  </conditionalFormatting>
  <conditionalFormatting sqref="K239">
    <cfRule type="expression" dxfId="190" priority="191" stopIfTrue="1">
      <formula>"esterreur(reference)"</formula>
    </cfRule>
  </conditionalFormatting>
  <conditionalFormatting sqref="L239">
    <cfRule type="expression" dxfId="189" priority="190" stopIfTrue="1">
      <formula>"esterreur(reference)"</formula>
    </cfRule>
  </conditionalFormatting>
  <conditionalFormatting sqref="F183">
    <cfRule type="expression" dxfId="188" priority="189" stopIfTrue="1">
      <formula>"esterreur(reference)"</formula>
    </cfRule>
  </conditionalFormatting>
  <conditionalFormatting sqref="J359">
    <cfRule type="expression" dxfId="187" priority="188" stopIfTrue="1">
      <formula>"esterreur(reference)"</formula>
    </cfRule>
  </conditionalFormatting>
  <conditionalFormatting sqref="L359">
    <cfRule type="expression" dxfId="186" priority="187" stopIfTrue="1">
      <formula>"esterreur(reference)"</formula>
    </cfRule>
  </conditionalFormatting>
  <conditionalFormatting sqref="S185">
    <cfRule type="expression" dxfId="185" priority="186" stopIfTrue="1">
      <formula>"esterreur(reference)"</formula>
    </cfRule>
  </conditionalFormatting>
  <conditionalFormatting sqref="K286">
    <cfRule type="expression" dxfId="184" priority="185" stopIfTrue="1">
      <formula>"esterreur(reference)"</formula>
    </cfRule>
  </conditionalFormatting>
  <conditionalFormatting sqref="AO408:AO413">
    <cfRule type="cellIs" dxfId="183" priority="184" operator="greaterThan">
      <formula>0</formula>
    </cfRule>
  </conditionalFormatting>
  <conditionalFormatting sqref="L71">
    <cfRule type="expression" dxfId="182" priority="183" stopIfTrue="1">
      <formula>"esterreur(reference)"</formula>
    </cfRule>
  </conditionalFormatting>
  <conditionalFormatting sqref="L210">
    <cfRule type="expression" dxfId="181" priority="180" stopIfTrue="1">
      <formula>"esterreur(reference)"</formula>
    </cfRule>
  </conditionalFormatting>
  <conditionalFormatting sqref="L122">
    <cfRule type="expression" dxfId="180" priority="182" stopIfTrue="1">
      <formula>"esterreur(reference)"</formula>
    </cfRule>
  </conditionalFormatting>
  <conditionalFormatting sqref="L266">
    <cfRule type="expression" dxfId="179" priority="179" stopIfTrue="1">
      <formula>"esterreur(reference)"</formula>
    </cfRule>
  </conditionalFormatting>
  <conditionalFormatting sqref="L135">
    <cfRule type="expression" dxfId="178" priority="181" stopIfTrue="1">
      <formula>"esterreur(reference)"</formula>
    </cfRule>
  </conditionalFormatting>
  <conditionalFormatting sqref="L330">
    <cfRule type="expression" dxfId="177" priority="178" stopIfTrue="1">
      <formula>"esterreur(reference)"</formula>
    </cfRule>
  </conditionalFormatting>
  <conditionalFormatting sqref="L75">
    <cfRule type="expression" dxfId="176" priority="177" stopIfTrue="1">
      <formula>"esterreur(reference)"</formula>
    </cfRule>
  </conditionalFormatting>
  <conditionalFormatting sqref="L60">
    <cfRule type="expression" dxfId="175" priority="175" stopIfTrue="1">
      <formula>"esterreur(reference)"</formula>
    </cfRule>
  </conditionalFormatting>
  <conditionalFormatting sqref="L59">
    <cfRule type="expression" dxfId="174" priority="176" stopIfTrue="1">
      <formula>"esterreur(reference)"</formula>
    </cfRule>
  </conditionalFormatting>
  <conditionalFormatting sqref="F5">
    <cfRule type="expression" dxfId="173" priority="174" stopIfTrue="1">
      <formula>"esterreur(reference)"</formula>
    </cfRule>
  </conditionalFormatting>
  <conditionalFormatting sqref="O25:Q30 Q18 O83:Q85 O41:Q41 O72:Q72 Q24 O13:O14 O16 O18:O24 O49:Q54 Q6:Q14 O31:P40 O42:P48">
    <cfRule type="expression" dxfId="172" priority="169" stopIfTrue="1">
      <formula>"esterreur(reference)"</formula>
    </cfRule>
  </conditionalFormatting>
  <conditionalFormatting sqref="P5">
    <cfRule type="expression" dxfId="171" priority="146" stopIfTrue="1">
      <formula>"esterreur(reference)"</formula>
    </cfRule>
  </conditionalFormatting>
  <conditionalFormatting sqref="Q32">
    <cfRule type="expression" dxfId="170" priority="164" stopIfTrue="1">
      <formula>"esterreur(reference)"</formula>
    </cfRule>
  </conditionalFormatting>
  <conditionalFormatting sqref="Q35">
    <cfRule type="expression" dxfId="169" priority="163" stopIfTrue="1">
      <formula>"esterreur(reference)"</formula>
    </cfRule>
  </conditionalFormatting>
  <conditionalFormatting sqref="O55:P56 O71:P71">
    <cfRule type="expression" dxfId="168" priority="170" stopIfTrue="1">
      <formula>"esterreur(reference)"</formula>
    </cfRule>
  </conditionalFormatting>
  <conditionalFormatting sqref="O61:P70">
    <cfRule type="expression" dxfId="167" priority="171" stopIfTrue="1">
      <formula>"esterreur(reference)"</formula>
    </cfRule>
  </conditionalFormatting>
  <conditionalFormatting sqref="O57:P59">
    <cfRule type="expression" dxfId="166" priority="172" stopIfTrue="1">
      <formula>"esterreur(reference)"</formula>
    </cfRule>
  </conditionalFormatting>
  <conditionalFormatting sqref="O60:P60">
    <cfRule type="expression" dxfId="165" priority="173" stopIfTrue="1">
      <formula>"esterreur(reference)"</formula>
    </cfRule>
  </conditionalFormatting>
  <conditionalFormatting sqref="Q19 Q21:Q23">
    <cfRule type="expression" dxfId="164" priority="167" stopIfTrue="1">
      <formula>"esterreur(reference)"</formula>
    </cfRule>
  </conditionalFormatting>
  <conditionalFormatting sqref="Q16:Q17">
    <cfRule type="expression" dxfId="163" priority="168" stopIfTrue="1">
      <formula>"esterreur(reference)"</formula>
    </cfRule>
  </conditionalFormatting>
  <conditionalFormatting sqref="Q20">
    <cfRule type="expression" dxfId="162" priority="166" stopIfTrue="1">
      <formula>"esterreur(reference)"</formula>
    </cfRule>
  </conditionalFormatting>
  <conditionalFormatting sqref="Q31 Q33:Q34">
    <cfRule type="expression" dxfId="161" priority="165" stopIfTrue="1">
      <formula>"esterreur(reference)"</formula>
    </cfRule>
  </conditionalFormatting>
  <conditionalFormatting sqref="Q42">
    <cfRule type="expression" dxfId="160" priority="162" stopIfTrue="1">
      <formula>"esterreur(reference)"</formula>
    </cfRule>
  </conditionalFormatting>
  <conditionalFormatting sqref="Q43">
    <cfRule type="expression" dxfId="159" priority="161" stopIfTrue="1">
      <formula>"esterreur(reference)"</formula>
    </cfRule>
  </conditionalFormatting>
  <conditionalFormatting sqref="Q44">
    <cfRule type="expression" dxfId="158" priority="160" stopIfTrue="1">
      <formula>"esterreur(reference)"</formula>
    </cfRule>
  </conditionalFormatting>
  <conditionalFormatting sqref="Q45:Q48">
    <cfRule type="expression" dxfId="157" priority="159" stopIfTrue="1">
      <formula>"esterreur(reference)"</formula>
    </cfRule>
  </conditionalFormatting>
  <conditionalFormatting sqref="Q55">
    <cfRule type="expression" dxfId="156" priority="158" stopIfTrue="1">
      <formula>"esterreur(reference)"</formula>
    </cfRule>
  </conditionalFormatting>
  <conditionalFormatting sqref="Q56">
    <cfRule type="expression" dxfId="155" priority="157" stopIfTrue="1">
      <formula>"esterreur(reference)"</formula>
    </cfRule>
  </conditionalFormatting>
  <conditionalFormatting sqref="Q58">
    <cfRule type="expression" dxfId="154" priority="156" stopIfTrue="1">
      <formula>"esterreur(reference)"</formula>
    </cfRule>
  </conditionalFormatting>
  <conditionalFormatting sqref="Q61">
    <cfRule type="expression" dxfId="153" priority="155" stopIfTrue="1">
      <formula>"esterreur(reference)"</formula>
    </cfRule>
  </conditionalFormatting>
  <conditionalFormatting sqref="Q63">
    <cfRule type="expression" dxfId="152" priority="154" stopIfTrue="1">
      <formula>"esterreur(reference)"</formula>
    </cfRule>
  </conditionalFormatting>
  <conditionalFormatting sqref="Q62">
    <cfRule type="expression" dxfId="151" priority="153" stopIfTrue="1">
      <formula>"esterreur(reference)"</formula>
    </cfRule>
  </conditionalFormatting>
  <conditionalFormatting sqref="Q64">
    <cfRule type="expression" dxfId="150" priority="152" stopIfTrue="1">
      <formula>"esterreur(reference)"</formula>
    </cfRule>
  </conditionalFormatting>
  <conditionalFormatting sqref="Q65">
    <cfRule type="expression" dxfId="149" priority="151" stopIfTrue="1">
      <formula>"esterreur(reference)"</formula>
    </cfRule>
  </conditionalFormatting>
  <conditionalFormatting sqref="Q66:Q69">
    <cfRule type="expression" dxfId="148" priority="150" stopIfTrue="1">
      <formula>"esterreur(reference)"</formula>
    </cfRule>
  </conditionalFormatting>
  <conditionalFormatting sqref="Q70">
    <cfRule type="expression" dxfId="147" priority="149" stopIfTrue="1">
      <formula>"esterreur(reference)"</formula>
    </cfRule>
  </conditionalFormatting>
  <conditionalFormatting sqref="Q75:Q82">
    <cfRule type="expression" dxfId="146" priority="148" stopIfTrue="1">
      <formula>"esterreur(reference)"</formula>
    </cfRule>
  </conditionalFormatting>
  <conditionalFormatting sqref="Q57">
    <cfRule type="expression" dxfId="145" priority="147" stopIfTrue="1">
      <formula>"esterreur(reference)"</formula>
    </cfRule>
  </conditionalFormatting>
  <conditionalFormatting sqref="Q5">
    <cfRule type="expression" dxfId="144" priority="145" stopIfTrue="1">
      <formula>"esterreur(reference)"</formula>
    </cfRule>
  </conditionalFormatting>
  <conditionalFormatting sqref="Q71">
    <cfRule type="expression" dxfId="143" priority="144" stopIfTrue="1">
      <formula>"esterreur(reference)"</formula>
    </cfRule>
  </conditionalFormatting>
  <conditionalFormatting sqref="Q60">
    <cfRule type="expression" dxfId="142" priority="142" stopIfTrue="1">
      <formula>"esterreur(reference)"</formula>
    </cfRule>
  </conditionalFormatting>
  <conditionalFormatting sqref="P98">
    <cfRule type="expression" dxfId="141" priority="141" stopIfTrue="1">
      <formula>"esterreur(reference)"</formula>
    </cfRule>
  </conditionalFormatting>
  <conditionalFormatting sqref="Q59">
    <cfRule type="expression" dxfId="140" priority="14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39" priority="137" stopIfTrue="1">
      <formula>"esterreur(reference)"</formula>
    </cfRule>
  </conditionalFormatting>
  <conditionalFormatting sqref="O141:P147">
    <cfRule type="expression" dxfId="138" priority="138" stopIfTrue="1">
      <formula>"esterreur(reference)"</formula>
    </cfRule>
  </conditionalFormatting>
  <conditionalFormatting sqref="O137:P139">
    <cfRule type="expression" dxfId="137" priority="139" stopIfTrue="1">
      <formula>"esterreur(reference)"</formula>
    </cfRule>
  </conditionalFormatting>
  <conditionalFormatting sqref="O140:P140">
    <cfRule type="expression" dxfId="136" priority="140" stopIfTrue="1">
      <formula>"esterreur(reference)"</formula>
    </cfRule>
  </conditionalFormatting>
  <conditionalFormatting sqref="Q94:Q95">
    <cfRule type="expression" dxfId="135" priority="136" stopIfTrue="1">
      <formula>"esterreur(reference)"</formula>
    </cfRule>
  </conditionalFormatting>
  <conditionalFormatting sqref="Q98">
    <cfRule type="expression" dxfId="134" priority="135" stopIfTrue="1">
      <formula>"esterreur(reference)"</formula>
    </cfRule>
  </conditionalFormatting>
  <conditionalFormatting sqref="Q99">
    <cfRule type="expression" dxfId="133" priority="134" stopIfTrue="1">
      <formula>"esterreur(reference)"</formula>
    </cfRule>
  </conditionalFormatting>
  <conditionalFormatting sqref="Q101">
    <cfRule type="expression" dxfId="132" priority="133" stopIfTrue="1">
      <formula>"esterreur(reference)"</formula>
    </cfRule>
  </conditionalFormatting>
  <conditionalFormatting sqref="Q102">
    <cfRule type="expression" dxfId="131" priority="132" stopIfTrue="1">
      <formula>"esterreur(reference)"</formula>
    </cfRule>
  </conditionalFormatting>
  <conditionalFormatting sqref="Q103">
    <cfRule type="expression" dxfId="130" priority="131" stopIfTrue="1">
      <formula>"esterreur(reference)"</formula>
    </cfRule>
  </conditionalFormatting>
  <conditionalFormatting sqref="Q111">
    <cfRule type="expression" dxfId="129" priority="130" stopIfTrue="1">
      <formula>"esterreur(reference)"</formula>
    </cfRule>
  </conditionalFormatting>
  <conditionalFormatting sqref="Q112">
    <cfRule type="expression" dxfId="128" priority="129" stopIfTrue="1">
      <formula>"esterreur(reference)"</formula>
    </cfRule>
  </conditionalFormatting>
  <conditionalFormatting sqref="Q114">
    <cfRule type="expression" dxfId="127" priority="128" stopIfTrue="1">
      <formula>"esterreur(reference)"</formula>
    </cfRule>
  </conditionalFormatting>
  <conditionalFormatting sqref="Q116:Q119">
    <cfRule type="expression" dxfId="126" priority="127" stopIfTrue="1">
      <formula>"esterreur(reference)"</formula>
    </cfRule>
  </conditionalFormatting>
  <conditionalFormatting sqref="Q120">
    <cfRule type="expression" dxfId="125" priority="126" stopIfTrue="1">
      <formula>"esterreur(reference)"</formula>
    </cfRule>
  </conditionalFormatting>
  <conditionalFormatting sqref="Q130">
    <cfRule type="expression" dxfId="124" priority="123" stopIfTrue="1">
      <formula>"esterreur(reference)"</formula>
    </cfRule>
  </conditionalFormatting>
  <conditionalFormatting sqref="Q124">
    <cfRule type="expression" dxfId="123" priority="125" stopIfTrue="1">
      <formula>"esterreur(reference)"</formula>
    </cfRule>
  </conditionalFormatting>
  <conditionalFormatting sqref="Q123">
    <cfRule type="expression" dxfId="122" priority="124" stopIfTrue="1">
      <formula>"esterreur(reference)"</formula>
    </cfRule>
  </conditionalFormatting>
  <conditionalFormatting sqref="Q139">
    <cfRule type="expression" dxfId="121" priority="116" stopIfTrue="1">
      <formula>"esterreur(reference)"</formula>
    </cfRule>
  </conditionalFormatting>
  <conditionalFormatting sqref="Q131">
    <cfRule type="expression" dxfId="120" priority="122" stopIfTrue="1">
      <formula>"esterreur(reference)"</formula>
    </cfRule>
  </conditionalFormatting>
  <conditionalFormatting sqref="Q132">
    <cfRule type="expression" dxfId="119" priority="121" stopIfTrue="1">
      <formula>"esterreur(reference)"</formula>
    </cfRule>
  </conditionalFormatting>
  <conditionalFormatting sqref="Q133">
    <cfRule type="expression" dxfId="118" priority="120" stopIfTrue="1">
      <formula>"esterreur(reference)"</formula>
    </cfRule>
  </conditionalFormatting>
  <conditionalFormatting sqref="Q141">
    <cfRule type="expression" dxfId="117" priority="114" stopIfTrue="1">
      <formula>"esterreur(reference)"</formula>
    </cfRule>
  </conditionalFormatting>
  <conditionalFormatting sqref="Q136">
    <cfRule type="expression" dxfId="116" priority="119" stopIfTrue="1">
      <formula>"esterreur(reference)"</formula>
    </cfRule>
  </conditionalFormatting>
  <conditionalFormatting sqref="Q137">
    <cfRule type="expression" dxfId="115" priority="118" stopIfTrue="1">
      <formula>"esterreur(reference)"</formula>
    </cfRule>
  </conditionalFormatting>
  <conditionalFormatting sqref="Q138">
    <cfRule type="expression" dxfId="114" priority="117" stopIfTrue="1">
      <formula>"esterreur(reference)"</formula>
    </cfRule>
  </conditionalFormatting>
  <conditionalFormatting sqref="Q143">
    <cfRule type="expression" dxfId="113" priority="112" stopIfTrue="1">
      <formula>"esterreur(reference)"</formula>
    </cfRule>
  </conditionalFormatting>
  <conditionalFormatting sqref="Q140">
    <cfRule type="expression" dxfId="112" priority="115" stopIfTrue="1">
      <formula>"esterreur(reference)"</formula>
    </cfRule>
  </conditionalFormatting>
  <conditionalFormatting sqref="Q142">
    <cfRule type="expression" dxfId="111" priority="113" stopIfTrue="1">
      <formula>"esterreur(reference)"</formula>
    </cfRule>
  </conditionalFormatting>
  <conditionalFormatting sqref="Q144">
    <cfRule type="expression" dxfId="110" priority="111" stopIfTrue="1">
      <formula>"esterreur(reference)"</formula>
    </cfRule>
  </conditionalFormatting>
  <conditionalFormatting sqref="Q145">
    <cfRule type="expression" dxfId="109" priority="110" stopIfTrue="1">
      <formula>"esterreur(reference)"</formula>
    </cfRule>
  </conditionalFormatting>
  <conditionalFormatting sqref="Q146">
    <cfRule type="expression" dxfId="108" priority="109" stopIfTrue="1">
      <formula>"esterreur(reference)"</formula>
    </cfRule>
  </conditionalFormatting>
  <conditionalFormatting sqref="Q147">
    <cfRule type="expression" dxfId="107" priority="108" stopIfTrue="1">
      <formula>"esterreur(reference)"</formula>
    </cfRule>
  </conditionalFormatting>
  <conditionalFormatting sqref="Q113">
    <cfRule type="expression" dxfId="106" priority="105" stopIfTrue="1">
      <formula>"esterreur(reference)"</formula>
    </cfRule>
  </conditionalFormatting>
  <conditionalFormatting sqref="Q155:Q161">
    <cfRule type="expression" dxfId="105" priority="107" stopIfTrue="1">
      <formula>"esterreur(reference)"</formula>
    </cfRule>
  </conditionalFormatting>
  <conditionalFormatting sqref="Q93">
    <cfRule type="expression" dxfId="104" priority="104" stopIfTrue="1">
      <formula>"esterreur(reference)"</formula>
    </cfRule>
  </conditionalFormatting>
  <conditionalFormatting sqref="Q115">
    <cfRule type="expression" dxfId="103" priority="106" stopIfTrue="1">
      <formula>"esterreur(reference)"</formula>
    </cfRule>
  </conditionalFormatting>
  <conditionalFormatting sqref="P93">
    <cfRule type="expression" dxfId="102" priority="103" stopIfTrue="1">
      <formula>"esterreur(reference)"</formula>
    </cfRule>
  </conditionalFormatting>
  <conditionalFormatting sqref="Q122">
    <cfRule type="expression" dxfId="101" priority="102" stopIfTrue="1">
      <formula>"esterreur(reference)"</formula>
    </cfRule>
  </conditionalFormatting>
  <conditionalFormatting sqref="Q135">
    <cfRule type="expression" dxfId="100" priority="10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99" priority="98" stopIfTrue="1">
      <formula>"esterreur(reference)"</formula>
    </cfRule>
  </conditionalFormatting>
  <conditionalFormatting sqref="O219:P224">
    <cfRule type="expression" dxfId="98" priority="99" stopIfTrue="1">
      <formula>"esterreur(reference)"</formula>
    </cfRule>
  </conditionalFormatting>
  <conditionalFormatting sqref="O196:Q196">
    <cfRule type="expression" dxfId="97" priority="100" stopIfTrue="1">
      <formula>"esterreur(reference)"</formula>
    </cfRule>
  </conditionalFormatting>
  <conditionalFormatting sqref="Q207">
    <cfRule type="expression" dxfId="96" priority="84" stopIfTrue="1">
      <formula>"esterreur(reference)"</formula>
    </cfRule>
  </conditionalFormatting>
  <conditionalFormatting sqref="Q227">
    <cfRule type="expression" dxfId="95" priority="80" stopIfTrue="1">
      <formula>"esterreur(reference)"</formula>
    </cfRule>
  </conditionalFormatting>
  <conditionalFormatting sqref="Q171">
    <cfRule type="expression" dxfId="94" priority="97" stopIfTrue="1">
      <formula>"esterreur(reference)"</formula>
    </cfRule>
  </conditionalFormatting>
  <conditionalFormatting sqref="Q174">
    <cfRule type="expression" dxfId="93" priority="96" stopIfTrue="1">
      <formula>"esterreur(reference)"</formula>
    </cfRule>
  </conditionalFormatting>
  <conditionalFormatting sqref="Q177">
    <cfRule type="expression" dxfId="92" priority="95" stopIfTrue="1">
      <formula>"esterreur(reference)"</formula>
    </cfRule>
  </conditionalFormatting>
  <conditionalFormatting sqref="Q183">
    <cfRule type="expression" dxfId="91" priority="94" stopIfTrue="1">
      <formula>"esterreur(reference)"</formula>
    </cfRule>
  </conditionalFormatting>
  <conditionalFormatting sqref="Q187">
    <cfRule type="expression" dxfId="90" priority="93" stopIfTrue="1">
      <formula>"esterreur(reference)"</formula>
    </cfRule>
  </conditionalFormatting>
  <conditionalFormatting sqref="Q197">
    <cfRule type="expression" dxfId="89" priority="92" stopIfTrue="1">
      <formula>"esterreur(reference)"</formula>
    </cfRule>
  </conditionalFormatting>
  <conditionalFormatting sqref="Q199">
    <cfRule type="expression" dxfId="88" priority="91" stopIfTrue="1">
      <formula>"esterreur(reference)"</formula>
    </cfRule>
  </conditionalFormatting>
  <conditionalFormatting sqref="Q198">
    <cfRule type="expression" dxfId="87" priority="90" stopIfTrue="1">
      <formula>"esterreur(reference)"</formula>
    </cfRule>
  </conditionalFormatting>
  <conditionalFormatting sqref="Q200">
    <cfRule type="expression" dxfId="86" priority="89" stopIfTrue="1">
      <formula>"esterreur(reference)"</formula>
    </cfRule>
  </conditionalFormatting>
  <conditionalFormatting sqref="Q201">
    <cfRule type="expression" dxfId="85" priority="88" stopIfTrue="1">
      <formula>"esterreur(reference)"</formula>
    </cfRule>
  </conditionalFormatting>
  <conditionalFormatting sqref="Q202:Q204">
    <cfRule type="expression" dxfId="84" priority="87" stopIfTrue="1">
      <formula>"esterreur(reference)"</formula>
    </cfRule>
  </conditionalFormatting>
  <conditionalFormatting sqref="Q206">
    <cfRule type="expression" dxfId="83" priority="85" stopIfTrue="1">
      <formula>"esterreur(reference)"</formula>
    </cfRule>
  </conditionalFormatting>
  <conditionalFormatting sqref="Q205">
    <cfRule type="expression" dxfId="82" priority="86" stopIfTrue="1">
      <formula>"esterreur(reference)"</formula>
    </cfRule>
  </conditionalFormatting>
  <conditionalFormatting sqref="Q208">
    <cfRule type="expression" dxfId="81" priority="83" stopIfTrue="1">
      <formula>"esterreur(reference)"</formula>
    </cfRule>
  </conditionalFormatting>
  <conditionalFormatting sqref="Q211:Q224">
    <cfRule type="expression" dxfId="80" priority="82" stopIfTrue="1">
      <formula>"esterreur(reference)"</formula>
    </cfRule>
  </conditionalFormatting>
  <conditionalFormatting sqref="Q225:Q226">
    <cfRule type="expression" dxfId="79" priority="81" stopIfTrue="1">
      <formula>"esterreur(reference)"</formula>
    </cfRule>
  </conditionalFormatting>
  <conditionalFormatting sqref="Q180">
    <cfRule type="expression" dxfId="78" priority="79" stopIfTrue="1">
      <formula>"esterreur(reference)"</formula>
    </cfRule>
  </conditionalFormatting>
  <conditionalFormatting sqref="P182">
    <cfRule type="expression" dxfId="77" priority="78" stopIfTrue="1">
      <formula>"esterreur(reference)"</formula>
    </cfRule>
  </conditionalFormatting>
  <conditionalFormatting sqref="P171">
    <cfRule type="expression" dxfId="76" priority="77" stopIfTrue="1">
      <formula>"esterreur(reference)"</formula>
    </cfRule>
  </conditionalFormatting>
  <conditionalFormatting sqref="P174">
    <cfRule type="expression" dxfId="75" priority="76" stopIfTrue="1">
      <formula>"esterreur(reference)"</formula>
    </cfRule>
  </conditionalFormatting>
  <conditionalFormatting sqref="P177">
    <cfRule type="expression" dxfId="74" priority="75" stopIfTrue="1">
      <formula>"esterreur(reference)"</formula>
    </cfRule>
  </conditionalFormatting>
  <conditionalFormatting sqref="P180">
    <cfRule type="expression" dxfId="73" priority="74" stopIfTrue="1">
      <formula>"esterreur(reference)"</formula>
    </cfRule>
  </conditionalFormatting>
  <conditionalFormatting sqref="P187">
    <cfRule type="expression" dxfId="72" priority="73" stopIfTrue="1">
      <formula>"esterreur(reference)"</formula>
    </cfRule>
  </conditionalFormatting>
  <conditionalFormatting sqref="P190">
    <cfRule type="expression" dxfId="71" priority="72" stopIfTrue="1">
      <formula>"esterreur(reference)"</formula>
    </cfRule>
  </conditionalFormatting>
  <conditionalFormatting sqref="Q210">
    <cfRule type="expression" dxfId="70" priority="71" stopIfTrue="1">
      <formula>"esterreur(reference)"</formula>
    </cfRule>
  </conditionalFormatting>
  <conditionalFormatting sqref="O287:Q287 O288:P288 O242:Q242 O251:Q252 O284:Q284 Q275:Q283 O253:P274">
    <cfRule type="expression" dxfId="69" priority="68" stopIfTrue="1">
      <formula>"esterreur(reference)"</formula>
    </cfRule>
  </conditionalFormatting>
  <conditionalFormatting sqref="O275:P280">
    <cfRule type="expression" dxfId="68" priority="69" stopIfTrue="1">
      <formula>"esterreur(reference)"</formula>
    </cfRule>
  </conditionalFormatting>
  <conditionalFormatting sqref="O281:P283">
    <cfRule type="expression" dxfId="67" priority="70" stopIfTrue="1">
      <formula>"esterreur(reference)"</formula>
    </cfRule>
  </conditionalFormatting>
  <conditionalFormatting sqref="Q271">
    <cfRule type="expression" dxfId="66" priority="50" stopIfTrue="1">
      <formula>"esterreur(reference)"</formula>
    </cfRule>
  </conditionalFormatting>
  <conditionalFormatting sqref="Q274">
    <cfRule type="expression" dxfId="65" priority="48" stopIfTrue="1">
      <formula>"esterreur(reference)"</formula>
    </cfRule>
  </conditionalFormatting>
  <conditionalFormatting sqref="Q243">
    <cfRule type="expression" dxfId="64" priority="67" stopIfTrue="1">
      <formula>"esterreur(reference)"</formula>
    </cfRule>
  </conditionalFormatting>
  <conditionalFormatting sqref="Q246">
    <cfRule type="expression" dxfId="63" priority="66" stopIfTrue="1">
      <formula>"esterreur(reference)"</formula>
    </cfRule>
  </conditionalFormatting>
  <conditionalFormatting sqref="Q253">
    <cfRule type="expression" dxfId="62" priority="65" stopIfTrue="1">
      <formula>"esterreur(reference)"</formula>
    </cfRule>
  </conditionalFormatting>
  <conditionalFormatting sqref="Q254">
    <cfRule type="expression" dxfId="61" priority="64" stopIfTrue="1">
      <formula>"esterreur(reference)"</formula>
    </cfRule>
  </conditionalFormatting>
  <conditionalFormatting sqref="Q255">
    <cfRule type="expression" dxfId="60" priority="63" stopIfTrue="1">
      <formula>"esterreur(reference)"</formula>
    </cfRule>
  </conditionalFormatting>
  <conditionalFormatting sqref="Q256">
    <cfRule type="expression" dxfId="59" priority="62" stopIfTrue="1">
      <formula>"esterreur(reference)"</formula>
    </cfRule>
  </conditionalFormatting>
  <conditionalFormatting sqref="Q257">
    <cfRule type="expression" dxfId="58" priority="61" stopIfTrue="1">
      <formula>"esterreur(reference)"</formula>
    </cfRule>
  </conditionalFormatting>
  <conditionalFormatting sqref="Q258">
    <cfRule type="expression" dxfId="57" priority="60" stopIfTrue="1">
      <formula>"esterreur(reference)"</formula>
    </cfRule>
  </conditionalFormatting>
  <conditionalFormatting sqref="Q259">
    <cfRule type="expression" dxfId="56" priority="59" stopIfTrue="1">
      <formula>"esterreur(reference)"</formula>
    </cfRule>
  </conditionalFormatting>
  <conditionalFormatting sqref="Q260">
    <cfRule type="expression" dxfId="55" priority="58" stopIfTrue="1">
      <formula>"esterreur(reference)"</formula>
    </cfRule>
  </conditionalFormatting>
  <conditionalFormatting sqref="Q261">
    <cfRule type="expression" dxfId="54" priority="57" stopIfTrue="1">
      <formula>"esterreur(reference)"</formula>
    </cfRule>
  </conditionalFormatting>
  <conditionalFormatting sqref="Q262">
    <cfRule type="expression" dxfId="53" priority="56" stopIfTrue="1">
      <formula>"esterreur(reference)"</formula>
    </cfRule>
  </conditionalFormatting>
  <conditionalFormatting sqref="Q263:Q264">
    <cfRule type="expression" dxfId="52" priority="55" stopIfTrue="1">
      <formula>"esterreur(reference)"</formula>
    </cfRule>
  </conditionalFormatting>
  <conditionalFormatting sqref="Q268">
    <cfRule type="expression" dxfId="51" priority="53" stopIfTrue="1">
      <formula>"esterreur(reference)"</formula>
    </cfRule>
  </conditionalFormatting>
  <conditionalFormatting sqref="Q267">
    <cfRule type="expression" dxfId="50" priority="54" stopIfTrue="1">
      <formula>"esterreur(reference)"</formula>
    </cfRule>
  </conditionalFormatting>
  <conditionalFormatting sqref="Q269">
    <cfRule type="expression" dxfId="49" priority="52" stopIfTrue="1">
      <formula>"esterreur(reference)"</formula>
    </cfRule>
  </conditionalFormatting>
  <conditionalFormatting sqref="Q270">
    <cfRule type="expression" dxfId="48" priority="51" stopIfTrue="1">
      <formula>"esterreur(reference)"</formula>
    </cfRule>
  </conditionalFormatting>
  <conditionalFormatting sqref="Q272:Q273">
    <cfRule type="expression" dxfId="47" priority="49" stopIfTrue="1">
      <formula>"esterreur(reference)"</formula>
    </cfRule>
  </conditionalFormatting>
  <conditionalFormatting sqref="P240">
    <cfRule type="expression" dxfId="46" priority="47" stopIfTrue="1">
      <formula>"esterreur(reference)"</formula>
    </cfRule>
  </conditionalFormatting>
  <conditionalFormatting sqref="P243">
    <cfRule type="expression" dxfId="45" priority="46" stopIfTrue="1">
      <formula>"esterreur(reference)"</formula>
    </cfRule>
  </conditionalFormatting>
  <conditionalFormatting sqref="P246">
    <cfRule type="expression" dxfId="44" priority="45" stopIfTrue="1">
      <formula>"esterreur(reference)"</formula>
    </cfRule>
  </conditionalFormatting>
  <conditionalFormatting sqref="Q240">
    <cfRule type="expression" dxfId="43" priority="44" stopIfTrue="1">
      <formula>"esterreur(reference)"</formula>
    </cfRule>
  </conditionalFormatting>
  <conditionalFormatting sqref="P286">
    <cfRule type="expression" dxfId="42" priority="43" stopIfTrue="1">
      <formula>"esterreur(reference)"</formula>
    </cfRule>
  </conditionalFormatting>
  <conditionalFormatting sqref="Q266">
    <cfRule type="expression" dxfId="41" priority="4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" priority="40" stopIfTrue="1">
      <formula>"esterreur(reference)"</formula>
    </cfRule>
  </conditionalFormatting>
  <conditionalFormatting sqref="O316:Q316">
    <cfRule type="expression" dxfId="39" priority="41" stopIfTrue="1">
      <formula>"esterreur(reference)"</formula>
    </cfRule>
  </conditionalFormatting>
  <conditionalFormatting sqref="Q331:Q347">
    <cfRule type="expression" dxfId="38" priority="27" stopIfTrue="1">
      <formula>"esterreur(reference)"</formula>
    </cfRule>
  </conditionalFormatting>
  <conditionalFormatting sqref="Q325">
    <cfRule type="expression" dxfId="37" priority="31" stopIfTrue="1">
      <formula>"esterreur(reference)"</formula>
    </cfRule>
  </conditionalFormatting>
  <conditionalFormatting sqref="Q326">
    <cfRule type="expression" dxfId="36" priority="30" stopIfTrue="1">
      <formula>"esterreur(reference)"</formula>
    </cfRule>
  </conditionalFormatting>
  <conditionalFormatting sqref="Q327">
    <cfRule type="expression" dxfId="35" priority="29" stopIfTrue="1">
      <formula>"esterreur(reference)"</formula>
    </cfRule>
  </conditionalFormatting>
  <conditionalFormatting sqref="Q328">
    <cfRule type="expression" dxfId="34" priority="28" stopIfTrue="1">
      <formula>"esterreur(reference)"</formula>
    </cfRule>
  </conditionalFormatting>
  <conditionalFormatting sqref="Q294:Q300">
    <cfRule type="expression" dxfId="33" priority="39" stopIfTrue="1">
      <formula>"esterreur(reference)"</formula>
    </cfRule>
  </conditionalFormatting>
  <conditionalFormatting sqref="Q301">
    <cfRule type="expression" dxfId="32" priority="38" stopIfTrue="1">
      <formula>"esterreur(reference)"</formula>
    </cfRule>
  </conditionalFormatting>
  <conditionalFormatting sqref="Q302">
    <cfRule type="expression" dxfId="31" priority="37" stopIfTrue="1">
      <formula>"esterreur(reference)"</formula>
    </cfRule>
  </conditionalFormatting>
  <conditionalFormatting sqref="Q306">
    <cfRule type="expression" dxfId="30" priority="36" stopIfTrue="1">
      <formula>"esterreur(reference)"</formula>
    </cfRule>
  </conditionalFormatting>
  <conditionalFormatting sqref="Q307">
    <cfRule type="expression" dxfId="29" priority="35" stopIfTrue="1">
      <formula>"esterreur(reference)"</formula>
    </cfRule>
  </conditionalFormatting>
  <conditionalFormatting sqref="Q311">
    <cfRule type="expression" dxfId="28" priority="34" stopIfTrue="1">
      <formula>"esterreur(reference)"</formula>
    </cfRule>
  </conditionalFormatting>
  <conditionalFormatting sqref="Q317">
    <cfRule type="expression" dxfId="27" priority="33" stopIfTrue="1">
      <formula>"esterreur(reference)"</formula>
    </cfRule>
  </conditionalFormatting>
  <conditionalFormatting sqref="Q318">
    <cfRule type="expression" dxfId="26" priority="32" stopIfTrue="1">
      <formula>"esterreur(reference)"</formula>
    </cfRule>
  </conditionalFormatting>
  <conditionalFormatting sqref="O306:O307">
    <cfRule type="expression" dxfId="25" priority="26" stopIfTrue="1">
      <formula>"esterreur(reference)"</formula>
    </cfRule>
  </conditionalFormatting>
  <conditionalFormatting sqref="O311">
    <cfRule type="expression" dxfId="24" priority="25" stopIfTrue="1">
      <formula>"esterreur(reference)"</formula>
    </cfRule>
  </conditionalFormatting>
  <conditionalFormatting sqref="Q330">
    <cfRule type="expression" dxfId="23" priority="24" stopIfTrue="1">
      <formula>"esterreur(reference)"</formula>
    </cfRule>
  </conditionalFormatting>
  <conditionalFormatting sqref="O363:Q363 O364:P375">
    <cfRule type="expression" dxfId="22" priority="18" stopIfTrue="1">
      <formula>"esterreur(reference)"</formula>
    </cfRule>
  </conditionalFormatting>
  <conditionalFormatting sqref="O358:Q358">
    <cfRule type="expression" dxfId="21" priority="19" stopIfTrue="1">
      <formula>"esterreur(reference)"</formula>
    </cfRule>
  </conditionalFormatting>
  <conditionalFormatting sqref="O376:Q376 O377:P392">
    <cfRule type="expression" dxfId="20" priority="20" stopIfTrue="1">
      <formula>"esterreur(reference)"</formula>
    </cfRule>
  </conditionalFormatting>
  <conditionalFormatting sqref="O395:Q398 O393:P393">
    <cfRule type="expression" dxfId="19" priority="21" stopIfTrue="1">
      <formula>"esterreur(reference)"</formula>
    </cfRule>
  </conditionalFormatting>
  <conditionalFormatting sqref="O360:Q362 P359">
    <cfRule type="expression" dxfId="18" priority="22" stopIfTrue="1">
      <formula>"esterreur(reference)"</formula>
    </cfRule>
  </conditionalFormatting>
  <conditionalFormatting sqref="P394">
    <cfRule type="expression" dxfId="17" priority="23" stopIfTrue="1">
      <formula>"esterreur(reference)"</formula>
    </cfRule>
  </conditionalFormatting>
  <conditionalFormatting sqref="Q364:Q375">
    <cfRule type="expression" dxfId="16" priority="17" stopIfTrue="1">
      <formula>"esterreur(reference)"</formula>
    </cfRule>
  </conditionalFormatting>
  <conditionalFormatting sqref="Q377:Q393">
    <cfRule type="expression" dxfId="15" priority="16" stopIfTrue="1">
      <formula>"esterreur(reference)"</formula>
    </cfRule>
  </conditionalFormatting>
  <conditionalFormatting sqref="O359">
    <cfRule type="expression" dxfId="14" priority="15" stopIfTrue="1">
      <formula>"esterreur(reference)"</formula>
    </cfRule>
  </conditionalFormatting>
  <conditionalFormatting sqref="Q359">
    <cfRule type="expression" dxfId="13" priority="14" stopIfTrue="1">
      <formula>"esterreur(reference)"</formula>
    </cfRule>
  </conditionalFormatting>
  <conditionalFormatting sqref="Q36:Q40">
    <cfRule type="expression" dxfId="12" priority="13" stopIfTrue="1">
      <formula>"esterreur(reference)"</formula>
    </cfRule>
  </conditionalFormatting>
  <conditionalFormatting sqref="L68">
    <cfRule type="expression" dxfId="11" priority="12" stopIfTrue="1">
      <formula>"esterreur(reference)"</formula>
    </cfRule>
  </conditionalFormatting>
  <conditionalFormatting sqref="Q149:Q151">
    <cfRule type="expression" dxfId="10" priority="4" stopIfTrue="1">
      <formula>"esterreur(reference)"</formula>
    </cfRule>
  </conditionalFormatting>
  <conditionalFormatting sqref="H148 J148:K148">
    <cfRule type="expression" dxfId="9" priority="11" stopIfTrue="1">
      <formula>"esterreur(reference)"</formula>
    </cfRule>
  </conditionalFormatting>
  <conditionalFormatting sqref="L148">
    <cfRule type="expression" dxfId="8" priority="10" stopIfTrue="1">
      <formula>"esterreur(reference)"</formula>
    </cfRule>
  </conditionalFormatting>
  <conditionalFormatting sqref="O148:P148">
    <cfRule type="expression" dxfId="7" priority="9" stopIfTrue="1">
      <formula>"esterreur(reference)"</formula>
    </cfRule>
  </conditionalFormatting>
  <conditionalFormatting sqref="Q148">
    <cfRule type="expression" dxfId="6" priority="8" stopIfTrue="1">
      <formula>"esterreur(reference)"</formula>
    </cfRule>
  </conditionalFormatting>
  <conditionalFormatting sqref="H149:H151 J149:K151">
    <cfRule type="expression" dxfId="5" priority="7" stopIfTrue="1">
      <formula>"esterreur(reference)"</formula>
    </cfRule>
  </conditionalFormatting>
  <conditionalFormatting sqref="L149:L151">
    <cfRule type="expression" dxfId="4" priority="6" stopIfTrue="1">
      <formula>"esterreur(reference)"</formula>
    </cfRule>
  </conditionalFormatting>
  <conditionalFormatting sqref="O149:P151">
    <cfRule type="expression" dxfId="3" priority="5" stopIfTrue="1">
      <formula>"esterreur(reference)"</formula>
    </cfRule>
  </conditionalFormatting>
  <conditionalFormatting sqref="L158:L161">
    <cfRule type="expression" dxfId="2" priority="3" stopIfTrue="1">
      <formula>"esterreur(reference)"</formula>
    </cfRule>
  </conditionalFormatting>
  <conditionalFormatting sqref="AG414:AI417">
    <cfRule type="cellIs" dxfId="1" priority="2" operator="greaterThan">
      <formula>0</formula>
    </cfRule>
  </conditionalFormatting>
  <conditionalFormatting sqref="AO414:AO417">
    <cfRule type="cellIs" dxfId="0" priority="1" operator="greaterThan">
      <formula>0</formula>
    </cfRule>
  </conditionalFormatting>
  <printOptions horizontalCentered="1"/>
  <pageMargins left="0" right="0" top="0.5" bottom="0.25" header="0" footer="0"/>
  <pageSetup scale="30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  <outlinePr summaryBelow="0"/>
  </sheetPr>
  <dimension ref="A1:X1055"/>
  <sheetViews>
    <sheetView tabSelected="1" topLeftCell="N1" workbookViewId="0">
      <pane ySplit="1" topLeftCell="A2" activePane="bottomLeft" state="frozen"/>
      <selection pane="bottomLeft" activeCell="U290" sqref="U290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customWidth="1"/>
    <col min="13" max="13" width="39.75" customWidth="1"/>
    <col min="14" max="14" width="14.875" customWidth="1"/>
    <col min="15" max="15" width="12.875" style="611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72" t="s">
        <v>2327</v>
      </c>
      <c r="B2" s="1072" t="s">
        <v>2328</v>
      </c>
      <c r="C2" s="1073"/>
      <c r="D2" s="1073"/>
      <c r="E2" s="1073"/>
      <c r="F2" s="1072" t="s">
        <v>1</v>
      </c>
      <c r="G2" s="1072" t="s">
        <v>2215</v>
      </c>
      <c r="H2" s="1073"/>
      <c r="I2" s="1074">
        <v>0</v>
      </c>
      <c r="J2" s="1074">
        <v>1</v>
      </c>
      <c r="K2" s="1074">
        <v>1</v>
      </c>
      <c r="L2" s="153" t="str">
        <f t="shared" ref="L2:L65" si="0">+B2</f>
        <v>500</v>
      </c>
      <c r="M2" s="154" t="str">
        <f t="shared" ref="M2:M65" si="1">+A2</f>
        <v>PROPRIETAIRES</v>
      </c>
      <c r="N2" s="155">
        <f>+IF(OR($Q2=Parametres!$G$2,$Q2=Parametres!$G$3),I2,C2)</f>
        <v>0</v>
      </c>
      <c r="O2" s="155">
        <f>+IF(OR($Q2=Parametres!$G$2,$Q2=Parametres!$G$3),J2,D2)</f>
        <v>1</v>
      </c>
      <c r="P2" s="155">
        <f>+IF(OR($Q2=Parametres!$G$2,$Q2=Parametres!$G$3),K2,E2)</f>
        <v>1</v>
      </c>
      <c r="Q2" s="154" t="str">
        <f t="shared" ref="Q2:Q65" si="2">+F2</f>
        <v>1-Mémo</v>
      </c>
      <c r="R2" s="153" t="str">
        <f t="shared" ref="R2:R65" si="3">+G2</f>
        <v>50</v>
      </c>
      <c r="S2" s="154">
        <f t="shared" ref="S2:S65" si="4">+H2</f>
        <v>0</v>
      </c>
      <c r="T2" s="156" t="str">
        <f>+VLOOKUP($L2,Data_Validation!$A:$D,1,0)</f>
        <v>500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hidden="1" customHeight="1">
      <c r="A3" s="1072" t="s">
        <v>2329</v>
      </c>
      <c r="B3" s="1072" t="s">
        <v>1526</v>
      </c>
      <c r="C3" s="1073"/>
      <c r="D3" s="1073"/>
      <c r="E3" s="1073"/>
      <c r="F3" s="1072" t="s">
        <v>1</v>
      </c>
      <c r="G3" s="1072" t="s">
        <v>2215</v>
      </c>
      <c r="H3" s="1073"/>
      <c r="I3" s="1074">
        <v>0</v>
      </c>
      <c r="J3" s="1074">
        <v>0.2</v>
      </c>
      <c r="K3" s="1074">
        <v>0.2</v>
      </c>
      <c r="L3" s="153" t="str">
        <f t="shared" si="0"/>
        <v>511</v>
      </c>
      <c r="M3" s="154" t="str">
        <f t="shared" si="1"/>
        <v>DIR. GENERAL NEUFS</v>
      </c>
      <c r="N3" s="155">
        <f>+IF(OR($Q3=Parametres!$G$2,$Q3=Parametres!$G$3),I3,C3)</f>
        <v>0</v>
      </c>
      <c r="O3" s="155">
        <f>+IF(OR($Q3=Parametres!$G$2,$Q3=Parametres!$G$3),J3,D3)</f>
        <v>0.2</v>
      </c>
      <c r="P3" s="155">
        <f>+IF(OR($Q3=Parametres!$G$2,$Q3=Parametres!$G$3),K3,E3)</f>
        <v>0.2</v>
      </c>
      <c r="Q3" s="154" t="str">
        <f t="shared" si="2"/>
        <v>1-Mémo</v>
      </c>
      <c r="R3" s="153" t="str">
        <f t="shared" si="3"/>
        <v>50</v>
      </c>
      <c r="S3" s="154">
        <f t="shared" si="4"/>
        <v>0</v>
      </c>
      <c r="T3" s="156" t="str">
        <f>+VLOOKUP($L3,Data_Validation!$A:$D,1,0)</f>
        <v>511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72" t="s">
        <v>2330</v>
      </c>
      <c r="B4" s="1072" t="s">
        <v>884</v>
      </c>
      <c r="C4" s="1073"/>
      <c r="D4" s="1073"/>
      <c r="E4" s="1073"/>
      <c r="F4" s="1072" t="s">
        <v>1</v>
      </c>
      <c r="G4" s="1072" t="s">
        <v>2215</v>
      </c>
      <c r="H4" s="1073"/>
      <c r="I4" s="1074">
        <v>0</v>
      </c>
      <c r="J4" s="1074">
        <v>0.2</v>
      </c>
      <c r="K4" s="1074">
        <v>0.2</v>
      </c>
      <c r="L4" s="153" t="str">
        <f t="shared" si="0"/>
        <v>512</v>
      </c>
      <c r="M4" s="154" t="str">
        <f t="shared" si="1"/>
        <v>DIR. GENERAL USAGES</v>
      </c>
      <c r="N4" s="155">
        <f>+IF(OR($Q4=Parametres!$G$2,$Q4=Parametres!$G$3),I4,C4)</f>
        <v>0</v>
      </c>
      <c r="O4" s="155">
        <f>+IF(OR($Q4=Parametres!$G$2,$Q4=Parametres!$G$3),J4,D4)</f>
        <v>0.2</v>
      </c>
      <c r="P4" s="155">
        <f>+IF(OR($Q4=Parametres!$G$2,$Q4=Parametres!$G$3),K4,E4)</f>
        <v>0.2</v>
      </c>
      <c r="Q4" s="154" t="str">
        <f t="shared" si="2"/>
        <v>1-Mémo</v>
      </c>
      <c r="R4" s="153" t="str">
        <f t="shared" si="3"/>
        <v>50</v>
      </c>
      <c r="S4" s="154">
        <f t="shared" si="4"/>
        <v>0</v>
      </c>
      <c r="T4" s="156" t="str">
        <f>+VLOOKUP($L4,Data_Validation!$A:$D,1,0)</f>
        <v>512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072" t="s">
        <v>2331</v>
      </c>
      <c r="B5" s="1072" t="s">
        <v>2332</v>
      </c>
      <c r="C5" s="1073"/>
      <c r="D5" s="1073"/>
      <c r="E5" s="1073"/>
      <c r="F5" s="1072" t="s">
        <v>1</v>
      </c>
      <c r="G5" s="1072" t="s">
        <v>2215</v>
      </c>
      <c r="H5" s="1073"/>
      <c r="I5" s="1074">
        <v>0</v>
      </c>
      <c r="J5" s="1074">
        <v>0.2</v>
      </c>
      <c r="K5" s="1074">
        <v>0.2</v>
      </c>
      <c r="L5" s="153" t="str">
        <f t="shared" si="0"/>
        <v>514</v>
      </c>
      <c r="M5" s="154" t="str">
        <f t="shared" si="1"/>
        <v>DIR. GENERAL SERVICE</v>
      </c>
      <c r="N5" s="155">
        <f>+IF(OR($Q5=Parametres!$G$2,$Q5=Parametres!$G$3),I5,C5)</f>
        <v>0</v>
      </c>
      <c r="O5" s="155">
        <f>+IF(OR($Q5=Parametres!$G$2,$Q5=Parametres!$G$3),J5,D5)</f>
        <v>0.2</v>
      </c>
      <c r="P5" s="155">
        <f>+IF(OR($Q5=Parametres!$G$2,$Q5=Parametres!$G$3),K5,E5)</f>
        <v>0.2</v>
      </c>
      <c r="Q5" s="154" t="str">
        <f t="shared" si="2"/>
        <v>1-Mémo</v>
      </c>
      <c r="R5" s="153" t="str">
        <f t="shared" si="3"/>
        <v>50</v>
      </c>
      <c r="S5" s="154">
        <f t="shared" si="4"/>
        <v>0</v>
      </c>
      <c r="T5" s="156" t="str">
        <f>+VLOOKUP($L5,Data_Validation!$A:$D,1,0)</f>
        <v>514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72" t="s">
        <v>2333</v>
      </c>
      <c r="B6" s="1072" t="s">
        <v>2334</v>
      </c>
      <c r="C6" s="1073"/>
      <c r="D6" s="1073"/>
      <c r="E6" s="1073"/>
      <c r="F6" s="1072" t="s">
        <v>1</v>
      </c>
      <c r="G6" s="1072" t="s">
        <v>2215</v>
      </c>
      <c r="H6" s="1073"/>
      <c r="I6" s="1074">
        <v>0</v>
      </c>
      <c r="J6" s="1074">
        <v>0.2</v>
      </c>
      <c r="K6" s="1074">
        <v>0.2</v>
      </c>
      <c r="L6" s="153" t="str">
        <f t="shared" si="0"/>
        <v>515</v>
      </c>
      <c r="M6" s="154" t="str">
        <f t="shared" si="1"/>
        <v>DIR. GENERAL CARROSS.</v>
      </c>
      <c r="N6" s="155">
        <f>+IF(OR($Q6=Parametres!$G$2,$Q6=Parametres!$G$3),I6,C6)</f>
        <v>0</v>
      </c>
      <c r="O6" s="155">
        <f>+IF(OR($Q6=Parametres!$G$2,$Q6=Parametres!$G$3),J6,D6)</f>
        <v>0.2</v>
      </c>
      <c r="P6" s="155">
        <f>+IF(OR($Q6=Parametres!$G$2,$Q6=Parametres!$G$3),K6,E6)</f>
        <v>0.2</v>
      </c>
      <c r="Q6" s="154" t="str">
        <f t="shared" si="2"/>
        <v>1-Mémo</v>
      </c>
      <c r="R6" s="153" t="str">
        <f t="shared" si="3"/>
        <v>50</v>
      </c>
      <c r="S6" s="154">
        <f t="shared" si="4"/>
        <v>0</v>
      </c>
      <c r="T6" s="156" t="str">
        <f>+VLOOKUP($L6,Data_Validation!$A:$D,1,0)</f>
        <v>515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72" t="s">
        <v>2335</v>
      </c>
      <c r="B7" s="1072" t="s">
        <v>2336</v>
      </c>
      <c r="C7" s="1073"/>
      <c r="D7" s="1073"/>
      <c r="E7" s="1073"/>
      <c r="F7" s="1072" t="s">
        <v>1</v>
      </c>
      <c r="G7" s="1072" t="s">
        <v>2215</v>
      </c>
      <c r="H7" s="1073"/>
      <c r="I7" s="1074">
        <v>0</v>
      </c>
      <c r="J7" s="1074">
        <v>0.2</v>
      </c>
      <c r="K7" s="1074">
        <v>0.2</v>
      </c>
      <c r="L7" s="153" t="str">
        <f t="shared" si="0"/>
        <v>517</v>
      </c>
      <c r="M7" s="154" t="str">
        <f t="shared" si="1"/>
        <v>DIR. GENERAL PIECES</v>
      </c>
      <c r="N7" s="155">
        <f>+IF(OR($Q7=Parametres!$G$2,$Q7=Parametres!$G$3),I7,C7)</f>
        <v>0</v>
      </c>
      <c r="O7" s="155">
        <f>+IF(OR($Q7=Parametres!$G$2,$Q7=Parametres!$G$3),J7,D7)</f>
        <v>0.2</v>
      </c>
      <c r="P7" s="155">
        <f>+IF(OR($Q7=Parametres!$G$2,$Q7=Parametres!$G$3),K7,E7)</f>
        <v>0.2</v>
      </c>
      <c r="Q7" s="154" t="str">
        <f t="shared" si="2"/>
        <v>1-Mémo</v>
      </c>
      <c r="R7" s="153" t="str">
        <f t="shared" si="3"/>
        <v>50</v>
      </c>
      <c r="S7" s="154">
        <f t="shared" si="4"/>
        <v>0</v>
      </c>
      <c r="T7" s="156" t="str">
        <f>+VLOOKUP($L7,Data_Validation!$A:$D,1,0)</f>
        <v>517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72" t="s">
        <v>2337</v>
      </c>
      <c r="B8" s="1072" t="s">
        <v>2338</v>
      </c>
      <c r="C8" s="1073"/>
      <c r="D8" s="1073"/>
      <c r="E8" s="1073"/>
      <c r="F8" s="1072" t="s">
        <v>1</v>
      </c>
      <c r="G8" s="1072" t="s">
        <v>2215</v>
      </c>
      <c r="H8" s="1073"/>
      <c r="I8" s="1074">
        <v>0</v>
      </c>
      <c r="J8" s="1074">
        <v>2</v>
      </c>
      <c r="K8" s="1074">
        <v>2</v>
      </c>
      <c r="L8" s="153" t="str">
        <f t="shared" si="0"/>
        <v>521</v>
      </c>
      <c r="M8" s="154" t="str">
        <f t="shared" si="1"/>
        <v>DIR. SERVICE NEUFS</v>
      </c>
      <c r="N8" s="155">
        <f>+IF(OR($Q8=Parametres!$G$2,$Q8=Parametres!$G$3),I8,C8)</f>
        <v>0</v>
      </c>
      <c r="O8" s="155">
        <f>+IF(OR($Q8=Parametres!$G$2,$Q8=Parametres!$G$3),J8,D8)</f>
        <v>2</v>
      </c>
      <c r="P8" s="155">
        <f>+IF(OR($Q8=Parametres!$G$2,$Q8=Parametres!$G$3),K8,E8)</f>
        <v>2</v>
      </c>
      <c r="Q8" s="154" t="str">
        <f t="shared" si="2"/>
        <v>1-Mémo</v>
      </c>
      <c r="R8" s="153" t="str">
        <f t="shared" si="3"/>
        <v>50</v>
      </c>
      <c r="S8" s="154">
        <f t="shared" si="4"/>
        <v>0</v>
      </c>
      <c r="T8" s="156" t="str">
        <f>+VLOOKUP($L8,Data_Validation!$A:$D,1,0)</f>
        <v>521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72" t="s">
        <v>2339</v>
      </c>
      <c r="B9" s="1072" t="s">
        <v>2340</v>
      </c>
      <c r="C9" s="1073"/>
      <c r="D9" s="1073"/>
      <c r="E9" s="1073"/>
      <c r="F9" s="1072" t="s">
        <v>1</v>
      </c>
      <c r="G9" s="1072" t="s">
        <v>2215</v>
      </c>
      <c r="H9" s="1073"/>
      <c r="I9" s="1074">
        <v>0</v>
      </c>
      <c r="J9" s="1074">
        <v>1</v>
      </c>
      <c r="K9" s="1074">
        <v>1</v>
      </c>
      <c r="L9" s="153" t="str">
        <f t="shared" si="0"/>
        <v>522</v>
      </c>
      <c r="M9" s="154" t="str">
        <f t="shared" si="1"/>
        <v>DIR. SERVICE USAGES</v>
      </c>
      <c r="N9" s="155">
        <f>+IF(OR($Q9=Parametres!$G$2,$Q9=Parametres!$G$3),I9,C9)</f>
        <v>0</v>
      </c>
      <c r="O9" s="608">
        <f>+IF(OR($Q9=Parametres!$G$2,$Q9=Parametres!$G$3),J9,D9)</f>
        <v>1</v>
      </c>
      <c r="P9" s="155">
        <f>+IF(OR($Q9=Parametres!$G$2,$Q9=Parametres!$G$3),K9,E9)</f>
        <v>1</v>
      </c>
      <c r="Q9" s="154" t="str">
        <f t="shared" si="2"/>
        <v>1-Mémo</v>
      </c>
      <c r="R9" s="153" t="str">
        <f t="shared" si="3"/>
        <v>50</v>
      </c>
      <c r="S9" s="154">
        <f t="shared" si="4"/>
        <v>0</v>
      </c>
      <c r="T9" s="156" t="str">
        <f>+VLOOKUP($L9,Data_Validation!$A:$D,1,0)</f>
        <v>522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72" t="s">
        <v>2341</v>
      </c>
      <c r="B10" s="1072" t="s">
        <v>2342</v>
      </c>
      <c r="C10" s="1073"/>
      <c r="D10" s="1073"/>
      <c r="E10" s="1073"/>
      <c r="F10" s="1072" t="s">
        <v>1</v>
      </c>
      <c r="G10" s="1072" t="s">
        <v>2215</v>
      </c>
      <c r="H10" s="1073"/>
      <c r="I10" s="1074">
        <v>0</v>
      </c>
      <c r="J10" s="1074">
        <v>2</v>
      </c>
      <c r="K10" s="1074">
        <v>2</v>
      </c>
      <c r="L10" s="153" t="str">
        <f t="shared" si="0"/>
        <v>524</v>
      </c>
      <c r="M10" s="154" t="str">
        <f t="shared" si="1"/>
        <v>DIR. SERVICE SERVICE</v>
      </c>
      <c r="N10" s="155">
        <f>+IF(OR($Q10=Parametres!$G$2,$Q10=Parametres!$G$3),I10,C10)</f>
        <v>0</v>
      </c>
      <c r="O10" s="609">
        <f>+IF(OR($Q10=Parametres!$G$2,$Q10=Parametres!$G$3),J10,D10)</f>
        <v>2</v>
      </c>
      <c r="P10" s="155">
        <f>+IF(OR($Q10=Parametres!$G$2,$Q10=Parametres!$G$3),K10,E10)</f>
        <v>2</v>
      </c>
      <c r="Q10" s="154" t="str">
        <f t="shared" si="2"/>
        <v>1-Mémo</v>
      </c>
      <c r="R10" s="153" t="str">
        <f t="shared" si="3"/>
        <v>50</v>
      </c>
      <c r="S10" s="154">
        <f t="shared" si="4"/>
        <v>0</v>
      </c>
      <c r="T10" s="156" t="str">
        <f>+VLOOKUP($L10,Data_Validation!$A:$D,1,0)</f>
        <v>524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72" t="s">
        <v>2343</v>
      </c>
      <c r="B11" s="1072" t="s">
        <v>2344</v>
      </c>
      <c r="C11" s="1073"/>
      <c r="D11" s="1073"/>
      <c r="E11" s="1073"/>
      <c r="F11" s="1072" t="s">
        <v>1</v>
      </c>
      <c r="G11" s="1072" t="s">
        <v>2215</v>
      </c>
      <c r="H11" s="1073"/>
      <c r="I11" s="1074">
        <v>0</v>
      </c>
      <c r="J11" s="1074">
        <v>1</v>
      </c>
      <c r="K11" s="1074">
        <v>1</v>
      </c>
      <c r="L11" s="153" t="str">
        <f t="shared" si="0"/>
        <v>527</v>
      </c>
      <c r="M11" s="154" t="str">
        <f t="shared" si="1"/>
        <v>DIR. SERVICE PIECES</v>
      </c>
      <c r="N11" s="155">
        <f>+IF(OR($Q11=Parametres!$G$2,$Q11=Parametres!$G$3),I11,C11)</f>
        <v>0</v>
      </c>
      <c r="O11" s="609">
        <f>+IF(OR($Q11=Parametres!$G$2,$Q11=Parametres!$G$3),J11,D11)</f>
        <v>1</v>
      </c>
      <c r="P11" s="155">
        <f>+IF(OR($Q11=Parametres!$G$2,$Q11=Parametres!$G$3),K11,E11)</f>
        <v>1</v>
      </c>
      <c r="Q11" s="154" t="str">
        <f t="shared" si="2"/>
        <v>1-Mémo</v>
      </c>
      <c r="R11" s="153" t="str">
        <f t="shared" si="3"/>
        <v>50</v>
      </c>
      <c r="S11" s="154">
        <f t="shared" si="4"/>
        <v>0</v>
      </c>
      <c r="T11" s="156" t="str">
        <f>+VLOOKUP($L11,Data_Validation!$A:$D,1,0)</f>
        <v>527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72" t="s">
        <v>2345</v>
      </c>
      <c r="B12" s="1072" t="s">
        <v>2346</v>
      </c>
      <c r="C12" s="1073"/>
      <c r="D12" s="1073"/>
      <c r="E12" s="1073"/>
      <c r="F12" s="1072" t="s">
        <v>1</v>
      </c>
      <c r="G12" s="1072" t="s">
        <v>2347</v>
      </c>
      <c r="H12" s="1073"/>
      <c r="I12" s="1074">
        <v>0</v>
      </c>
      <c r="J12" s="1074">
        <v>4</v>
      </c>
      <c r="K12" s="1074">
        <v>4</v>
      </c>
      <c r="L12" s="153" t="str">
        <f t="shared" si="0"/>
        <v>541</v>
      </c>
      <c r="M12" s="154" t="str">
        <f t="shared" si="1"/>
        <v>VW REP. DES VENTES - NEUF</v>
      </c>
      <c r="N12" s="155">
        <f>+IF(OR($Q12=Parametres!$G$2,$Q12=Parametres!$G$3),I12,C12)</f>
        <v>0</v>
      </c>
      <c r="O12" s="155">
        <f>+IF(OR($Q12=Parametres!$G$2,$Q12=Parametres!$G$3),J12,D12)</f>
        <v>4</v>
      </c>
      <c r="P12" s="155">
        <f>+IF(OR($Q12=Parametres!$G$2,$Q12=Parametres!$G$3),K12,E12)</f>
        <v>4</v>
      </c>
      <c r="Q12" s="154" t="str">
        <f t="shared" si="2"/>
        <v>1-Mémo</v>
      </c>
      <c r="R12" s="153" t="str">
        <f t="shared" si="3"/>
        <v>54</v>
      </c>
      <c r="S12" s="154">
        <f t="shared" si="4"/>
        <v>0</v>
      </c>
      <c r="T12" s="156" t="str">
        <f>+VLOOKUP($L12,Data_Validation!$A:$D,1,0)</f>
        <v>541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72" t="s">
        <v>2348</v>
      </c>
      <c r="B13" s="1072" t="s">
        <v>2349</v>
      </c>
      <c r="C13" s="1073"/>
      <c r="D13" s="1073"/>
      <c r="E13" s="1073"/>
      <c r="F13" s="1072" t="s">
        <v>1</v>
      </c>
      <c r="G13" s="1072" t="s">
        <v>2215</v>
      </c>
      <c r="H13" s="1073"/>
      <c r="I13" s="1074">
        <v>0</v>
      </c>
      <c r="J13" s="1074">
        <v>1</v>
      </c>
      <c r="K13" s="1074">
        <v>1</v>
      </c>
      <c r="L13" s="153" t="str">
        <f t="shared" si="0"/>
        <v>542</v>
      </c>
      <c r="M13" s="154" t="str">
        <f t="shared" si="1"/>
        <v>VW REP. DES VENTES - OCC.</v>
      </c>
      <c r="N13" s="155">
        <f>+IF(OR($Q13=Parametres!$G$2,$Q13=Parametres!$G$3),I13,C13)</f>
        <v>0</v>
      </c>
      <c r="O13" s="155">
        <f>+IF(OR($Q13=Parametres!$G$2,$Q13=Parametres!$G$3),J13,D13)</f>
        <v>1</v>
      </c>
      <c r="P13" s="155">
        <f>+IF(OR($Q13=Parametres!$G$2,$Q13=Parametres!$G$3),K13,E13)</f>
        <v>1</v>
      </c>
      <c r="Q13" s="154" t="str">
        <f t="shared" si="2"/>
        <v>1-Mémo</v>
      </c>
      <c r="R13" s="153" t="str">
        <f t="shared" si="3"/>
        <v>50</v>
      </c>
      <c r="S13" s="154">
        <f t="shared" si="4"/>
        <v>0</v>
      </c>
      <c r="T13" s="156" t="str">
        <f>+VLOOKUP($L13,Data_Validation!$A:$D,1,0)</f>
        <v>542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72" t="s">
        <v>2350</v>
      </c>
      <c r="B14" s="1072" t="s">
        <v>2351</v>
      </c>
      <c r="C14" s="1073"/>
      <c r="D14" s="1073"/>
      <c r="E14" s="1073"/>
      <c r="F14" s="1072" t="s">
        <v>1</v>
      </c>
      <c r="G14" s="1072" t="s">
        <v>2215</v>
      </c>
      <c r="H14" s="1073"/>
      <c r="I14" s="1074">
        <v>0</v>
      </c>
      <c r="J14" s="1074">
        <v>3</v>
      </c>
      <c r="K14" s="1074">
        <v>3</v>
      </c>
      <c r="L14" s="153" t="str">
        <f t="shared" si="0"/>
        <v>551</v>
      </c>
      <c r="M14" s="154" t="str">
        <f t="shared" si="1"/>
        <v>DIR. COMMERCIAL NEUFS</v>
      </c>
      <c r="N14" s="155">
        <f>+IF(OR($Q14=Parametres!$G$2,$Q14=Parametres!$G$3),I14,C14)</f>
        <v>0</v>
      </c>
      <c r="O14" s="155">
        <f>+IF(OR($Q14=Parametres!$G$2,$Q14=Parametres!$G$3),J14,D14)</f>
        <v>3</v>
      </c>
      <c r="P14" s="155">
        <f>+IF(OR($Q14=Parametres!$G$2,$Q14=Parametres!$G$3),K14,E14)</f>
        <v>3</v>
      </c>
      <c r="Q14" s="154" t="str">
        <f t="shared" si="2"/>
        <v>1-Mémo</v>
      </c>
      <c r="R14" s="153" t="str">
        <f t="shared" si="3"/>
        <v>50</v>
      </c>
      <c r="S14" s="154">
        <f t="shared" si="4"/>
        <v>0</v>
      </c>
      <c r="T14" s="156" t="str">
        <f>+VLOOKUP($L14,Data_Validation!$A:$D,1,0)</f>
        <v>551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72" t="s">
        <v>2352</v>
      </c>
      <c r="B15" s="1072" t="s">
        <v>2353</v>
      </c>
      <c r="C15" s="1073"/>
      <c r="D15" s="1073"/>
      <c r="E15" s="1073"/>
      <c r="F15" s="1072" t="s">
        <v>1</v>
      </c>
      <c r="G15" s="1072" t="s">
        <v>2215</v>
      </c>
      <c r="H15" s="1073"/>
      <c r="I15" s="1074">
        <v>0</v>
      </c>
      <c r="J15" s="1074">
        <v>2</v>
      </c>
      <c r="K15" s="1074">
        <v>2</v>
      </c>
      <c r="L15" s="153" t="str">
        <f t="shared" si="0"/>
        <v>552</v>
      </c>
      <c r="M15" s="154" t="str">
        <f t="shared" si="1"/>
        <v>DIR. COMMERCIAL USAGES</v>
      </c>
      <c r="N15" s="155">
        <f>+IF(OR($Q15=Parametres!$G$2,$Q15=Parametres!$G$3),I15,C15)</f>
        <v>0</v>
      </c>
      <c r="O15" s="155">
        <f>+IF(OR($Q15=Parametres!$G$2,$Q15=Parametres!$G$3),J15,D15)</f>
        <v>2</v>
      </c>
      <c r="P15" s="155">
        <f>+IF(OR($Q15=Parametres!$G$2,$Q15=Parametres!$G$3),K15,E15)</f>
        <v>2</v>
      </c>
      <c r="Q15" s="154" t="str">
        <f t="shared" si="2"/>
        <v>1-Mémo</v>
      </c>
      <c r="R15" s="153" t="str">
        <f t="shared" si="3"/>
        <v>50</v>
      </c>
      <c r="S15" s="154">
        <f t="shared" si="4"/>
        <v>0</v>
      </c>
      <c r="T15" s="156" t="str">
        <f>+VLOOKUP($L15,Data_Validation!$A:$D,1,0)</f>
        <v>552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72" t="s">
        <v>2872</v>
      </c>
      <c r="B16" s="1072" t="s">
        <v>2873</v>
      </c>
      <c r="C16" s="1073"/>
      <c r="D16" s="1073"/>
      <c r="E16" s="1073"/>
      <c r="F16" s="1072" t="s">
        <v>1</v>
      </c>
      <c r="G16" s="1072" t="s">
        <v>2215</v>
      </c>
      <c r="H16" s="1073"/>
      <c r="I16" s="1074">
        <v>0</v>
      </c>
      <c r="J16" s="1074">
        <v>1</v>
      </c>
      <c r="K16" s="1074">
        <v>1</v>
      </c>
      <c r="L16" s="153" t="str">
        <f t="shared" si="0"/>
        <v>564</v>
      </c>
      <c r="M16" s="154" t="str">
        <f t="shared" si="1"/>
        <v>CONTREMAITRE SERVICE</v>
      </c>
      <c r="N16" s="155">
        <f>+IF(OR($Q16=Parametres!$G$2,$Q16=Parametres!$G$3),I16,C16)</f>
        <v>0</v>
      </c>
      <c r="O16" s="155">
        <f>+IF(OR($Q16=Parametres!$G$2,$Q16=Parametres!$G$3),J16,D16)</f>
        <v>1</v>
      </c>
      <c r="P16" s="155">
        <f>+IF(OR($Q16=Parametres!$G$2,$Q16=Parametres!$G$3),K16,E16)</f>
        <v>1</v>
      </c>
      <c r="Q16" s="154" t="str">
        <f t="shared" si="2"/>
        <v>1-Mémo</v>
      </c>
      <c r="R16" s="153" t="str">
        <f t="shared" si="3"/>
        <v>50</v>
      </c>
      <c r="S16" s="154">
        <f t="shared" si="4"/>
        <v>0</v>
      </c>
      <c r="T16" s="156" t="e">
        <f>+VLOOKUP($L16,Data_Validation!$A:$D,1,0)</f>
        <v>#N/A</v>
      </c>
      <c r="U16" s="156" t="e">
        <f>+VLOOKUP($L16,Data_Validation!$A:$D,3,0)</f>
        <v>#N/A</v>
      </c>
      <c r="V16" s="156" t="e">
        <f>+VLOOKUP($L16,Data_Validation!$A:$D,4,0)</f>
        <v>#N/A</v>
      </c>
      <c r="W16" s="156" t="e">
        <f>+VLOOKUP($L16,Data_Validation!$A:$E,5,0)</f>
        <v>#N/A</v>
      </c>
      <c r="X16" s="156" t="e">
        <f>+VLOOKUP($L16,Data_Validation!$A:$F,6,0)</f>
        <v>#N/A</v>
      </c>
    </row>
    <row r="17" spans="1:24" ht="15" hidden="1" customHeight="1">
      <c r="A17" s="1072" t="s">
        <v>2354</v>
      </c>
      <c r="B17" s="1072" t="s">
        <v>2355</v>
      </c>
      <c r="C17" s="1073"/>
      <c r="D17" s="1073"/>
      <c r="E17" s="1073"/>
      <c r="F17" s="1072" t="s">
        <v>1</v>
      </c>
      <c r="G17" s="1072" t="s">
        <v>2356</v>
      </c>
      <c r="H17" s="1073"/>
      <c r="I17" s="1074">
        <v>0</v>
      </c>
      <c r="J17" s="1074">
        <v>4</v>
      </c>
      <c r="K17" s="1074">
        <v>4</v>
      </c>
      <c r="L17" s="153" t="str">
        <f t="shared" si="0"/>
        <v>614</v>
      </c>
      <c r="M17" s="154" t="str">
        <f t="shared" si="1"/>
        <v>VW CONSEILLERS SERVICE -SERVICE</v>
      </c>
      <c r="N17" s="155">
        <f>+IF(OR($Q17=Parametres!$G$2,$Q17=Parametres!$G$3),I17,C17)</f>
        <v>0</v>
      </c>
      <c r="O17" s="155">
        <f>+IF(OR($Q17=Parametres!$G$2,$Q17=Parametres!$G$3),J17,D17)</f>
        <v>4</v>
      </c>
      <c r="P17" s="155">
        <f>+IF(OR($Q17=Parametres!$G$2,$Q17=Parametres!$G$3),K17,E17)</f>
        <v>4</v>
      </c>
      <c r="Q17" s="154" t="str">
        <f t="shared" si="2"/>
        <v>1-Mémo</v>
      </c>
      <c r="R17" s="153" t="str">
        <f t="shared" si="3"/>
        <v>61</v>
      </c>
      <c r="S17" s="154">
        <f t="shared" si="4"/>
        <v>0</v>
      </c>
      <c r="T17" s="156" t="str">
        <f>+VLOOKUP($L17,Data_Validation!$A:$D,1,0)</f>
        <v>614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72" t="s">
        <v>2357</v>
      </c>
      <c r="B18" s="1072" t="s">
        <v>2358</v>
      </c>
      <c r="C18" s="1073"/>
      <c r="D18" s="1073"/>
      <c r="E18" s="1073"/>
      <c r="F18" s="1072" t="s">
        <v>1</v>
      </c>
      <c r="G18" s="1072" t="s">
        <v>2356</v>
      </c>
      <c r="H18" s="1073"/>
      <c r="I18" s="1074">
        <v>0</v>
      </c>
      <c r="J18" s="1074">
        <v>1</v>
      </c>
      <c r="K18" s="1074">
        <v>1</v>
      </c>
      <c r="L18" s="153" t="str">
        <f t="shared" si="0"/>
        <v>615</v>
      </c>
      <c r="M18" s="154" t="str">
        <f t="shared" si="1"/>
        <v>VW CONSEILLERS SERVICE - PIEC. &amp; CARR.&lt;</v>
      </c>
      <c r="N18" s="155">
        <f>+IF(OR($Q18=Parametres!$G$2,$Q18=Parametres!$G$3),I18,C18)</f>
        <v>0</v>
      </c>
      <c r="O18" s="155">
        <f>+IF(OR($Q18=Parametres!$G$2,$Q18=Parametres!$G$3),J18,D18)</f>
        <v>1</v>
      </c>
      <c r="P18" s="155">
        <f>+IF(OR($Q18=Parametres!$G$2,$Q18=Parametres!$G$3),K18,E18)</f>
        <v>1</v>
      </c>
      <c r="Q18" s="154" t="str">
        <f t="shared" si="2"/>
        <v>1-Mémo</v>
      </c>
      <c r="R18" s="153" t="str">
        <f t="shared" si="3"/>
        <v>61</v>
      </c>
      <c r="S18" s="154">
        <f t="shared" si="4"/>
        <v>0</v>
      </c>
      <c r="T18" s="156" t="str">
        <f>+VLOOKUP($L18,Data_Validation!$A:$D,1,0)</f>
        <v>615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72" t="s">
        <v>2359</v>
      </c>
      <c r="B19" s="1072" t="s">
        <v>2360</v>
      </c>
      <c r="C19" s="1073"/>
      <c r="D19" s="1073"/>
      <c r="E19" s="1073"/>
      <c r="F19" s="1072" t="s">
        <v>1</v>
      </c>
      <c r="G19" s="1072" t="s">
        <v>2215</v>
      </c>
      <c r="H19" s="1073"/>
      <c r="I19" s="1074">
        <v>0</v>
      </c>
      <c r="J19" s="1074">
        <v>1</v>
      </c>
      <c r="K19" s="1074">
        <v>1</v>
      </c>
      <c r="L19" s="153" t="str">
        <f t="shared" si="0"/>
        <v>621</v>
      </c>
      <c r="M19" s="154" t="str">
        <f t="shared" si="1"/>
        <v>LAVEURS NEUFS</v>
      </c>
      <c r="N19" s="155">
        <f>+IF(OR($Q19=Parametres!$G$2,$Q19=Parametres!$G$3),I19,C19)</f>
        <v>0</v>
      </c>
      <c r="O19" s="608">
        <f>+IF(OR($Q19=Parametres!$G$2,$Q19=Parametres!$G$3),J19,D19)</f>
        <v>1</v>
      </c>
      <c r="P19" s="155">
        <f>+IF(OR($Q19=Parametres!$G$2,$Q19=Parametres!$G$3),K19,E19)</f>
        <v>1</v>
      </c>
      <c r="Q19" s="154" t="str">
        <f t="shared" si="2"/>
        <v>1-Mémo</v>
      </c>
      <c r="R19" s="153" t="str">
        <f t="shared" si="3"/>
        <v>50</v>
      </c>
      <c r="S19" s="154">
        <f t="shared" si="4"/>
        <v>0</v>
      </c>
      <c r="T19" s="156" t="str">
        <f>+VLOOKUP($L19,Data_Validation!$A:$D,1,0)</f>
        <v>621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72" t="s">
        <v>2361</v>
      </c>
      <c r="B20" s="1072" t="s">
        <v>2362</v>
      </c>
      <c r="C20" s="1073"/>
      <c r="D20" s="1073"/>
      <c r="E20" s="1073"/>
      <c r="F20" s="1072" t="s">
        <v>1</v>
      </c>
      <c r="G20" s="1072" t="s">
        <v>2215</v>
      </c>
      <c r="H20" s="1073"/>
      <c r="I20" s="1074">
        <v>0</v>
      </c>
      <c r="J20" s="1074">
        <v>1</v>
      </c>
      <c r="K20" s="1074">
        <v>1</v>
      </c>
      <c r="L20" s="153" t="str">
        <f t="shared" si="0"/>
        <v>622</v>
      </c>
      <c r="M20" s="154" t="str">
        <f t="shared" si="1"/>
        <v>LAVEURS USAGES</v>
      </c>
      <c r="N20" s="155">
        <f>+IF(OR($Q20=Parametres!$G$2,$Q20=Parametres!$G$3),I20,C20)</f>
        <v>0</v>
      </c>
      <c r="O20" s="155">
        <f>+IF(OR($Q20=Parametres!$G$2,$Q20=Parametres!$G$3),J20,D20)</f>
        <v>1</v>
      </c>
      <c r="P20" s="155">
        <f>+IF(OR($Q20=Parametres!$G$2,$Q20=Parametres!$G$3),K20,E20)</f>
        <v>1</v>
      </c>
      <c r="Q20" s="154" t="str">
        <f t="shared" si="2"/>
        <v>1-Mémo</v>
      </c>
      <c r="R20" s="153" t="str">
        <f t="shared" si="3"/>
        <v>50</v>
      </c>
      <c r="S20" s="154">
        <f t="shared" si="4"/>
        <v>0</v>
      </c>
      <c r="T20" s="156" t="str">
        <f>+VLOOKUP($L20,Data_Validation!$A:$D,1,0)</f>
        <v>622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72" t="s">
        <v>2363</v>
      </c>
      <c r="B21" s="1072" t="s">
        <v>2364</v>
      </c>
      <c r="C21" s="1073"/>
      <c r="D21" s="1073"/>
      <c r="E21" s="1073"/>
      <c r="F21" s="1072" t="s">
        <v>1</v>
      </c>
      <c r="G21" s="1072" t="s">
        <v>2215</v>
      </c>
      <c r="H21" s="1073"/>
      <c r="I21" s="1074">
        <v>0</v>
      </c>
      <c r="J21" s="1074">
        <v>9</v>
      </c>
      <c r="K21" s="1074">
        <v>9</v>
      </c>
      <c r="L21" s="153" t="str">
        <f t="shared" si="0"/>
        <v>624</v>
      </c>
      <c r="M21" s="154" t="str">
        <f t="shared" si="1"/>
        <v>LAVEURS SERVICE</v>
      </c>
      <c r="N21" s="155">
        <f>+IF(OR($Q21=Parametres!$G$2,$Q21=Parametres!$G$3),I21,C21)</f>
        <v>0</v>
      </c>
      <c r="O21" s="155">
        <f>+IF(OR($Q21=Parametres!$G$2,$Q21=Parametres!$G$3),J21,D21)</f>
        <v>9</v>
      </c>
      <c r="P21" s="155">
        <f>+IF(OR($Q21=Parametres!$G$2,$Q21=Parametres!$G$3),K21,E21)</f>
        <v>9</v>
      </c>
      <c r="Q21" s="154" t="str">
        <f t="shared" si="2"/>
        <v>1-Mémo</v>
      </c>
      <c r="R21" s="153" t="str">
        <f t="shared" si="3"/>
        <v>50</v>
      </c>
      <c r="S21" s="154">
        <f t="shared" si="4"/>
        <v>0</v>
      </c>
      <c r="T21" s="156" t="str">
        <f>+VLOOKUP($L21,Data_Validation!$A:$D,1,0)</f>
        <v>624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72" t="s">
        <v>2365</v>
      </c>
      <c r="B22" s="1072" t="s">
        <v>2366</v>
      </c>
      <c r="C22" s="1073"/>
      <c r="D22" s="1073"/>
      <c r="E22" s="1073"/>
      <c r="F22" s="1072" t="s">
        <v>1</v>
      </c>
      <c r="G22" s="1072" t="s">
        <v>2367</v>
      </c>
      <c r="H22" s="1073"/>
      <c r="I22" s="1074">
        <v>0</v>
      </c>
      <c r="J22" s="1074">
        <v>12</v>
      </c>
      <c r="K22" s="1074">
        <v>12</v>
      </c>
      <c r="L22" s="153" t="str">
        <f t="shared" si="0"/>
        <v>644</v>
      </c>
      <c r="M22" s="154" t="str">
        <f t="shared" si="1"/>
        <v>VW TECHNICIENS - SERVICE</v>
      </c>
      <c r="N22" s="155">
        <f>+IF(OR($Q22=Parametres!$G$2,$Q22=Parametres!$G$3),I22,C22)</f>
        <v>0</v>
      </c>
      <c r="O22" s="605">
        <f>+IF(OR($Q22=Parametres!$G$2,$Q22=Parametres!$G$3),J22,D22)</f>
        <v>12</v>
      </c>
      <c r="P22" s="155">
        <f>+IF(OR($Q22=Parametres!$G$2,$Q22=Parametres!$G$3),K22,E22)</f>
        <v>12</v>
      </c>
      <c r="Q22" s="154" t="str">
        <f t="shared" si="2"/>
        <v>1-Mémo</v>
      </c>
      <c r="R22" s="153" t="str">
        <f t="shared" si="3"/>
        <v>64</v>
      </c>
      <c r="S22" s="154">
        <f t="shared" si="4"/>
        <v>0</v>
      </c>
      <c r="T22" s="156" t="str">
        <f>+VLOOKUP($L22,Data_Validation!$A:$D,1,0)</f>
        <v>644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72" t="s">
        <v>2368</v>
      </c>
      <c r="B23" s="1072" t="s">
        <v>2369</v>
      </c>
      <c r="C23" s="1073"/>
      <c r="D23" s="1073"/>
      <c r="E23" s="1073"/>
      <c r="F23" s="1072" t="s">
        <v>1</v>
      </c>
      <c r="G23" s="1072" t="s">
        <v>2215</v>
      </c>
      <c r="H23" s="1073"/>
      <c r="I23" s="1074">
        <v>0</v>
      </c>
      <c r="J23" s="1074">
        <v>0.2</v>
      </c>
      <c r="K23" s="1074">
        <v>0.2</v>
      </c>
      <c r="L23" s="153" t="str">
        <f t="shared" si="0"/>
        <v>651</v>
      </c>
      <c r="M23" s="154" t="str">
        <f t="shared" si="1"/>
        <v>DIR. ADMINIS. NEUFS</v>
      </c>
      <c r="N23" s="155">
        <f>+IF(OR($Q23=Parametres!$G$2,$Q23=Parametres!$G$3),I23,C23)</f>
        <v>0</v>
      </c>
      <c r="O23" s="155">
        <f>+IF(OR($Q23=Parametres!$G$2,$Q23=Parametres!$G$3),J23,D23)</f>
        <v>0.2</v>
      </c>
      <c r="P23" s="155">
        <f>+IF(OR($Q23=Parametres!$G$2,$Q23=Parametres!$G$3),K23,E23)</f>
        <v>0.2</v>
      </c>
      <c r="Q23" s="154" t="str">
        <f t="shared" si="2"/>
        <v>1-Mémo</v>
      </c>
      <c r="R23" s="153" t="str">
        <f t="shared" si="3"/>
        <v>50</v>
      </c>
      <c r="S23" s="154">
        <f t="shared" si="4"/>
        <v>0</v>
      </c>
      <c r="T23" s="156" t="str">
        <f>+VLOOKUP($L23,Data_Validation!$A:$D,1,0)</f>
        <v>651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72" t="s">
        <v>2370</v>
      </c>
      <c r="B24" s="1072" t="s">
        <v>2371</v>
      </c>
      <c r="C24" s="1073"/>
      <c r="D24" s="1073"/>
      <c r="E24" s="1073"/>
      <c r="F24" s="1072" t="s">
        <v>1</v>
      </c>
      <c r="G24" s="1072" t="s">
        <v>2215</v>
      </c>
      <c r="H24" s="1073"/>
      <c r="I24" s="1074">
        <v>0</v>
      </c>
      <c r="J24" s="1074">
        <v>0.2</v>
      </c>
      <c r="K24" s="1074">
        <v>0.2</v>
      </c>
      <c r="L24" s="153" t="str">
        <f t="shared" si="0"/>
        <v>652</v>
      </c>
      <c r="M24" s="154" t="str">
        <f t="shared" si="1"/>
        <v>DIR. ADMINIS. USAGES</v>
      </c>
      <c r="N24" s="155">
        <f>+IF(OR($Q24=Parametres!$G$2,$Q24=Parametres!$G$3),I24,C24)</f>
        <v>0</v>
      </c>
      <c r="O24" s="155">
        <f>+IF(OR($Q24=Parametres!$G$2,$Q24=Parametres!$G$3),J24,D24)</f>
        <v>0.2</v>
      </c>
      <c r="P24" s="155">
        <f>+IF(OR($Q24=Parametres!$G$2,$Q24=Parametres!$G$3),K24,E24)</f>
        <v>0.2</v>
      </c>
      <c r="Q24" s="154" t="str">
        <f t="shared" si="2"/>
        <v>1-Mémo</v>
      </c>
      <c r="R24" s="153" t="str">
        <f t="shared" si="3"/>
        <v>50</v>
      </c>
      <c r="S24" s="154">
        <f t="shared" si="4"/>
        <v>0</v>
      </c>
      <c r="T24" s="156" t="str">
        <f>+VLOOKUP($L24,Data_Validation!$A:$D,1,0)</f>
        <v>652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72" t="s">
        <v>2372</v>
      </c>
      <c r="B25" s="1072" t="s">
        <v>2373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0.2</v>
      </c>
      <c r="K25" s="1074">
        <v>0.2</v>
      </c>
      <c r="L25" s="153" t="str">
        <f t="shared" si="0"/>
        <v>654</v>
      </c>
      <c r="M25" s="154" t="str">
        <f t="shared" si="1"/>
        <v>DIR. ADMINIS. SERVICE</v>
      </c>
      <c r="N25" s="155">
        <f>+IF(OR($Q25=Parametres!$G$2,$Q25=Parametres!$G$3),I25,C25)</f>
        <v>0</v>
      </c>
      <c r="O25" s="155">
        <f>+IF(OR($Q25=Parametres!$G$2,$Q25=Parametres!$G$3),J25,D25)</f>
        <v>0.2</v>
      </c>
      <c r="P25" s="155">
        <f>+IF(OR($Q25=Parametres!$G$2,$Q25=Parametres!$G$3),K25,E25)</f>
        <v>0.2</v>
      </c>
      <c r="Q25" s="154" t="str">
        <f t="shared" si="2"/>
        <v>1-Mémo</v>
      </c>
      <c r="R25" s="153" t="str">
        <f t="shared" si="3"/>
        <v>50</v>
      </c>
      <c r="S25" s="154">
        <f t="shared" si="4"/>
        <v>0</v>
      </c>
      <c r="T25" s="156" t="str">
        <f>+VLOOKUP($L25,Data_Validation!$A:$D,1,0)</f>
        <v>654</v>
      </c>
      <c r="U25" s="156">
        <f>+VLOOKUP($L25,Data_Validation!$A:$D,3,0)</f>
        <v>0</v>
      </c>
      <c r="V25" s="156">
        <f>+VLOOKUP($L25,Data_Validation!$A:$D,4,0)</f>
        <v>0</v>
      </c>
      <c r="W25" s="156" t="str">
        <f>+VLOOKUP($L25,Data_Validation!$A:$E,5,0)</f>
        <v>$</v>
      </c>
      <c r="X25" s="156">
        <f>+VLOOKUP($L25,Data_Validation!$A:$F,6,0)</f>
        <v>0</v>
      </c>
    </row>
    <row r="26" spans="1:24" ht="15.75" hidden="1" customHeight="1">
      <c r="A26" s="1072" t="s">
        <v>2374</v>
      </c>
      <c r="B26" s="1072" t="s">
        <v>2375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655</v>
      </c>
      <c r="M26" s="154" t="str">
        <f t="shared" si="1"/>
        <v>DIR. ADMINIS. CARROSS.</v>
      </c>
      <c r="N26" s="155">
        <f>+IF(OR($Q26=Parametres!$G$2,$Q26=Parametres!$G$3),I26,C26)</f>
        <v>0</v>
      </c>
      <c r="O26" s="155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2"/>
        <v>1-Mémo</v>
      </c>
      <c r="R26" s="153" t="str">
        <f t="shared" si="3"/>
        <v>50</v>
      </c>
      <c r="S26" s="154">
        <f t="shared" si="4"/>
        <v>0</v>
      </c>
      <c r="T26" s="156" t="str">
        <f>+VLOOKUP($L26,Data_Validation!$A:$D,1,0)</f>
        <v>655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72" t="s">
        <v>2376</v>
      </c>
      <c r="B27" s="1072" t="s">
        <v>2377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657</v>
      </c>
      <c r="M27" s="154" t="str">
        <f t="shared" si="1"/>
        <v>DIR. ADMINIS. PIECES</v>
      </c>
      <c r="N27" s="155">
        <f>+IF(OR($Q27=Parametres!$G$2,$Q27=Parametres!$G$3),I27,C27)</f>
        <v>0</v>
      </c>
      <c r="O27" s="155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2"/>
        <v>1-Mémo</v>
      </c>
      <c r="R27" s="153" t="str">
        <f t="shared" si="3"/>
        <v>50</v>
      </c>
      <c r="S27" s="154">
        <f t="shared" si="4"/>
        <v>0</v>
      </c>
      <c r="T27" s="156" t="str">
        <f>+VLOOKUP($L27,Data_Validation!$A:$D,1,0)</f>
        <v>657</v>
      </c>
      <c r="U27" s="156" t="str">
        <f>+VLOOKUP($L27,Data_Validation!$A:$D,3,0)</f>
        <v>Carrosserie</v>
      </c>
      <c r="V27" s="156" t="str">
        <f>+VLOOKUP($L27,Data_Validation!$A:$D,4,0)</f>
        <v>Réparation équipement</v>
      </c>
      <c r="W27" s="156" t="str">
        <f>+VLOOKUP($L27,Data_Validation!$A:$E,5,0)</f>
        <v>$</v>
      </c>
      <c r="X27" s="156">
        <f>+VLOOKUP($L27,Data_Validation!$A:$F,6,0)</f>
        <v>0</v>
      </c>
    </row>
    <row r="28" spans="1:24" ht="15" hidden="1" customHeight="1">
      <c r="A28" s="1072" t="s">
        <v>2378</v>
      </c>
      <c r="B28" s="1072" t="s">
        <v>2379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1</v>
      </c>
      <c r="K28" s="1074">
        <v>1</v>
      </c>
      <c r="L28" s="153" t="str">
        <f t="shared" si="0"/>
        <v>661</v>
      </c>
      <c r="M28" s="154" t="str">
        <f t="shared" si="1"/>
        <v>PERSONELS CLER. NEUFS</v>
      </c>
      <c r="N28" s="155">
        <f>+IF(OR($Q28=Parametres!$G$2,$Q28=Parametres!$G$3),I28,C28)</f>
        <v>0</v>
      </c>
      <c r="O28" s="155">
        <f>+IF(OR($Q28=Parametres!$G$2,$Q28=Parametres!$G$3),J28,D28)</f>
        <v>1</v>
      </c>
      <c r="P28" s="155">
        <f>+IF(OR($Q28=Parametres!$G$2,$Q28=Parametres!$G$3),K28,E28)</f>
        <v>1</v>
      </c>
      <c r="Q28" s="154" t="str">
        <f t="shared" si="2"/>
        <v>1-Mémo</v>
      </c>
      <c r="R28" s="153" t="str">
        <f t="shared" si="3"/>
        <v>50</v>
      </c>
      <c r="S28" s="154">
        <f t="shared" si="4"/>
        <v>0</v>
      </c>
      <c r="T28" s="156" t="str">
        <f>+VLOOKUP($L28,Data_Validation!$A:$D,1,0)</f>
        <v>661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72" t="s">
        <v>2380</v>
      </c>
      <c r="B29" s="1072" t="s">
        <v>2381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1</v>
      </c>
      <c r="K29" s="1074">
        <v>1</v>
      </c>
      <c r="L29" s="153" t="str">
        <f t="shared" si="0"/>
        <v>662</v>
      </c>
      <c r="M29" s="154" t="str">
        <f t="shared" si="1"/>
        <v>PERSONELS CLER. USAGES</v>
      </c>
      <c r="N29" s="155">
        <f>+IF(OR($Q29=Parametres!$G$2,$Q29=Parametres!$G$3),I29,C29)</f>
        <v>0</v>
      </c>
      <c r="O29" s="155">
        <f>+IF(OR($Q29=Parametres!$G$2,$Q29=Parametres!$G$3),J29,D29)</f>
        <v>1</v>
      </c>
      <c r="P29" s="155">
        <f>+IF(OR($Q29=Parametres!$G$2,$Q29=Parametres!$G$3),K29,E29)</f>
        <v>1</v>
      </c>
      <c r="Q29" s="154" t="str">
        <f t="shared" si="2"/>
        <v>1-Mémo</v>
      </c>
      <c r="R29" s="153" t="str">
        <f t="shared" si="3"/>
        <v>50</v>
      </c>
      <c r="S29" s="154">
        <f t="shared" si="4"/>
        <v>0</v>
      </c>
      <c r="T29" s="156" t="str">
        <f>+VLOOKUP($L29,Data_Validation!$A:$D,1,0)</f>
        <v>662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72" t="s">
        <v>2382</v>
      </c>
      <c r="B30" s="1072" t="s">
        <v>2383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1</v>
      </c>
      <c r="K30" s="1074">
        <v>1</v>
      </c>
      <c r="L30" s="153" t="str">
        <f t="shared" si="0"/>
        <v>664</v>
      </c>
      <c r="M30" s="154" t="str">
        <f t="shared" si="1"/>
        <v>PERSONELS CLER. SERVICE</v>
      </c>
      <c r="N30" s="155">
        <f>+IF(OR($Q30=Parametres!$G$2,$Q30=Parametres!$G$3),I30,C30)</f>
        <v>0</v>
      </c>
      <c r="O30" s="608">
        <f>+IF(OR($Q30=Parametres!$G$2,$Q30=Parametres!$G$3),J30,D30)</f>
        <v>1</v>
      </c>
      <c r="P30" s="155">
        <f>+IF(OR($Q30=Parametres!$G$2,$Q30=Parametres!$G$3),K30,E30)</f>
        <v>1</v>
      </c>
      <c r="Q30" s="154" t="str">
        <f t="shared" si="2"/>
        <v>1-Mémo</v>
      </c>
      <c r="R30" s="153" t="str">
        <f t="shared" si="3"/>
        <v>50</v>
      </c>
      <c r="S30" s="154">
        <f t="shared" si="4"/>
        <v>0</v>
      </c>
      <c r="T30" s="156" t="str">
        <f>+VLOOKUP($L30,Data_Validation!$A:$D,1,0)</f>
        <v>664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72" t="s">
        <v>2384</v>
      </c>
      <c r="B31" s="1072" t="s">
        <v>2385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1</v>
      </c>
      <c r="K31" s="1074">
        <v>1</v>
      </c>
      <c r="L31" s="153" t="str">
        <f t="shared" si="0"/>
        <v>667</v>
      </c>
      <c r="M31" s="154" t="str">
        <f t="shared" si="1"/>
        <v>PERSONELS CLER. PIECES</v>
      </c>
      <c r="N31" s="155">
        <f>+IF(OR($Q31=Parametres!$G$2,$Q31=Parametres!$G$3),I31,C31)</f>
        <v>0</v>
      </c>
      <c r="O31" s="155">
        <f>+IF(OR($Q31=Parametres!$G$2,$Q31=Parametres!$G$3),J31,D31)</f>
        <v>1</v>
      </c>
      <c r="P31" s="155">
        <f>+IF(OR($Q31=Parametres!$G$2,$Q31=Parametres!$G$3),K31,E31)</f>
        <v>1</v>
      </c>
      <c r="Q31" s="154" t="str">
        <f t="shared" si="2"/>
        <v>1-Mémo</v>
      </c>
      <c r="R31" s="153" t="str">
        <f t="shared" si="3"/>
        <v>50</v>
      </c>
      <c r="S31" s="154">
        <f t="shared" si="4"/>
        <v>0</v>
      </c>
      <c r="T31" s="156" t="str">
        <f>+VLOOKUP($L31,Data_Validation!$A:$D,1,0)</f>
        <v>667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72" t="s">
        <v>2386</v>
      </c>
      <c r="B32" s="1072" t="s">
        <v>2387</v>
      </c>
      <c r="C32" s="1073"/>
      <c r="D32" s="1073"/>
      <c r="E32" s="1073"/>
      <c r="F32" s="1072" t="s">
        <v>1</v>
      </c>
      <c r="G32" s="1072" t="s">
        <v>2388</v>
      </c>
      <c r="H32" s="1073"/>
      <c r="I32" s="1074">
        <v>0</v>
      </c>
      <c r="J32" s="1074">
        <v>3</v>
      </c>
      <c r="K32" s="1074">
        <v>3</v>
      </c>
      <c r="L32" s="153" t="str">
        <f t="shared" si="0"/>
        <v>677</v>
      </c>
      <c r="M32" s="154" t="str">
        <f t="shared" si="1"/>
        <v>VW PIECES</v>
      </c>
      <c r="N32" s="155">
        <f>+IF(OR($Q32=Parametres!$G$2,$Q32=Parametres!$G$3),I32,C32)</f>
        <v>0</v>
      </c>
      <c r="O32" s="609">
        <f>+IF(OR($Q32=Parametres!$G$2,$Q32=Parametres!$G$3),J32,D32)</f>
        <v>3</v>
      </c>
      <c r="P32" s="155">
        <f>+IF(OR($Q32=Parametres!$G$2,$Q32=Parametres!$G$3),K32,E32)</f>
        <v>3</v>
      </c>
      <c r="Q32" s="154" t="str">
        <f t="shared" si="2"/>
        <v>1-Mémo</v>
      </c>
      <c r="R32" s="153" t="str">
        <f t="shared" si="3"/>
        <v>67</v>
      </c>
      <c r="S32" s="154">
        <f t="shared" si="4"/>
        <v>0</v>
      </c>
      <c r="T32" s="156" t="str">
        <f>+VLOOKUP($L32,Data_Validation!$A:$D,1,0)</f>
        <v>677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72" t="s">
        <v>2854</v>
      </c>
      <c r="B33" s="1072" t="s">
        <v>2393</v>
      </c>
      <c r="C33" s="1074">
        <v>2687686.64</v>
      </c>
      <c r="D33" s="1074">
        <v>-97317.8</v>
      </c>
      <c r="E33" s="1074">
        <v>2590368.84</v>
      </c>
      <c r="F33" s="1072" t="s">
        <v>293</v>
      </c>
      <c r="G33" s="1072" t="s">
        <v>2393</v>
      </c>
      <c r="H33" s="1073"/>
      <c r="I33" s="1073"/>
      <c r="J33" s="1073"/>
      <c r="K33" s="1073"/>
      <c r="L33" s="153" t="str">
        <f t="shared" si="0"/>
        <v>1102</v>
      </c>
      <c r="M33" s="154" t="str">
        <f t="shared" si="1"/>
        <v>BANQUE DE COMMERCE C/C</v>
      </c>
      <c r="N33" s="155">
        <f>+IF(OR($Q33=Parametres!$G$2,$Q33=Parametres!$G$3),I33,C33)</f>
        <v>2687686.64</v>
      </c>
      <c r="O33" s="155">
        <f>+IF(OR($Q33=Parametres!$G$2,$Q33=Parametres!$G$3),J33,D33)</f>
        <v>-97317.8</v>
      </c>
      <c r="P33" s="155">
        <f>+IF(OR($Q33=Parametres!$G$2,$Q33=Parametres!$G$3),K33,E33)</f>
        <v>2590368.84</v>
      </c>
      <c r="Q33" s="154" t="str">
        <f t="shared" si="2"/>
        <v>2-Actifs</v>
      </c>
      <c r="R33" s="153" t="str">
        <f t="shared" si="3"/>
        <v>1102</v>
      </c>
      <c r="S33" s="154">
        <f t="shared" si="4"/>
        <v>0</v>
      </c>
      <c r="T33" s="156" t="str">
        <f>+VLOOKUP($L33,Data_Validation!$A:$D,1,0)</f>
        <v>1102</v>
      </c>
      <c r="U33" s="156" t="str">
        <f>+VLOOKUP($L33,Data_Validation!$A:$D,3,0)</f>
        <v>Bilan</v>
      </c>
      <c r="V33" s="156" t="str">
        <f>+VLOOKUP($L33,Data_Validation!$A:$D,4,0)</f>
        <v>Encaisse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hidden="1" customHeight="1">
      <c r="A34" s="1072" t="s">
        <v>2391</v>
      </c>
      <c r="B34" s="1072" t="s">
        <v>2392</v>
      </c>
      <c r="C34" s="1074">
        <v>150.19999999999999</v>
      </c>
      <c r="D34" s="1074">
        <v>0</v>
      </c>
      <c r="E34" s="1074">
        <v>150.19999999999999</v>
      </c>
      <c r="F34" s="1072" t="s">
        <v>293</v>
      </c>
      <c r="G34" s="1072" t="s">
        <v>2393</v>
      </c>
      <c r="H34" s="1073"/>
      <c r="I34" s="1073"/>
      <c r="J34" s="1073"/>
      <c r="K34" s="1073"/>
      <c r="L34" s="153" t="str">
        <f t="shared" si="0"/>
        <v>1182</v>
      </c>
      <c r="M34" s="154" t="str">
        <f t="shared" si="1"/>
        <v>PETITE CAISSE</v>
      </c>
      <c r="N34" s="155">
        <f>+IF(OR($Q34=Parametres!$G$2,$Q34=Parametres!$G$3),I34,C34)</f>
        <v>150.19999999999999</v>
      </c>
      <c r="O34" s="155">
        <f>+IF(OR($Q34=Parametres!$G$2,$Q34=Parametres!$G$3),J34,D34)</f>
        <v>0</v>
      </c>
      <c r="P34" s="155">
        <f>+IF(OR($Q34=Parametres!$G$2,$Q34=Parametres!$G$3),K34,E34)</f>
        <v>150.19999999999999</v>
      </c>
      <c r="Q34" s="154" t="str">
        <f t="shared" si="2"/>
        <v>2-Actifs</v>
      </c>
      <c r="R34" s="153" t="str">
        <f t="shared" si="3"/>
        <v>1102</v>
      </c>
      <c r="S34" s="154">
        <f t="shared" si="4"/>
        <v>0</v>
      </c>
      <c r="T34" s="156" t="str">
        <f>+VLOOKUP($L34,Data_Validation!$A:$D,1,0)</f>
        <v>1182</v>
      </c>
      <c r="U34" s="156" t="str">
        <f>+VLOOKUP($L34,Data_Validation!$A:$D,3,0)</f>
        <v>Bilan</v>
      </c>
      <c r="V34" s="156" t="str">
        <f>+VLOOKUP($L34,Data_Validation!$A:$D,4,0)</f>
        <v>Encaisse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hidden="1" customHeight="1">
      <c r="A35" s="1072" t="s">
        <v>2183</v>
      </c>
      <c r="B35" s="1072" t="s">
        <v>2184</v>
      </c>
      <c r="C35" s="1074">
        <v>185749.87</v>
      </c>
      <c r="D35" s="1074">
        <v>309589.06</v>
      </c>
      <c r="E35" s="1074">
        <v>495338.93</v>
      </c>
      <c r="F35" s="1072" t="s">
        <v>293</v>
      </c>
      <c r="G35" s="1072" t="s">
        <v>2184</v>
      </c>
      <c r="H35" s="1073"/>
      <c r="I35" s="1073"/>
      <c r="J35" s="1073"/>
      <c r="K35" s="1073"/>
      <c r="L35" s="153" t="str">
        <f t="shared" si="0"/>
        <v>1202</v>
      </c>
      <c r="M35" s="154" t="str">
        <f t="shared" si="1"/>
        <v>CONTRATS EN TRANSIT</v>
      </c>
      <c r="N35" s="155">
        <f>+IF(OR($Q35=Parametres!$G$2,$Q35=Parametres!$G$3),I35,C35)</f>
        <v>185749.87</v>
      </c>
      <c r="O35" s="155">
        <f>+IF(OR($Q35=Parametres!$G$2,$Q35=Parametres!$G$3),J35,D35)</f>
        <v>309589.06</v>
      </c>
      <c r="P35" s="155">
        <f>+IF(OR($Q35=Parametres!$G$2,$Q35=Parametres!$G$3),K35,E35)</f>
        <v>495338.93</v>
      </c>
      <c r="Q35" s="154" t="str">
        <f t="shared" si="2"/>
        <v>2-Actifs</v>
      </c>
      <c r="R35" s="153" t="str">
        <f t="shared" si="3"/>
        <v>1202</v>
      </c>
      <c r="S35" s="154">
        <f t="shared" si="4"/>
        <v>0</v>
      </c>
      <c r="T35" s="156" t="str">
        <f>+VLOOKUP($L35,Data_Validation!$A:$D,1,0)</f>
        <v>1202</v>
      </c>
      <c r="U35" s="156" t="str">
        <f>+VLOOKUP($L35,Data_Validation!$A:$D,3,0)</f>
        <v>Bilan</v>
      </c>
      <c r="V35" s="156" t="str">
        <f>+VLOOKUP($L35,Data_Validation!$A:$D,4,0)</f>
        <v>Recevables Contrats en Transit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hidden="1" customHeight="1">
      <c r="A36" s="1072" t="s">
        <v>2027</v>
      </c>
      <c r="B36" s="1072" t="s">
        <v>2017</v>
      </c>
      <c r="C36" s="1074">
        <v>-40954.26</v>
      </c>
      <c r="D36" s="1074">
        <v>97602.33</v>
      </c>
      <c r="E36" s="1074">
        <v>56648.07</v>
      </c>
      <c r="F36" s="1072" t="s">
        <v>293</v>
      </c>
      <c r="G36" s="1072" t="s">
        <v>2017</v>
      </c>
      <c r="H36" s="1073"/>
      <c r="I36" s="1073"/>
      <c r="J36" s="1073"/>
      <c r="K36" s="1073"/>
      <c r="L36" s="153" t="str">
        <f t="shared" si="0"/>
        <v>1302</v>
      </c>
      <c r="M36" s="154" t="str">
        <f t="shared" si="1"/>
        <v>RECEVABLE-CLIENT-VEHICULE</v>
      </c>
      <c r="N36" s="155">
        <f>+IF(OR($Q36=Parametres!$G$2,$Q36=Parametres!$G$3),I36,C36)</f>
        <v>-40954.26</v>
      </c>
      <c r="O36" s="155">
        <f>+IF(OR($Q36=Parametres!$G$2,$Q36=Parametres!$G$3),J36,D36)</f>
        <v>97602.33</v>
      </c>
      <c r="P36" s="155">
        <f>+IF(OR($Q36=Parametres!$G$2,$Q36=Parametres!$G$3),K36,E36)</f>
        <v>56648.07</v>
      </c>
      <c r="Q36" s="154" t="str">
        <f t="shared" si="2"/>
        <v>2-Actifs</v>
      </c>
      <c r="R36" s="153" t="str">
        <f t="shared" si="3"/>
        <v>1302</v>
      </c>
      <c r="S36" s="154">
        <f t="shared" si="4"/>
        <v>0</v>
      </c>
      <c r="T36" s="156" t="str">
        <f>+VLOOKUP($L36,Data_Validation!$A:$D,1,0)</f>
        <v>1302</v>
      </c>
      <c r="U36" s="156" t="str">
        <f>+VLOOKUP($L36,Data_Validation!$A:$D,3,0)</f>
        <v>Bilan</v>
      </c>
      <c r="V36" s="156" t="str">
        <f>+VLOOKUP($L36,Data_Validation!$A:$D,4,0)</f>
        <v>Recevables Véhicules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hidden="1" customHeight="1">
      <c r="A37" s="1072" t="s">
        <v>2015</v>
      </c>
      <c r="B37" s="1072" t="s">
        <v>2016</v>
      </c>
      <c r="C37" s="1074">
        <v>129272.5</v>
      </c>
      <c r="D37" s="1074">
        <v>14787.62</v>
      </c>
      <c r="E37" s="1074">
        <v>144060.12</v>
      </c>
      <c r="F37" s="1072" t="s">
        <v>293</v>
      </c>
      <c r="G37" s="1072" t="s">
        <v>2017</v>
      </c>
      <c r="H37" s="1073"/>
      <c r="I37" s="1073"/>
      <c r="J37" s="1073"/>
      <c r="K37" s="1073"/>
      <c r="L37" s="153" t="str">
        <f t="shared" si="0"/>
        <v>1303</v>
      </c>
      <c r="M37" s="154" t="str">
        <f t="shared" si="1"/>
        <v>RECEVABLES LPA ET AU GROS</v>
      </c>
      <c r="N37" s="155">
        <f>+IF(OR($Q37=Parametres!$G$2,$Q37=Parametres!$G$3),I37,C37)</f>
        <v>129272.5</v>
      </c>
      <c r="O37" s="155">
        <f>+IF(OR($Q37=Parametres!$G$2,$Q37=Parametres!$G$3),J37,D37)</f>
        <v>14787.62</v>
      </c>
      <c r="P37" s="155">
        <f>+IF(OR($Q37=Parametres!$G$2,$Q37=Parametres!$G$3),K37,E37)</f>
        <v>144060.12</v>
      </c>
      <c r="Q37" s="154" t="str">
        <f t="shared" si="2"/>
        <v>2-Actifs</v>
      </c>
      <c r="R37" s="153" t="str">
        <f t="shared" si="3"/>
        <v>1302</v>
      </c>
      <c r="S37" s="154">
        <f t="shared" si="4"/>
        <v>0</v>
      </c>
      <c r="T37" s="156" t="str">
        <f>+VLOOKUP($L37,Data_Validation!$A:$D,1,0)</f>
        <v>1303</v>
      </c>
      <c r="U37" s="156" t="str">
        <f>+VLOOKUP($L37,Data_Validation!$A:$D,3,0)</f>
        <v>Bilan</v>
      </c>
      <c r="V37" s="156" t="str">
        <f>+VLOOKUP($L37,Data_Validation!$A:$D,4,0)</f>
        <v>Recevables Véhicules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hidden="1" customHeight="1">
      <c r="A38" s="1072" t="s">
        <v>2102</v>
      </c>
      <c r="B38" s="1072" t="s">
        <v>2103</v>
      </c>
      <c r="C38" s="1074">
        <v>77161.539999999994</v>
      </c>
      <c r="D38" s="1074">
        <v>4193.67</v>
      </c>
      <c r="E38" s="1074">
        <v>81355.210000000006</v>
      </c>
      <c r="F38" s="1072" t="s">
        <v>293</v>
      </c>
      <c r="G38" s="1072" t="s">
        <v>2103</v>
      </c>
      <c r="H38" s="1073"/>
      <c r="I38" s="1073"/>
      <c r="J38" s="1073"/>
      <c r="K38" s="1073"/>
      <c r="L38" s="153" t="str">
        <f t="shared" si="0"/>
        <v>1304</v>
      </c>
      <c r="M38" s="154" t="str">
        <f t="shared" si="1"/>
        <v>RECEVABLES PIECES &amp; SERVICE</v>
      </c>
      <c r="N38" s="155">
        <f>+IF(OR($Q38=Parametres!$G$2,$Q38=Parametres!$G$3),I38,C38)</f>
        <v>77161.539999999994</v>
      </c>
      <c r="O38" s="155">
        <f>+IF(OR($Q38=Parametres!$G$2,$Q38=Parametres!$G$3),J38,D38)</f>
        <v>4193.67</v>
      </c>
      <c r="P38" s="155">
        <f>+IF(OR($Q38=Parametres!$G$2,$Q38=Parametres!$G$3),K38,E38)</f>
        <v>81355.210000000006</v>
      </c>
      <c r="Q38" s="154" t="str">
        <f t="shared" si="2"/>
        <v>2-Actifs</v>
      </c>
      <c r="R38" s="153" t="str">
        <f t="shared" si="3"/>
        <v>1304</v>
      </c>
      <c r="S38" s="154">
        <f t="shared" si="4"/>
        <v>0</v>
      </c>
      <c r="T38" s="156" t="str">
        <f>+VLOOKUP($L38,Data_Validation!$A:$D,1,0)</f>
        <v>1304</v>
      </c>
      <c r="U38" s="156" t="str">
        <f>+VLOOKUP($L38,Data_Validation!$A:$D,3,0)</f>
        <v>Bilan</v>
      </c>
      <c r="V38" s="156" t="str">
        <f>+VLOOKUP($L38,Data_Validation!$A:$D,4,0)</f>
        <v>Recevables Pièces et Service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hidden="1" customHeight="1">
      <c r="A39" s="1072" t="s">
        <v>2737</v>
      </c>
      <c r="B39" s="1072" t="s">
        <v>2738</v>
      </c>
      <c r="C39" s="1074">
        <v>22041.85</v>
      </c>
      <c r="D39" s="1074">
        <v>6974.37</v>
      </c>
      <c r="E39" s="1074">
        <v>29016.22</v>
      </c>
      <c r="F39" s="1072" t="s">
        <v>293</v>
      </c>
      <c r="G39" s="1072" t="s">
        <v>2103</v>
      </c>
      <c r="H39" s="1073"/>
      <c r="I39" s="1073"/>
      <c r="J39" s="1073"/>
      <c r="K39" s="1073"/>
      <c r="L39" s="153" t="str">
        <f t="shared" si="0"/>
        <v>1305</v>
      </c>
      <c r="M39" s="154" t="str">
        <f t="shared" si="1"/>
        <v>RECEVABLES CARROSSERIE</v>
      </c>
      <c r="N39" s="155">
        <f>+IF(OR($Q39=Parametres!$G$2,$Q39=Parametres!$G$3),I39,C39)</f>
        <v>22041.85</v>
      </c>
      <c r="O39" s="608">
        <f>+IF(OR($Q39=Parametres!$G$2,$Q39=Parametres!$G$3),J39,D39)</f>
        <v>6974.37</v>
      </c>
      <c r="P39" s="155">
        <f>+IF(OR($Q39=Parametres!$G$2,$Q39=Parametres!$G$3),K39,E39)</f>
        <v>29016.22</v>
      </c>
      <c r="Q39" s="154" t="str">
        <f t="shared" si="2"/>
        <v>2-Actifs</v>
      </c>
      <c r="R39" s="153" t="str">
        <f t="shared" si="3"/>
        <v>1304</v>
      </c>
      <c r="S39" s="154">
        <f t="shared" si="4"/>
        <v>0</v>
      </c>
      <c r="T39" s="156" t="str">
        <f>+VLOOKUP($L39,Data_Validation!$A:$D,1,0)</f>
        <v>1305</v>
      </c>
      <c r="U39" s="156" t="str">
        <f>+VLOOKUP($L39,Data_Validation!$A:$D,3,0)</f>
        <v>Bilan</v>
      </c>
      <c r="V39" s="156" t="str">
        <f>+VLOOKUP($L39,Data_Validation!$A:$D,4,0)</f>
        <v>Recevables Carrosserie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hidden="1" customHeight="1">
      <c r="A40" s="1072" t="s">
        <v>2834</v>
      </c>
      <c r="B40" s="1072" t="s">
        <v>2835</v>
      </c>
      <c r="C40" s="1074">
        <v>-15530</v>
      </c>
      <c r="D40" s="1074">
        <v>37171</v>
      </c>
      <c r="E40" s="1074">
        <v>21641</v>
      </c>
      <c r="F40" s="1072" t="s">
        <v>293</v>
      </c>
      <c r="G40" s="1072" t="s">
        <v>2022</v>
      </c>
      <c r="H40" s="1073"/>
      <c r="I40" s="1073"/>
      <c r="J40" s="1073"/>
      <c r="K40" s="1073"/>
      <c r="L40" s="153" t="str">
        <f t="shared" si="0"/>
        <v>1312</v>
      </c>
      <c r="M40" s="154" t="str">
        <f t="shared" si="1"/>
        <v>RESEVE VOLKS</v>
      </c>
      <c r="N40" s="155">
        <f>+IF(OR($Q40=Parametres!$G$2,$Q40=Parametres!$G$3),I40,C40)</f>
        <v>-15530</v>
      </c>
      <c r="O40" s="155">
        <f>+IF(OR($Q40=Parametres!$G$2,$Q40=Parametres!$G$3),J40,D40)</f>
        <v>37171</v>
      </c>
      <c r="P40" s="155">
        <f>+IF(OR($Q40=Parametres!$G$2,$Q40=Parametres!$G$3),K40,E40)</f>
        <v>21641</v>
      </c>
      <c r="Q40" s="154" t="str">
        <f t="shared" si="2"/>
        <v>2-Actifs</v>
      </c>
      <c r="R40" s="153" t="str">
        <f t="shared" si="3"/>
        <v>1314</v>
      </c>
      <c r="S40" s="154">
        <f t="shared" si="4"/>
        <v>0</v>
      </c>
      <c r="T40" s="156" t="str">
        <f>+VLOOKUP($L40,Data_Validation!$A:$D,1,0)</f>
        <v>1312</v>
      </c>
      <c r="U40" s="156" t="str">
        <f>+VLOOKUP($L40,Data_Validation!$A:$D,3,0)</f>
        <v>Bilan</v>
      </c>
      <c r="V40" s="156" t="str">
        <f>+VLOOKUP($L40,Data_Validation!$A:$D,4,0)</f>
        <v>Recevables Manufacturier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hidden="1" customHeight="1">
      <c r="A41" s="1072" t="s">
        <v>2060</v>
      </c>
      <c r="B41" s="1072" t="s">
        <v>2061</v>
      </c>
      <c r="C41" s="1074">
        <v>59126.78</v>
      </c>
      <c r="D41" s="1074">
        <v>28281.53</v>
      </c>
      <c r="E41" s="1074">
        <v>87408.31</v>
      </c>
      <c r="F41" s="1072" t="s">
        <v>293</v>
      </c>
      <c r="G41" s="1072" t="s">
        <v>2061</v>
      </c>
      <c r="H41" s="1073"/>
      <c r="I41" s="1073"/>
      <c r="J41" s="1073"/>
      <c r="K41" s="1073"/>
      <c r="L41" s="153" t="str">
        <f t="shared" si="0"/>
        <v>1332</v>
      </c>
      <c r="M41" s="154" t="str">
        <f t="shared" si="1"/>
        <v>RECLAM. RECEVABLE-GARANTIE</v>
      </c>
      <c r="N41" s="155">
        <f>+IF(OR($Q41=Parametres!$G$2,$Q41=Parametres!$G$3),I41,C41)</f>
        <v>59126.78</v>
      </c>
      <c r="O41" s="608">
        <f>+IF(OR($Q41=Parametres!$G$2,$Q41=Parametres!$G$3),J41,D41)</f>
        <v>28281.53</v>
      </c>
      <c r="P41" s="155">
        <f>+IF(OR($Q41=Parametres!$G$2,$Q41=Parametres!$G$3),K41,E41)</f>
        <v>87408.31</v>
      </c>
      <c r="Q41" s="154" t="str">
        <f t="shared" si="2"/>
        <v>2-Actifs</v>
      </c>
      <c r="R41" s="153" t="str">
        <f t="shared" si="3"/>
        <v>1332</v>
      </c>
      <c r="S41" s="154">
        <f t="shared" si="4"/>
        <v>0</v>
      </c>
      <c r="T41" s="156" t="str">
        <f>+VLOOKUP($L41,Data_Validation!$A:$D,1,0)</f>
        <v>1332</v>
      </c>
      <c r="U41" s="156" t="str">
        <f>+VLOOKUP($L41,Data_Validation!$A:$D,3,0)</f>
        <v>Bilan</v>
      </c>
      <c r="V41" s="156" t="str">
        <f>+VLOOKUP($L41,Data_Validation!$A:$D,4,0)</f>
        <v>Recevables Garantie Manufacturier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hidden="1" customHeight="1">
      <c r="A42" s="1072" t="s">
        <v>2783</v>
      </c>
      <c r="B42" s="1072" t="s">
        <v>2784</v>
      </c>
      <c r="C42" s="1074">
        <v>16307.01</v>
      </c>
      <c r="D42" s="1074">
        <v>-14450.62</v>
      </c>
      <c r="E42" s="1074">
        <v>1856.39</v>
      </c>
      <c r="F42" s="1072" t="s">
        <v>293</v>
      </c>
      <c r="G42" s="1072" t="s">
        <v>2623</v>
      </c>
      <c r="H42" s="1073"/>
      <c r="I42" s="1073"/>
      <c r="J42" s="1073"/>
      <c r="K42" s="1073"/>
      <c r="L42" s="153" t="str">
        <f t="shared" si="0"/>
        <v>1340</v>
      </c>
      <c r="M42" s="154" t="str">
        <f t="shared" si="1"/>
        <v>GARANTIE PPM</v>
      </c>
      <c r="N42" s="155">
        <f>+IF(OR($Q42=Parametres!$G$2,$Q42=Parametres!$G$3),I42,C42)</f>
        <v>16307.01</v>
      </c>
      <c r="O42" s="155">
        <f>+IF(OR($Q42=Parametres!$G$2,$Q42=Parametres!$G$3),J42,D42)</f>
        <v>-14450.62</v>
      </c>
      <c r="P42" s="155">
        <f>+IF(OR($Q42=Parametres!$G$2,$Q42=Parametres!$G$3),K42,E42)</f>
        <v>1856.39</v>
      </c>
      <c r="Q42" s="154" t="str">
        <f t="shared" si="2"/>
        <v>2-Actifs</v>
      </c>
      <c r="R42" s="153" t="str">
        <f t="shared" si="3"/>
        <v>1382</v>
      </c>
      <c r="S42" s="154">
        <f t="shared" si="4"/>
        <v>0</v>
      </c>
      <c r="T42" s="156" t="str">
        <f>+VLOOKUP($L42,Data_Validation!$A:$D,1,0)</f>
        <v>1340</v>
      </c>
      <c r="U42" s="156" t="str">
        <f>+VLOOKUP($L42,Data_Validation!$A:$D,3,0)</f>
        <v>Bilan</v>
      </c>
      <c r="V42" s="156" t="str">
        <f>+VLOOKUP($L42,Data_Validation!$A:$D,4,0)</f>
        <v>recevables Autres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hidden="1" customHeight="1">
      <c r="A43" s="1072" t="s">
        <v>2020</v>
      </c>
      <c r="B43" s="1072" t="s">
        <v>2021</v>
      </c>
      <c r="C43" s="1074">
        <v>161978.07</v>
      </c>
      <c r="D43" s="1074">
        <v>-122223.42</v>
      </c>
      <c r="E43" s="1074">
        <v>39754.65</v>
      </c>
      <c r="F43" s="1072" t="s">
        <v>293</v>
      </c>
      <c r="G43" s="1072" t="s">
        <v>2022</v>
      </c>
      <c r="H43" s="1073"/>
      <c r="I43" s="1073"/>
      <c r="J43" s="1073"/>
      <c r="K43" s="1073"/>
      <c r="L43" s="153" t="str">
        <f t="shared" si="0"/>
        <v>1352</v>
      </c>
      <c r="M43" s="154" t="str">
        <f t="shared" si="1"/>
        <v>RECEV. MANUFACTURIER VOLKS</v>
      </c>
      <c r="N43" s="155">
        <f>+IF(OR($Q43=Parametres!$G$2,$Q43=Parametres!$G$3),I43,C43)</f>
        <v>161978.07</v>
      </c>
      <c r="O43" s="155">
        <f>+IF(OR($Q43=Parametres!$G$2,$Q43=Parametres!$G$3),J43,D43)</f>
        <v>-122223.42</v>
      </c>
      <c r="P43" s="155">
        <f>+IF(OR($Q43=Parametres!$G$2,$Q43=Parametres!$G$3),K43,E43)</f>
        <v>39754.65</v>
      </c>
      <c r="Q43" s="154" t="str">
        <f t="shared" si="2"/>
        <v>2-Actifs</v>
      </c>
      <c r="R43" s="153" t="str">
        <f t="shared" si="3"/>
        <v>1314</v>
      </c>
      <c r="S43" s="154">
        <f t="shared" si="4"/>
        <v>0</v>
      </c>
      <c r="T43" s="156" t="str">
        <f>+VLOOKUP($L43,Data_Validation!$A:$D,1,0)</f>
        <v>1352</v>
      </c>
      <c r="U43" s="156" t="str">
        <f>+VLOOKUP($L43,Data_Validation!$A:$D,3,0)</f>
        <v>Bilan</v>
      </c>
      <c r="V43" s="156" t="str">
        <f>+VLOOKUP($L43,Data_Validation!$A:$D,4,0)</f>
        <v>Recevables Manufacturier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hidden="1" customHeight="1">
      <c r="A44" s="1072" t="s">
        <v>2822</v>
      </c>
      <c r="B44" s="1072" t="s">
        <v>2823</v>
      </c>
      <c r="C44" s="1074">
        <v>53960.13</v>
      </c>
      <c r="D44" s="1074">
        <v>0</v>
      </c>
      <c r="E44" s="1074">
        <v>53960.13</v>
      </c>
      <c r="F44" s="1072" t="s">
        <v>293</v>
      </c>
      <c r="G44" s="1072" t="s">
        <v>2823</v>
      </c>
      <c r="H44" s="1073"/>
      <c r="I44" s="1073"/>
      <c r="J44" s="1073"/>
      <c r="K44" s="1073"/>
      <c r="L44" s="153" t="str">
        <f t="shared" si="0"/>
        <v>1372</v>
      </c>
      <c r="M44" s="154" t="str">
        <f t="shared" si="1"/>
        <v>TAXES DE VENTES A RECEVOIR</v>
      </c>
      <c r="N44" s="155">
        <f>+IF(OR($Q44=Parametres!$G$2,$Q44=Parametres!$G$3),I44,C44)</f>
        <v>53960.13</v>
      </c>
      <c r="O44" s="155">
        <f>+IF(OR($Q44=Parametres!$G$2,$Q44=Parametres!$G$3),J44,D44)</f>
        <v>0</v>
      </c>
      <c r="P44" s="155">
        <f>+IF(OR($Q44=Parametres!$G$2,$Q44=Parametres!$G$3),K44,E44)</f>
        <v>53960.13</v>
      </c>
      <c r="Q44" s="154" t="str">
        <f t="shared" si="2"/>
        <v>2-Actifs</v>
      </c>
      <c r="R44" s="153" t="str">
        <f t="shared" si="3"/>
        <v>1372</v>
      </c>
      <c r="S44" s="154">
        <f t="shared" si="4"/>
        <v>0</v>
      </c>
      <c r="T44" s="156" t="str">
        <f>+VLOOKUP($L44,Data_Validation!$A:$D,1,0)</f>
        <v>1372</v>
      </c>
      <c r="U44" s="156" t="str">
        <f>+VLOOKUP($L44,Data_Validation!$A:$D,3,0)</f>
        <v>Bilan</v>
      </c>
      <c r="V44" s="156" t="str">
        <f>+VLOOKUP($L44,Data_Validation!$A:$D,4,0)</f>
        <v>recevables Autres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hidden="1" customHeight="1">
      <c r="A45" s="1072" t="s">
        <v>2874</v>
      </c>
      <c r="B45" s="1072" t="s">
        <v>2875</v>
      </c>
      <c r="C45" s="1074">
        <v>-45000</v>
      </c>
      <c r="D45" s="1074">
        <v>0</v>
      </c>
      <c r="E45" s="1074">
        <v>-45000</v>
      </c>
      <c r="F45" s="1072" t="s">
        <v>293</v>
      </c>
      <c r="G45" s="1072" t="s">
        <v>2875</v>
      </c>
      <c r="H45" s="1073"/>
      <c r="I45" s="1073"/>
      <c r="J45" s="1073"/>
      <c r="K45" s="1073"/>
      <c r="L45" s="153" t="str">
        <f t="shared" si="0"/>
        <v>1399</v>
      </c>
      <c r="M45" s="154" t="str">
        <f t="shared" si="1"/>
        <v>RESERVE CREANCE DOUTEUSES</v>
      </c>
      <c r="N45" s="155">
        <f>+IF(OR($Q45=Parametres!$G$2,$Q45=Parametres!$G$3),I45,C45)</f>
        <v>-45000</v>
      </c>
      <c r="O45" s="155">
        <f>+IF(OR($Q45=Parametres!$G$2,$Q45=Parametres!$G$3),J45,D45)</f>
        <v>0</v>
      </c>
      <c r="P45" s="155">
        <f>+IF(OR($Q45=Parametres!$G$2,$Q45=Parametres!$G$3),K45,E45)</f>
        <v>-45000</v>
      </c>
      <c r="Q45" s="154" t="str">
        <f t="shared" si="2"/>
        <v>2-Actifs</v>
      </c>
      <c r="R45" s="153" t="str">
        <f t="shared" si="3"/>
        <v>1399</v>
      </c>
      <c r="S45" s="154">
        <f t="shared" si="4"/>
        <v>0</v>
      </c>
      <c r="T45" s="156" t="e">
        <f>+VLOOKUP($L45,Data_Validation!$A:$D,1,0)</f>
        <v>#N/A</v>
      </c>
      <c r="U45" s="156" t="e">
        <f>+VLOOKUP($L45,Data_Validation!$A:$D,3,0)</f>
        <v>#N/A</v>
      </c>
      <c r="V45" s="156" t="e">
        <f>+VLOOKUP($L45,Data_Validation!$A:$D,4,0)</f>
        <v>#N/A</v>
      </c>
      <c r="W45" s="156" t="e">
        <f>+VLOOKUP($L45,Data_Validation!$A:$E,5,0)</f>
        <v>#N/A</v>
      </c>
      <c r="X45" s="156" t="e">
        <f>+VLOOKUP($L45,Data_Validation!$A:$F,6,0)</f>
        <v>#N/A</v>
      </c>
    </row>
    <row r="46" spans="1:24" ht="15" hidden="1" customHeight="1">
      <c r="A46" s="1072" t="s">
        <v>2109</v>
      </c>
      <c r="B46" s="1072" t="s">
        <v>2110</v>
      </c>
      <c r="C46" s="1074">
        <v>3678703.16</v>
      </c>
      <c r="D46" s="1074">
        <v>23865.06</v>
      </c>
      <c r="E46" s="1074">
        <v>3702568.22</v>
      </c>
      <c r="F46" s="1072" t="s">
        <v>293</v>
      </c>
      <c r="G46" s="1072" t="s">
        <v>2110</v>
      </c>
      <c r="H46" s="1073"/>
      <c r="I46" s="1073"/>
      <c r="J46" s="1073"/>
      <c r="K46" s="1073"/>
      <c r="L46" s="153" t="str">
        <f t="shared" si="0"/>
        <v>1402</v>
      </c>
      <c r="M46" s="154" t="str">
        <f t="shared" si="1"/>
        <v>VEHIC. NEUFS VOLKS</v>
      </c>
      <c r="N46" s="155">
        <f>+IF(OR($Q46=Parametres!$G$2,$Q46=Parametres!$G$3),I46,C46)</f>
        <v>3678703.16</v>
      </c>
      <c r="O46" s="155">
        <f>+IF(OR($Q46=Parametres!$G$2,$Q46=Parametres!$G$3),J46,D46)</f>
        <v>23865.06</v>
      </c>
      <c r="P46" s="155">
        <f>+IF(OR($Q46=Parametres!$G$2,$Q46=Parametres!$G$3),K46,E46)</f>
        <v>3702568.22</v>
      </c>
      <c r="Q46" s="154" t="str">
        <f t="shared" si="2"/>
        <v>2-Actifs</v>
      </c>
      <c r="R46" s="153" t="str">
        <f t="shared" si="3"/>
        <v>1402</v>
      </c>
      <c r="S46" s="154">
        <f t="shared" si="4"/>
        <v>0</v>
      </c>
      <c r="T46" s="156" t="str">
        <f>+VLOOKUP($L46,Data_Validation!$A:$D,1,0)</f>
        <v>1402</v>
      </c>
      <c r="U46" s="156" t="str">
        <f>+VLOOKUP($L46,Data_Validation!$A:$D,3,0)</f>
        <v>Bilan</v>
      </c>
      <c r="V46" s="156" t="str">
        <f>+VLOOKUP($L46,Data_Validation!$A:$D,4,0)</f>
        <v>Inventaire Véhicules Neufs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hidden="1" customHeight="1">
      <c r="A47" s="1072" t="s">
        <v>2477</v>
      </c>
      <c r="B47" s="1072" t="s">
        <v>2478</v>
      </c>
      <c r="C47" s="1073"/>
      <c r="D47" s="1073"/>
      <c r="E47" s="1073"/>
      <c r="F47" s="1072" t="s">
        <v>4</v>
      </c>
      <c r="G47" s="1072" t="s">
        <v>2110</v>
      </c>
      <c r="H47" s="1073"/>
      <c r="I47" s="1074">
        <v>112</v>
      </c>
      <c r="J47" s="1074">
        <v>2</v>
      </c>
      <c r="K47" s="1074">
        <v>114</v>
      </c>
      <c r="L47" s="153" t="str">
        <f t="shared" si="0"/>
        <v>1402@</v>
      </c>
      <c r="M47" s="154" t="str">
        <f t="shared" si="1"/>
        <v># DE INVENTAIRE VEH.NEUFS VW</v>
      </c>
      <c r="N47" s="155">
        <f>+IF(OR($Q47=Parametres!$G$2,$Q47=Parametres!$G$3),I47,C47)</f>
        <v>112</v>
      </c>
      <c r="O47" s="155">
        <f>+IF(OR($Q47=Parametres!$G$2,$Q47=Parametres!$G$3),J47,D47)</f>
        <v>2</v>
      </c>
      <c r="P47" s="155">
        <f>+IF(OR($Q47=Parametres!$G$2,$Q47=Parametres!$G$3),K47,E47)</f>
        <v>114</v>
      </c>
      <c r="Q47" s="154" t="str">
        <f t="shared" si="2"/>
        <v>10-Compte compteur</v>
      </c>
      <c r="R47" s="153" t="str">
        <f t="shared" si="3"/>
        <v>1402</v>
      </c>
      <c r="S47" s="154">
        <f t="shared" si="4"/>
        <v>0</v>
      </c>
      <c r="T47" s="156" t="str">
        <f>+VLOOKUP($L47,Data_Validation!$A:$D,1,0)</f>
        <v>1402@</v>
      </c>
      <c r="U47" s="156">
        <f>+VLOOKUP($L47,Data_Validation!$A:$D,3,0)</f>
        <v>0</v>
      </c>
      <c r="V47" s="156">
        <f>+VLOOKUP($L47,Data_Validation!$A:$D,4,0)</f>
        <v>0</v>
      </c>
      <c r="W47" s="156">
        <f>+VLOOKUP($L47,Data_Validation!$A:$E,5,0)</f>
        <v>0</v>
      </c>
      <c r="X47" s="156">
        <f>+VLOOKUP($L47,Data_Validation!$A:$F,6,0)</f>
        <v>0</v>
      </c>
    </row>
    <row r="48" spans="1:24" ht="15.75" hidden="1" customHeight="1">
      <c r="A48" s="1072" t="s">
        <v>2118</v>
      </c>
      <c r="B48" s="1072" t="s">
        <v>2119</v>
      </c>
      <c r="C48" s="1074">
        <v>-132337.5</v>
      </c>
      <c r="D48" s="1074">
        <v>-16993.72</v>
      </c>
      <c r="E48" s="1074">
        <v>-149331.22</v>
      </c>
      <c r="F48" s="1072" t="s">
        <v>293</v>
      </c>
      <c r="G48" s="1072" t="s">
        <v>2110</v>
      </c>
      <c r="H48" s="1073"/>
      <c r="I48" s="1073"/>
      <c r="J48" s="1073"/>
      <c r="K48" s="1073"/>
      <c r="L48" s="153" t="str">
        <f t="shared" si="0"/>
        <v>1403</v>
      </c>
      <c r="M48" s="154" t="str">
        <f t="shared" si="1"/>
        <v>BRUISING VOLKS VEH. NEUFS</v>
      </c>
      <c r="N48" s="155">
        <f>+IF(OR($Q48=Parametres!$G$2,$Q48=Parametres!$G$3),I48,C48)</f>
        <v>-132337.5</v>
      </c>
      <c r="O48" s="155">
        <f>+IF(OR($Q48=Parametres!$G$2,$Q48=Parametres!$G$3),J48,D48)</f>
        <v>-16993.72</v>
      </c>
      <c r="P48" s="155">
        <f>+IF(OR($Q48=Parametres!$G$2,$Q48=Parametres!$G$3),K48,E48)</f>
        <v>-149331.22</v>
      </c>
      <c r="Q48" s="154" t="str">
        <f t="shared" si="2"/>
        <v>2-Actifs</v>
      </c>
      <c r="R48" s="153" t="str">
        <f t="shared" si="3"/>
        <v>1402</v>
      </c>
      <c r="S48" s="154">
        <f t="shared" si="4"/>
        <v>0</v>
      </c>
      <c r="T48" s="156" t="str">
        <f>+VLOOKUP($L48,Data_Validation!$A:$D,1,0)</f>
        <v>1403</v>
      </c>
      <c r="U48" s="156" t="str">
        <f>+VLOOKUP($L48,Data_Validation!$A:$D,3,0)</f>
        <v>Bilan</v>
      </c>
      <c r="V48" s="156" t="str">
        <f>+VLOOKUP($L48,Data_Validation!$A:$D,4,0)</f>
        <v>Inventaire Véhicules Neufs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hidden="1" customHeight="1">
      <c r="A49" s="1072" t="s">
        <v>2761</v>
      </c>
      <c r="B49" s="1072" t="s">
        <v>2762</v>
      </c>
      <c r="C49" s="1074">
        <v>-15000</v>
      </c>
      <c r="D49" s="1074">
        <v>-3600</v>
      </c>
      <c r="E49" s="1074">
        <v>-18600</v>
      </c>
      <c r="F49" s="1072" t="s">
        <v>293</v>
      </c>
      <c r="G49" s="1072" t="s">
        <v>2762</v>
      </c>
      <c r="H49" s="1073"/>
      <c r="I49" s="1073"/>
      <c r="J49" s="1073"/>
      <c r="K49" s="1073"/>
      <c r="L49" s="153" t="str">
        <f t="shared" si="0"/>
        <v>1413</v>
      </c>
      <c r="M49" s="154" t="str">
        <f t="shared" si="1"/>
        <v>BRUISING USED CAR</v>
      </c>
      <c r="N49" s="155">
        <f>+IF(OR($Q49=Parametres!$G$2,$Q49=Parametres!$G$3),I49,C49)</f>
        <v>-15000</v>
      </c>
      <c r="O49" s="608">
        <f>+IF(OR($Q49=Parametres!$G$2,$Q49=Parametres!$G$3),J49,D49)</f>
        <v>-3600</v>
      </c>
      <c r="P49" s="155">
        <f>+IF(OR($Q49=Parametres!$G$2,$Q49=Parametres!$G$3),K49,E49)</f>
        <v>-18600</v>
      </c>
      <c r="Q49" s="154" t="str">
        <f t="shared" si="2"/>
        <v>2-Actifs</v>
      </c>
      <c r="R49" s="153" t="str">
        <f t="shared" si="3"/>
        <v>1413</v>
      </c>
      <c r="S49" s="154">
        <f t="shared" si="4"/>
        <v>0</v>
      </c>
      <c r="T49" s="156" t="str">
        <f>+VLOOKUP($L49,Data_Validation!$A:$D,1,0)</f>
        <v>1413</v>
      </c>
      <c r="U49" s="156" t="str">
        <f>+VLOOKUP($L49,Data_Validation!$A:$D,3,0)</f>
        <v>Bilan</v>
      </c>
      <c r="V49" s="156" t="str">
        <f>+VLOOKUP($L49,Data_Validation!$A:$D,4,0)</f>
        <v>Inventaire Véhicules Usagés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72" t="s">
        <v>2826</v>
      </c>
      <c r="B50" s="1072" t="s">
        <v>2481</v>
      </c>
      <c r="C50" s="1074">
        <v>1275119.93</v>
      </c>
      <c r="D50" s="1074">
        <v>25791.3</v>
      </c>
      <c r="E50" s="1074">
        <v>1300911.23</v>
      </c>
      <c r="F50" s="1072" t="s">
        <v>293</v>
      </c>
      <c r="G50" s="1072" t="s">
        <v>2481</v>
      </c>
      <c r="H50" s="1073"/>
      <c r="I50" s="1073"/>
      <c r="J50" s="1073"/>
      <c r="K50" s="1073"/>
      <c r="L50" s="153" t="str">
        <f t="shared" si="0"/>
        <v>1416</v>
      </c>
      <c r="M50" s="154" t="str">
        <f t="shared" si="1"/>
        <v>INV. VEH. USAGE VW</v>
      </c>
      <c r="N50" s="155">
        <f>+IF(OR($Q50=Parametres!$G$2,$Q50=Parametres!$G$3),I50,C50)</f>
        <v>1275119.93</v>
      </c>
      <c r="O50" s="155">
        <f>+IF(OR($Q50=Parametres!$G$2,$Q50=Parametres!$G$3),J50,D50)</f>
        <v>25791.3</v>
      </c>
      <c r="P50" s="155">
        <f>+IF(OR($Q50=Parametres!$G$2,$Q50=Parametres!$G$3),K50,E50)</f>
        <v>1300911.23</v>
      </c>
      <c r="Q50" s="154" t="str">
        <f t="shared" si="2"/>
        <v>2-Actifs</v>
      </c>
      <c r="R50" s="153" t="str">
        <f t="shared" si="3"/>
        <v>1416</v>
      </c>
      <c r="S50" s="154">
        <f t="shared" si="4"/>
        <v>0</v>
      </c>
      <c r="T50" s="156" t="str">
        <f>+VLOOKUP($L50,Data_Validation!$A:$D,1,0)</f>
        <v>1416</v>
      </c>
      <c r="U50" s="156" t="str">
        <f>+VLOOKUP($L50,Data_Validation!$A:$D,3,0)</f>
        <v>Bilan</v>
      </c>
      <c r="V50" s="156" t="str">
        <f>+VLOOKUP($L50,Data_Validation!$A:$D,4,0)</f>
        <v>Inventaire Véhicules Usagés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hidden="1" customHeight="1">
      <c r="A51" s="1072" t="s">
        <v>2479</v>
      </c>
      <c r="B51" s="1072" t="s">
        <v>2480</v>
      </c>
      <c r="C51" s="1073"/>
      <c r="D51" s="1073"/>
      <c r="E51" s="1073"/>
      <c r="F51" s="1072" t="s">
        <v>4</v>
      </c>
      <c r="G51" s="1072" t="s">
        <v>2481</v>
      </c>
      <c r="H51" s="1073"/>
      <c r="I51" s="1074">
        <v>76</v>
      </c>
      <c r="J51" s="1074">
        <v>-6</v>
      </c>
      <c r="K51" s="1074">
        <v>70</v>
      </c>
      <c r="L51" s="153" t="str">
        <f t="shared" si="0"/>
        <v>1416@</v>
      </c>
      <c r="M51" s="154" t="str">
        <f t="shared" si="1"/>
        <v># DE INV. VEH. USAGE VW</v>
      </c>
      <c r="N51" s="155">
        <f>+IF(OR($Q51=Parametres!$G$2,$Q51=Parametres!$G$3),I51,C51)</f>
        <v>76</v>
      </c>
      <c r="O51" s="155">
        <f>+IF(OR($Q51=Parametres!$G$2,$Q51=Parametres!$G$3),J51,D51)</f>
        <v>-6</v>
      </c>
      <c r="P51" s="155">
        <f>+IF(OR($Q51=Parametres!$G$2,$Q51=Parametres!$G$3),K51,E51)</f>
        <v>70</v>
      </c>
      <c r="Q51" s="154" t="str">
        <f t="shared" si="2"/>
        <v>10-Compte compteur</v>
      </c>
      <c r="R51" s="153" t="str">
        <f t="shared" si="3"/>
        <v>1416</v>
      </c>
      <c r="S51" s="154">
        <f t="shared" si="4"/>
        <v>0</v>
      </c>
      <c r="T51" s="156" t="str">
        <f>+VLOOKUP($L51,Data_Validation!$A:$D,1,0)</f>
        <v>1416@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hidden="1" customHeight="1">
      <c r="A52" s="1072" t="s">
        <v>2876</v>
      </c>
      <c r="B52" s="1072" t="s">
        <v>2877</v>
      </c>
      <c r="C52" s="1074">
        <v>-15404.61</v>
      </c>
      <c r="D52" s="1074">
        <v>0</v>
      </c>
      <c r="E52" s="1074">
        <v>-15404.61</v>
      </c>
      <c r="F52" s="1072" t="s">
        <v>293</v>
      </c>
      <c r="G52" s="1072" t="s">
        <v>2877</v>
      </c>
      <c r="H52" s="1073"/>
      <c r="I52" s="1073"/>
      <c r="J52" s="1073"/>
      <c r="K52" s="1073"/>
      <c r="L52" s="153" t="str">
        <f t="shared" si="0"/>
        <v>1423</v>
      </c>
      <c r="M52" s="154" t="str">
        <f t="shared" si="1"/>
        <v>RESERVE DEMO</v>
      </c>
      <c r="N52" s="155">
        <f>+IF(OR($Q52=Parametres!$G$2,$Q52=Parametres!$G$3),I52,C52)</f>
        <v>-15404.61</v>
      </c>
      <c r="O52" s="155">
        <f>+IF(OR($Q52=Parametres!$G$2,$Q52=Parametres!$G$3),J52,D52)</f>
        <v>0</v>
      </c>
      <c r="P52" s="155">
        <f>+IF(OR($Q52=Parametres!$G$2,$Q52=Parametres!$G$3),K52,E52)</f>
        <v>-15404.61</v>
      </c>
      <c r="Q52" s="154" t="str">
        <f t="shared" si="2"/>
        <v>2-Actifs</v>
      </c>
      <c r="R52" s="153" t="str">
        <f t="shared" si="3"/>
        <v>1423</v>
      </c>
      <c r="S52" s="154">
        <f t="shared" si="4"/>
        <v>0</v>
      </c>
      <c r="T52" s="156" t="e">
        <f>+VLOOKUP($L52,Data_Validation!$A:$D,1,0)</f>
        <v>#N/A</v>
      </c>
      <c r="U52" s="156" t="e">
        <f>+VLOOKUP($L52,Data_Validation!$A:$D,3,0)</f>
        <v>#N/A</v>
      </c>
      <c r="V52" s="156" t="e">
        <f>+VLOOKUP($L52,Data_Validation!$A:$D,4,0)</f>
        <v>#N/A</v>
      </c>
      <c r="W52" s="156" t="e">
        <f>+VLOOKUP($L52,Data_Validation!$A:$E,5,0)</f>
        <v>#N/A</v>
      </c>
      <c r="X52" s="156" t="e">
        <f>+VLOOKUP($L52,Data_Validation!$A:$F,6,0)</f>
        <v>#N/A</v>
      </c>
    </row>
    <row r="53" spans="1:24" ht="15" hidden="1" customHeight="1">
      <c r="A53" s="1072" t="s">
        <v>2878</v>
      </c>
      <c r="B53" s="1072" t="s">
        <v>2879</v>
      </c>
      <c r="C53" s="1074">
        <v>-33322.31</v>
      </c>
      <c r="D53" s="1074">
        <v>0</v>
      </c>
      <c r="E53" s="1074">
        <v>-33322.31</v>
      </c>
      <c r="F53" s="1072" t="s">
        <v>293</v>
      </c>
      <c r="G53" s="1072" t="s">
        <v>2880</v>
      </c>
      <c r="H53" s="1073"/>
      <c r="I53" s="1073"/>
      <c r="J53" s="1073"/>
      <c r="K53" s="1073"/>
      <c r="L53" s="153" t="str">
        <f t="shared" si="0"/>
        <v>1433</v>
      </c>
      <c r="M53" s="154" t="str">
        <f t="shared" si="1"/>
        <v>RESERVE COURTOISIE</v>
      </c>
      <c r="N53" s="155">
        <f>+IF(OR($Q53=Parametres!$G$2,$Q53=Parametres!$G$3),I53,C53)</f>
        <v>-33322.31</v>
      </c>
      <c r="O53" s="155">
        <f>+IF(OR($Q53=Parametres!$G$2,$Q53=Parametres!$G$3),J53,D53)</f>
        <v>0</v>
      </c>
      <c r="P53" s="155">
        <f>+IF(OR($Q53=Parametres!$G$2,$Q53=Parametres!$G$3),K53,E53)</f>
        <v>-33322.31</v>
      </c>
      <c r="Q53" s="154" t="str">
        <f t="shared" si="2"/>
        <v>2-Actifs</v>
      </c>
      <c r="R53" s="153" t="str">
        <f t="shared" si="3"/>
        <v>143</v>
      </c>
      <c r="S53" s="154">
        <f t="shared" si="4"/>
        <v>0</v>
      </c>
      <c r="T53" s="156" t="e">
        <f>+VLOOKUP($L53,Data_Validation!$A:$D,1,0)</f>
        <v>#N/A</v>
      </c>
      <c r="U53" s="156" t="e">
        <f>+VLOOKUP($L53,Data_Validation!$A:$D,3,0)</f>
        <v>#N/A</v>
      </c>
      <c r="V53" s="156" t="e">
        <f>+VLOOKUP($L53,Data_Validation!$A:$D,4,0)</f>
        <v>#N/A</v>
      </c>
      <c r="W53" s="156" t="e">
        <f>+VLOOKUP($L53,Data_Validation!$A:$E,5,0)</f>
        <v>#N/A</v>
      </c>
      <c r="X53" s="156" t="e">
        <f>+VLOOKUP($L53,Data_Validation!$A:$F,6,0)</f>
        <v>#N/A</v>
      </c>
    </row>
    <row r="54" spans="1:24" ht="15" hidden="1" customHeight="1">
      <c r="A54" s="1072" t="s">
        <v>2032</v>
      </c>
      <c r="B54" s="1072" t="s">
        <v>2033</v>
      </c>
      <c r="C54" s="1074">
        <v>259079.71</v>
      </c>
      <c r="D54" s="1074">
        <v>-59302.85</v>
      </c>
      <c r="E54" s="1074">
        <v>199776.86</v>
      </c>
      <c r="F54" s="1072" t="s">
        <v>293</v>
      </c>
      <c r="G54" s="1072" t="s">
        <v>2033</v>
      </c>
      <c r="H54" s="1073"/>
      <c r="I54" s="1073"/>
      <c r="J54" s="1073"/>
      <c r="K54" s="1073"/>
      <c r="L54" s="153" t="str">
        <f t="shared" si="0"/>
        <v>1442</v>
      </c>
      <c r="M54" s="154" t="str">
        <f t="shared" si="1"/>
        <v>PIECES &amp; ACCESSOIRES NEUFS</v>
      </c>
      <c r="N54" s="155">
        <f>+IF(OR($Q54=Parametres!$G$2,$Q54=Parametres!$G$3),I54,C54)</f>
        <v>259079.71</v>
      </c>
      <c r="O54" s="155">
        <f>+IF(OR($Q54=Parametres!$G$2,$Q54=Parametres!$G$3),J54,D54)</f>
        <v>-59302.85</v>
      </c>
      <c r="P54" s="155">
        <f>+IF(OR($Q54=Parametres!$G$2,$Q54=Parametres!$G$3),K54,E54)</f>
        <v>199776.86</v>
      </c>
      <c r="Q54" s="154" t="str">
        <f t="shared" si="2"/>
        <v>2-Actifs</v>
      </c>
      <c r="R54" s="153" t="str">
        <f t="shared" si="3"/>
        <v>1442</v>
      </c>
      <c r="S54" s="154">
        <f t="shared" si="4"/>
        <v>0</v>
      </c>
      <c r="T54" s="156" t="str">
        <f>+VLOOKUP($L54,Data_Validation!$A:$D,1,0)</f>
        <v>1442</v>
      </c>
      <c r="U54" s="156" t="str">
        <f>+VLOOKUP($L54,Data_Validation!$A:$D,3,0)</f>
        <v>Bilan</v>
      </c>
      <c r="V54" s="156" t="str">
        <f>+VLOOKUP($L54,Data_Validation!$A:$D,4,0)</f>
        <v>Inventaire Pièces, Pneus, Huile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072" t="s">
        <v>2881</v>
      </c>
      <c r="B55" s="1072" t="s">
        <v>2882</v>
      </c>
      <c r="C55" s="1074">
        <v>329.48</v>
      </c>
      <c r="D55" s="1074">
        <v>3593.64</v>
      </c>
      <c r="E55" s="1074">
        <v>3923.12</v>
      </c>
      <c r="F55" s="1072" t="s">
        <v>293</v>
      </c>
      <c r="G55" s="1072" t="s">
        <v>2033</v>
      </c>
      <c r="H55" s="1073"/>
      <c r="I55" s="1073"/>
      <c r="J55" s="1073"/>
      <c r="K55" s="1073"/>
      <c r="L55" s="153" t="str">
        <f t="shared" si="0"/>
        <v>1448</v>
      </c>
      <c r="M55" s="154" t="str">
        <f t="shared" si="1"/>
        <v>AUTRES MARQUES P&amp;A</v>
      </c>
      <c r="N55" s="155">
        <f>+IF(OR($Q55=Parametres!$G$2,$Q55=Parametres!$G$3),I55,C55)</f>
        <v>329.48</v>
      </c>
      <c r="O55" s="155">
        <f>+IF(OR($Q55=Parametres!$G$2,$Q55=Parametres!$G$3),J55,D55)</f>
        <v>3593.64</v>
      </c>
      <c r="P55" s="155">
        <f>+IF(OR($Q55=Parametres!$G$2,$Q55=Parametres!$G$3),K55,E55)</f>
        <v>3923.12</v>
      </c>
      <c r="Q55" s="154" t="str">
        <f t="shared" si="2"/>
        <v>2-Actifs</v>
      </c>
      <c r="R55" s="153" t="str">
        <f t="shared" si="3"/>
        <v>1442</v>
      </c>
      <c r="S55" s="154">
        <f t="shared" si="4"/>
        <v>0</v>
      </c>
      <c r="T55" s="156" t="e">
        <f>+VLOOKUP($L55,Data_Validation!$A:$D,1,0)</f>
        <v>#N/A</v>
      </c>
      <c r="U55" s="156" t="e">
        <f>+VLOOKUP($L55,Data_Validation!$A:$D,3,0)</f>
        <v>#N/A</v>
      </c>
      <c r="V55" s="156" t="e">
        <f>+VLOOKUP($L55,Data_Validation!$A:$D,4,0)</f>
        <v>#N/A</v>
      </c>
      <c r="W55" s="156" t="e">
        <f>+VLOOKUP($L55,Data_Validation!$A:$E,5,0)</f>
        <v>#N/A</v>
      </c>
      <c r="X55" s="156" t="e">
        <f>+VLOOKUP($L55,Data_Validation!$A:$F,6,0)</f>
        <v>#N/A</v>
      </c>
    </row>
    <row r="56" spans="1:24" ht="15.75" hidden="1" customHeight="1">
      <c r="A56" s="1072" t="s">
        <v>2824</v>
      </c>
      <c r="B56" s="1072" t="s">
        <v>2825</v>
      </c>
      <c r="C56" s="1074">
        <v>130332.05</v>
      </c>
      <c r="D56" s="1074">
        <v>7170.72</v>
      </c>
      <c r="E56" s="1074">
        <v>137502.76999999999</v>
      </c>
      <c r="F56" s="1072" t="s">
        <v>293</v>
      </c>
      <c r="G56" s="1072" t="s">
        <v>2033</v>
      </c>
      <c r="H56" s="1073"/>
      <c r="I56" s="1073"/>
      <c r="J56" s="1073"/>
      <c r="K56" s="1073"/>
      <c r="L56" s="153" t="str">
        <f t="shared" si="0"/>
        <v>1452</v>
      </c>
      <c r="M56" s="154" t="str">
        <f t="shared" si="1"/>
        <v>PNEUS</v>
      </c>
      <c r="N56" s="155">
        <f>+IF(OR($Q56=Parametres!$G$2,$Q56=Parametres!$G$3),I56,C56)</f>
        <v>130332.05</v>
      </c>
      <c r="O56" s="155">
        <f>+IF(OR($Q56=Parametres!$G$2,$Q56=Parametres!$G$3),J56,D56)</f>
        <v>7170.72</v>
      </c>
      <c r="P56" s="155">
        <f>+IF(OR($Q56=Parametres!$G$2,$Q56=Parametres!$G$3),K56,E56)</f>
        <v>137502.76999999999</v>
      </c>
      <c r="Q56" s="154" t="str">
        <f t="shared" si="2"/>
        <v>2-Actifs</v>
      </c>
      <c r="R56" s="153" t="str">
        <f t="shared" si="3"/>
        <v>1442</v>
      </c>
      <c r="S56" s="154">
        <f t="shared" si="4"/>
        <v>0</v>
      </c>
      <c r="T56" s="156" t="str">
        <f>+VLOOKUP($L56,Data_Validation!$A:$D,1,0)</f>
        <v>1452</v>
      </c>
      <c r="U56" s="156" t="str">
        <f>+VLOOKUP($L56,Data_Validation!$A:$D,3,0)</f>
        <v>Bilan</v>
      </c>
      <c r="V56" s="156" t="str">
        <f>+VLOOKUP($L56,Data_Validation!$A:$D,4,0)</f>
        <v>Inventaire Pièces, Pneus, Huile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72" t="s">
        <v>2740</v>
      </c>
      <c r="B57" s="1072" t="s">
        <v>2741</v>
      </c>
      <c r="C57" s="1074">
        <v>30227.87</v>
      </c>
      <c r="D57" s="1074">
        <v>326.24</v>
      </c>
      <c r="E57" s="1074">
        <v>30554.11</v>
      </c>
      <c r="F57" s="1072" t="s">
        <v>293</v>
      </c>
      <c r="G57" s="1072" t="s">
        <v>2741</v>
      </c>
      <c r="H57" s="1073"/>
      <c r="I57" s="1073"/>
      <c r="J57" s="1073"/>
      <c r="K57" s="1073"/>
      <c r="L57" s="153" t="str">
        <f t="shared" si="0"/>
        <v>1456</v>
      </c>
      <c r="M57" s="154" t="str">
        <f t="shared" si="1"/>
        <v>PIECES VW NON ORIGINE</v>
      </c>
      <c r="N57" s="155">
        <f>+IF(OR($Q57=Parametres!$G$2,$Q57=Parametres!$G$3),I57,C57)</f>
        <v>30227.87</v>
      </c>
      <c r="O57" s="155">
        <f>+IF(OR($Q57=Parametres!$G$2,$Q57=Parametres!$G$3),J57,D57)</f>
        <v>326.24</v>
      </c>
      <c r="P57" s="155">
        <f>+IF(OR($Q57=Parametres!$G$2,$Q57=Parametres!$G$3),K57,E57)</f>
        <v>30554.11</v>
      </c>
      <c r="Q57" s="154" t="str">
        <f t="shared" si="2"/>
        <v>2-Actifs</v>
      </c>
      <c r="R57" s="153" t="str">
        <f t="shared" si="3"/>
        <v>1456</v>
      </c>
      <c r="S57" s="154">
        <f t="shared" si="4"/>
        <v>0</v>
      </c>
      <c r="T57" s="156" t="str">
        <f>+VLOOKUP($L57,Data_Validation!$A:$D,1,0)</f>
        <v>1456</v>
      </c>
      <c r="U57" s="156" t="str">
        <f>+VLOOKUP($L57,Data_Validation!$A:$D,3,0)</f>
        <v>Bilan</v>
      </c>
      <c r="V57" s="156" t="str">
        <f>+VLOOKUP($L57,Data_Validation!$A:$D,4,0)</f>
        <v>Inventaire Pièces, Pneus, Huile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72" t="s">
        <v>2589</v>
      </c>
      <c r="B58" s="1072" t="s">
        <v>2590</v>
      </c>
      <c r="C58" s="1074">
        <v>16790.64</v>
      </c>
      <c r="D58" s="1074">
        <v>-9667.6</v>
      </c>
      <c r="E58" s="1074">
        <v>7123.04</v>
      </c>
      <c r="F58" s="1072" t="s">
        <v>293</v>
      </c>
      <c r="G58" s="1072" t="s">
        <v>2590</v>
      </c>
      <c r="H58" s="1073"/>
      <c r="I58" s="1073"/>
      <c r="J58" s="1073"/>
      <c r="K58" s="1073"/>
      <c r="L58" s="153" t="str">
        <f t="shared" si="0"/>
        <v>1472</v>
      </c>
      <c r="M58" s="154" t="str">
        <f t="shared" si="1"/>
        <v>WIP M-O VW</v>
      </c>
      <c r="N58" s="155">
        <f>+IF(OR($Q58=Parametres!$G$2,$Q58=Parametres!$G$3),I58,C58)</f>
        <v>16790.64</v>
      </c>
      <c r="O58" s="155">
        <f>+IF(OR($Q58=Parametres!$G$2,$Q58=Parametres!$G$3),J58,D58)</f>
        <v>-9667.6</v>
      </c>
      <c r="P58" s="155">
        <f>+IF(OR($Q58=Parametres!$G$2,$Q58=Parametres!$G$3),K58,E58)</f>
        <v>7123.04</v>
      </c>
      <c r="Q58" s="154" t="str">
        <f t="shared" si="2"/>
        <v>2-Actifs</v>
      </c>
      <c r="R58" s="153" t="str">
        <f t="shared" si="3"/>
        <v>1472</v>
      </c>
      <c r="S58" s="154">
        <f t="shared" si="4"/>
        <v>0</v>
      </c>
      <c r="T58" s="156" t="str">
        <f>+VLOOKUP($L58,Data_Validation!$A:$D,1,0)</f>
        <v>1472</v>
      </c>
      <c r="U58" s="156" t="str">
        <f>+VLOOKUP($L58,Data_Validation!$A:$D,3,0)</f>
        <v>Bilan</v>
      </c>
      <c r="V58" s="156" t="str">
        <f>+VLOOKUP($L58,Data_Validation!$A:$D,4,0)</f>
        <v>Travaux en Cours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72" t="s">
        <v>2763</v>
      </c>
      <c r="B59" s="1072" t="s">
        <v>2764</v>
      </c>
      <c r="C59" s="1074">
        <v>17257.13</v>
      </c>
      <c r="D59" s="1074">
        <v>-21378.55</v>
      </c>
      <c r="E59" s="1074">
        <v>-4121.42</v>
      </c>
      <c r="F59" s="1072" t="s">
        <v>293</v>
      </c>
      <c r="G59" s="1072" t="s">
        <v>2590</v>
      </c>
      <c r="H59" s="1073"/>
      <c r="I59" s="1073"/>
      <c r="J59" s="1073"/>
      <c r="K59" s="1073"/>
      <c r="L59" s="153" t="str">
        <f t="shared" si="0"/>
        <v>1474</v>
      </c>
      <c r="M59" s="154" t="str">
        <f t="shared" si="1"/>
        <v>INVENTAIRE SOUS-TRAITANTS</v>
      </c>
      <c r="N59" s="155">
        <f>+IF(OR($Q59=Parametres!$G$2,$Q59=Parametres!$G$3),I59,C59)</f>
        <v>17257.13</v>
      </c>
      <c r="O59" s="608">
        <f>+IF(OR($Q59=Parametres!$G$2,$Q59=Parametres!$G$3),J59,D59)</f>
        <v>-21378.55</v>
      </c>
      <c r="P59" s="155">
        <f>+IF(OR($Q59=Parametres!$G$2,$Q59=Parametres!$G$3),K59,E59)</f>
        <v>-4121.42</v>
      </c>
      <c r="Q59" s="154" t="str">
        <f t="shared" si="2"/>
        <v>2-Actifs</v>
      </c>
      <c r="R59" s="153" t="str">
        <f t="shared" si="3"/>
        <v>1472</v>
      </c>
      <c r="S59" s="154">
        <f t="shared" si="4"/>
        <v>0</v>
      </c>
      <c r="T59" s="156" t="str">
        <f>+VLOOKUP($L59,Data_Validation!$A:$D,1,0)</f>
        <v>1474</v>
      </c>
      <c r="U59" s="156" t="str">
        <f>+VLOOKUP($L59,Data_Validation!$A:$D,3,0)</f>
        <v>Bilan</v>
      </c>
      <c r="V59" s="156" t="str">
        <f>+VLOOKUP($L59,Data_Validation!$A:$D,4,0)</f>
        <v>Sous-Traitance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72" t="s">
        <v>2140</v>
      </c>
      <c r="B60" s="1072" t="s">
        <v>2141</v>
      </c>
      <c r="C60" s="1074">
        <v>26215.66</v>
      </c>
      <c r="D60" s="1074">
        <v>-4604.01</v>
      </c>
      <c r="E60" s="1074">
        <v>21611.65</v>
      </c>
      <c r="F60" s="1072" t="s">
        <v>293</v>
      </c>
      <c r="G60" s="1072" t="s">
        <v>2033</v>
      </c>
      <c r="H60" s="1073"/>
      <c r="I60" s="1073"/>
      <c r="J60" s="1073"/>
      <c r="K60" s="1073"/>
      <c r="L60" s="153" t="str">
        <f t="shared" si="0"/>
        <v>1492</v>
      </c>
      <c r="M60" s="154" t="str">
        <f t="shared" si="1"/>
        <v>CARBURANT, HUILE, GRAISSE</v>
      </c>
      <c r="N60" s="155">
        <f>+IF(OR($Q60=Parametres!$G$2,$Q60=Parametres!$G$3),I60,C60)</f>
        <v>26215.66</v>
      </c>
      <c r="O60" s="155">
        <f>+IF(OR($Q60=Parametres!$G$2,$Q60=Parametres!$G$3),J60,D60)</f>
        <v>-4604.01</v>
      </c>
      <c r="P60" s="155">
        <f>+IF(OR($Q60=Parametres!$G$2,$Q60=Parametres!$G$3),K60,E60)</f>
        <v>21611.65</v>
      </c>
      <c r="Q60" s="154" t="str">
        <f t="shared" si="2"/>
        <v>2-Actifs</v>
      </c>
      <c r="R60" s="153" t="str">
        <f t="shared" si="3"/>
        <v>1442</v>
      </c>
      <c r="S60" s="154">
        <f t="shared" si="4"/>
        <v>0</v>
      </c>
      <c r="T60" s="156" t="str">
        <f>+VLOOKUP($L60,Data_Validation!$A:$D,1,0)</f>
        <v>1492</v>
      </c>
      <c r="U60" s="156" t="str">
        <f>+VLOOKUP($L60,Data_Validation!$A:$D,3,0)</f>
        <v>Bilan</v>
      </c>
      <c r="V60" s="156" t="str">
        <f>+VLOOKUP($L60,Data_Validation!$A:$D,4,0)</f>
        <v>Inventaire Pièces, Pneus, Huile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72" t="s">
        <v>2691</v>
      </c>
      <c r="B61" s="1072" t="s">
        <v>2692</v>
      </c>
      <c r="C61" s="1074">
        <v>0</v>
      </c>
      <c r="D61" s="1074">
        <v>-145</v>
      </c>
      <c r="E61" s="1074">
        <v>-145</v>
      </c>
      <c r="F61" s="1072" t="s">
        <v>293</v>
      </c>
      <c r="G61" s="1072" t="s">
        <v>2692</v>
      </c>
      <c r="H61" s="1073"/>
      <c r="I61" s="1073"/>
      <c r="J61" s="1073"/>
      <c r="K61" s="1073"/>
      <c r="L61" s="153" t="str">
        <f t="shared" si="0"/>
        <v>1498</v>
      </c>
      <c r="M61" s="154" t="str">
        <f t="shared" si="1"/>
        <v>AUTRES INVENTAIRES</v>
      </c>
      <c r="N61" s="155">
        <f>+IF(OR($Q61=Parametres!$G$2,$Q61=Parametres!$G$3),I61,C61)</f>
        <v>0</v>
      </c>
      <c r="O61" s="155">
        <f>+IF(OR($Q61=Parametres!$G$2,$Q61=Parametres!$G$3),J61,D61)</f>
        <v>-145</v>
      </c>
      <c r="P61" s="155">
        <f>+IF(OR($Q61=Parametres!$G$2,$Q61=Parametres!$G$3),K61,E61)</f>
        <v>-145</v>
      </c>
      <c r="Q61" s="154" t="str">
        <f t="shared" si="2"/>
        <v>2-Actifs</v>
      </c>
      <c r="R61" s="153" t="str">
        <f t="shared" si="3"/>
        <v>1498</v>
      </c>
      <c r="S61" s="154">
        <f t="shared" si="4"/>
        <v>0</v>
      </c>
      <c r="T61" s="156" t="str">
        <f>+VLOOKUP($L61,Data_Validation!$A:$D,1,0)</f>
        <v>1498</v>
      </c>
      <c r="U61" s="156" t="str">
        <f>+VLOOKUP($L61,Data_Validation!$A:$D,3,0)</f>
        <v>Bilan</v>
      </c>
      <c r="V61" s="156" t="str">
        <f>+VLOOKUP($L61,Data_Validation!$A:$D,4,0)</f>
        <v>Inventaire Pièces, Pneus, Huile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72" t="s">
        <v>2104</v>
      </c>
      <c r="B62" s="1072" t="s">
        <v>2105</v>
      </c>
      <c r="C62" s="1074">
        <v>0</v>
      </c>
      <c r="D62" s="1074">
        <v>1500</v>
      </c>
      <c r="E62" s="1074">
        <v>1500</v>
      </c>
      <c r="F62" s="1072" t="s">
        <v>293</v>
      </c>
      <c r="G62" s="1072" t="s">
        <v>2106</v>
      </c>
      <c r="H62" s="1073"/>
      <c r="I62" s="1073"/>
      <c r="J62" s="1073"/>
      <c r="K62" s="1073"/>
      <c r="L62" s="153" t="str">
        <f t="shared" si="0"/>
        <v>1502</v>
      </c>
      <c r="M62" s="154" t="str">
        <f t="shared" si="1"/>
        <v>FPA PUB.VEHICULES NEUFS</v>
      </c>
      <c r="N62" s="155">
        <f>+IF(OR($Q62=Parametres!$G$2,$Q62=Parametres!$G$3),I62,C62)</f>
        <v>0</v>
      </c>
      <c r="O62" s="155">
        <f>+IF(OR($Q62=Parametres!$G$2,$Q62=Parametres!$G$3),J62,D62)</f>
        <v>1500</v>
      </c>
      <c r="P62" s="155">
        <f>+IF(OR($Q62=Parametres!$G$2,$Q62=Parametres!$G$3),K62,E62)</f>
        <v>1500</v>
      </c>
      <c r="Q62" s="154" t="str">
        <f t="shared" si="2"/>
        <v>2-Actifs</v>
      </c>
      <c r="R62" s="153" t="str">
        <f t="shared" si="3"/>
        <v>1500</v>
      </c>
      <c r="S62" s="154">
        <f t="shared" si="4"/>
        <v>0</v>
      </c>
      <c r="T62" s="156" t="str">
        <f>+VLOOKUP($L62,Data_Validation!$A:$D,1,0)</f>
        <v>1502</v>
      </c>
      <c r="U62" s="156" t="str">
        <f>+VLOOKUP($L62,Data_Validation!$A:$D,3,0)</f>
        <v>Bilan</v>
      </c>
      <c r="V62" s="156" t="str">
        <f>+VLOOKUP($L62,Data_Validation!$A:$D,4,0)</f>
        <v>Frais Payés d'Avance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72" t="s">
        <v>2130</v>
      </c>
      <c r="B63" s="1072" t="s">
        <v>2131</v>
      </c>
      <c r="C63" s="1074">
        <v>0</v>
      </c>
      <c r="D63" s="1074">
        <v>1821.24</v>
      </c>
      <c r="E63" s="1074">
        <v>1821.24</v>
      </c>
      <c r="F63" s="1072" t="s">
        <v>293</v>
      </c>
      <c r="G63" s="1072" t="s">
        <v>2106</v>
      </c>
      <c r="H63" s="1073"/>
      <c r="I63" s="1073"/>
      <c r="J63" s="1073"/>
      <c r="K63" s="1073"/>
      <c r="L63" s="153" t="str">
        <f t="shared" si="0"/>
        <v>1504</v>
      </c>
      <c r="M63" s="154" t="str">
        <f t="shared" si="1"/>
        <v>PUBLICITE VEH USAGES</v>
      </c>
      <c r="N63" s="155">
        <f>+IF(OR($Q63=Parametres!$G$2,$Q63=Parametres!$G$3),I63,C63)</f>
        <v>0</v>
      </c>
      <c r="O63" s="608">
        <f>+IF(OR($Q63=Parametres!$G$2,$Q63=Parametres!$G$3),J63,D63)</f>
        <v>1821.24</v>
      </c>
      <c r="P63" s="155">
        <f>+IF(OR($Q63=Parametres!$G$2,$Q63=Parametres!$G$3),K63,E63)</f>
        <v>1821.24</v>
      </c>
      <c r="Q63" s="154" t="str">
        <f t="shared" si="2"/>
        <v>2-Actifs</v>
      </c>
      <c r="R63" s="153" t="str">
        <f t="shared" si="3"/>
        <v>1500</v>
      </c>
      <c r="S63" s="154">
        <f t="shared" si="4"/>
        <v>0</v>
      </c>
      <c r="T63" s="156" t="str">
        <f>+VLOOKUP($L63,Data_Validation!$A:$D,1,0)</f>
        <v>1504</v>
      </c>
      <c r="U63" s="156" t="str">
        <f>+VLOOKUP($L63,Data_Validation!$A:$D,3,0)</f>
        <v>Bilan</v>
      </c>
      <c r="V63" s="156" t="str">
        <f>+VLOOKUP($L63,Data_Validation!$A:$D,4,0)</f>
        <v>Frais Payés d'Avance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72" t="s">
        <v>2806</v>
      </c>
      <c r="B64" s="1072" t="s">
        <v>2807</v>
      </c>
      <c r="C64" s="1074">
        <v>0</v>
      </c>
      <c r="D64" s="1074">
        <v>-494.45</v>
      </c>
      <c r="E64" s="1074">
        <v>-494.45</v>
      </c>
      <c r="F64" s="1072" t="s">
        <v>293</v>
      </c>
      <c r="G64" s="1072" t="s">
        <v>2106</v>
      </c>
      <c r="H64" s="1073"/>
      <c r="I64" s="1073"/>
      <c r="J64" s="1073"/>
      <c r="K64" s="1073"/>
      <c r="L64" s="153" t="str">
        <f t="shared" si="0"/>
        <v>1506</v>
      </c>
      <c r="M64" s="154" t="str">
        <f t="shared" si="1"/>
        <v>FPA PUBLICITE SERVICE</v>
      </c>
      <c r="N64" s="155">
        <f>+IF(OR($Q64=Parametres!$G$2,$Q64=Parametres!$G$3),I64,C64)</f>
        <v>0</v>
      </c>
      <c r="O64" s="155">
        <f>+IF(OR($Q64=Parametres!$G$2,$Q64=Parametres!$G$3),J64,D64)</f>
        <v>-494.45</v>
      </c>
      <c r="P64" s="155">
        <f>+IF(OR($Q64=Parametres!$G$2,$Q64=Parametres!$G$3),K64,E64)</f>
        <v>-494.45</v>
      </c>
      <c r="Q64" s="154" t="str">
        <f t="shared" si="2"/>
        <v>2-Actifs</v>
      </c>
      <c r="R64" s="153" t="str">
        <f t="shared" si="3"/>
        <v>1500</v>
      </c>
      <c r="S64" s="154">
        <f t="shared" si="4"/>
        <v>0</v>
      </c>
      <c r="T64" s="156" t="str">
        <f>+VLOOKUP($L64,Data_Validation!$A:$D,1,0)</f>
        <v>1506</v>
      </c>
      <c r="U64" s="156" t="str">
        <f>+VLOOKUP($L64,Data_Validation!$A:$D,3,0)</f>
        <v>Bilan</v>
      </c>
      <c r="V64" s="156" t="str">
        <f>+VLOOKUP($L64,Data_Validation!$A:$D,4,0)</f>
        <v>Frais Payés d'Avance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72" t="s">
        <v>2642</v>
      </c>
      <c r="B65" s="1072" t="s">
        <v>2643</v>
      </c>
      <c r="C65" s="1074">
        <v>3221.95</v>
      </c>
      <c r="D65" s="1074">
        <v>-12</v>
      </c>
      <c r="E65" s="1074">
        <v>3209.95</v>
      </c>
      <c r="F65" s="1072" t="s">
        <v>293</v>
      </c>
      <c r="G65" s="1072" t="s">
        <v>2106</v>
      </c>
      <c r="H65" s="150"/>
      <c r="I65" s="157"/>
      <c r="J65" s="157"/>
      <c r="K65" s="157"/>
      <c r="L65" s="153" t="str">
        <f t="shared" si="0"/>
        <v>1510</v>
      </c>
      <c r="M65" s="154" t="str">
        <f t="shared" si="1"/>
        <v>DIAMOND KOTE (NANO)</v>
      </c>
      <c r="N65" s="155">
        <f>+IF(OR($Q65=Parametres!$G$2,$Q65=Parametres!$G$3),I65,C65)</f>
        <v>3221.95</v>
      </c>
      <c r="O65" s="608">
        <f>+IF(OR($Q65=Parametres!$G$2,$Q65=Parametres!$G$3),J65,D65)</f>
        <v>-12</v>
      </c>
      <c r="P65" s="155">
        <f>+IF(OR($Q65=Parametres!$G$2,$Q65=Parametres!$G$3),K65,E65)</f>
        <v>3209.95</v>
      </c>
      <c r="Q65" s="154" t="str">
        <f t="shared" si="2"/>
        <v>2-Actifs</v>
      </c>
      <c r="R65" s="153" t="str">
        <f t="shared" si="3"/>
        <v>1500</v>
      </c>
      <c r="S65" s="154">
        <f t="shared" si="4"/>
        <v>0</v>
      </c>
      <c r="T65" s="156" t="str">
        <f>+VLOOKUP($L65,Data_Validation!$A:$D,1,0)</f>
        <v>1510</v>
      </c>
      <c r="U65" s="156" t="str">
        <f>+VLOOKUP($L65,Data_Validation!$A:$D,3,0)</f>
        <v>Bilan</v>
      </c>
      <c r="V65" s="156" t="str">
        <f>+VLOOKUP($L65,Data_Validation!$A:$D,4,0)</f>
        <v>Frais Payés d'Avance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72" t="s">
        <v>2152</v>
      </c>
      <c r="B66" s="1072" t="s">
        <v>2153</v>
      </c>
      <c r="C66" s="1074">
        <v>2925</v>
      </c>
      <c r="D66" s="1074">
        <v>-1023.66</v>
      </c>
      <c r="E66" s="1074">
        <v>1901.34</v>
      </c>
      <c r="F66" s="1072" t="s">
        <v>293</v>
      </c>
      <c r="G66" s="1072" t="s">
        <v>2106</v>
      </c>
      <c r="H66" s="150"/>
      <c r="I66" s="151"/>
      <c r="J66" s="151"/>
      <c r="K66" s="151"/>
      <c r="L66" s="153" t="str">
        <f t="shared" ref="L66:L129" si="5">+B66</f>
        <v>1520</v>
      </c>
      <c r="M66" s="154" t="str">
        <f t="shared" ref="M66:M129" si="6">+A66</f>
        <v>FPA IMMATRICULATION</v>
      </c>
      <c r="N66" s="155">
        <f>+IF(OR($Q66=Parametres!$G$2,$Q66=Parametres!$G$3),I66,C66)</f>
        <v>2925</v>
      </c>
      <c r="O66" s="155">
        <f>+IF(OR($Q66=Parametres!$G$2,$Q66=Parametres!$G$3),J66,D66)</f>
        <v>-1023.66</v>
      </c>
      <c r="P66" s="155">
        <f>+IF(OR($Q66=Parametres!$G$2,$Q66=Parametres!$G$3),K66,E66)</f>
        <v>1901.34</v>
      </c>
      <c r="Q66" s="154" t="str">
        <f t="shared" ref="Q66:Q129" si="7">+F66</f>
        <v>2-Actifs</v>
      </c>
      <c r="R66" s="153" t="str">
        <f t="shared" ref="R66:R129" si="8">+G66</f>
        <v>1500</v>
      </c>
      <c r="S66" s="154">
        <f t="shared" ref="S66:S129" si="9">+H66</f>
        <v>0</v>
      </c>
      <c r="T66" s="156" t="str">
        <f>+VLOOKUP($L66,Data_Validation!$A:$D,1,0)</f>
        <v>1520</v>
      </c>
      <c r="U66" s="156" t="str">
        <f>+VLOOKUP($L66,Data_Validation!$A:$D,3,0)</f>
        <v>Bilan</v>
      </c>
      <c r="V66" s="156" t="str">
        <f>+VLOOKUP($L66,Data_Validation!$A:$D,4,0)</f>
        <v>Frais Payés d'Avance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72" t="s">
        <v>2605</v>
      </c>
      <c r="B67" s="1072" t="s">
        <v>2606</v>
      </c>
      <c r="C67" s="1074">
        <v>2554.4299999999998</v>
      </c>
      <c r="D67" s="1074">
        <v>0</v>
      </c>
      <c r="E67" s="1074">
        <v>2554.4299999999998</v>
      </c>
      <c r="F67" s="1072" t="s">
        <v>293</v>
      </c>
      <c r="G67" s="1072" t="s">
        <v>2106</v>
      </c>
      <c r="H67" s="150"/>
      <c r="I67" s="151"/>
      <c r="J67" s="151"/>
      <c r="K67" s="151"/>
      <c r="L67" s="153" t="str">
        <f t="shared" si="5"/>
        <v>1530</v>
      </c>
      <c r="M67" s="154" t="str">
        <f t="shared" si="6"/>
        <v>FPA PAPETERIE</v>
      </c>
      <c r="N67" s="155">
        <f>+IF(OR($Q67=Parametres!$G$2,$Q67=Parametres!$G$3),I67,C67)</f>
        <v>2554.4299999999998</v>
      </c>
      <c r="O67" s="155">
        <f>+IF(OR($Q67=Parametres!$G$2,$Q67=Parametres!$G$3),J67,D67)</f>
        <v>0</v>
      </c>
      <c r="P67" s="155">
        <f>+IF(OR($Q67=Parametres!$G$2,$Q67=Parametres!$G$3),K67,E67)</f>
        <v>2554.4299999999998</v>
      </c>
      <c r="Q67" s="154" t="str">
        <f t="shared" si="7"/>
        <v>2-Actifs</v>
      </c>
      <c r="R67" s="153" t="str">
        <f t="shared" si="8"/>
        <v>1500</v>
      </c>
      <c r="S67" s="154">
        <f t="shared" si="9"/>
        <v>0</v>
      </c>
      <c r="T67" s="156" t="str">
        <f>+VLOOKUP($L67,Data_Validation!$A:$D,1,0)</f>
        <v>1530</v>
      </c>
      <c r="U67" s="156" t="str">
        <f>+VLOOKUP($L67,Data_Validation!$A:$D,3,0)</f>
        <v>Bilan</v>
      </c>
      <c r="V67" s="156" t="str">
        <f>+VLOOKUP($L67,Data_Validation!$A:$D,4,0)</f>
        <v>Frais Payés d'Avance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72" t="s">
        <v>2199</v>
      </c>
      <c r="B68" s="1072" t="s">
        <v>2200</v>
      </c>
      <c r="C68" s="1074">
        <v>0</v>
      </c>
      <c r="D68" s="1074">
        <v>928</v>
      </c>
      <c r="E68" s="1074">
        <v>928</v>
      </c>
      <c r="F68" s="1072" t="s">
        <v>293</v>
      </c>
      <c r="G68" s="1072" t="s">
        <v>2106</v>
      </c>
      <c r="H68" s="1050"/>
      <c r="I68" s="1050"/>
      <c r="J68" s="1050"/>
      <c r="K68" s="1050"/>
      <c r="L68" s="153" t="str">
        <f t="shared" si="5"/>
        <v>1534</v>
      </c>
      <c r="M68" s="154" t="str">
        <f t="shared" si="6"/>
        <v>FPA FOURNITURES LAVAGE</v>
      </c>
      <c r="N68" s="155">
        <f>+IF(OR($Q68=Parametres!$G$2,$Q68=Parametres!$G$3),I68,C68)</f>
        <v>0</v>
      </c>
      <c r="O68" s="608">
        <f>+IF(OR($Q68=Parametres!$G$2,$Q68=Parametres!$G$3),J68,D68)</f>
        <v>928</v>
      </c>
      <c r="P68" s="155">
        <f>+IF(OR($Q68=Parametres!$G$2,$Q68=Parametres!$G$3),K68,E68)</f>
        <v>928</v>
      </c>
      <c r="Q68" s="154" t="str">
        <f t="shared" si="7"/>
        <v>2-Actifs</v>
      </c>
      <c r="R68" s="153" t="str">
        <f t="shared" si="8"/>
        <v>1500</v>
      </c>
      <c r="S68" s="154">
        <f t="shared" si="9"/>
        <v>0</v>
      </c>
      <c r="T68" s="156" t="str">
        <f>+VLOOKUP($L68,Data_Validation!$A:$D,1,0)</f>
        <v>1534</v>
      </c>
      <c r="U68" s="156" t="str">
        <f>+VLOOKUP($L68,Data_Validation!$A:$D,3,0)</f>
        <v>Bilan</v>
      </c>
      <c r="V68" s="156" t="str">
        <f>+VLOOKUP($L68,Data_Validation!$A:$D,4,0)</f>
        <v>Frais Payés d'Avance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072" t="s">
        <v>2785</v>
      </c>
      <c r="B69" s="1072" t="s">
        <v>2786</v>
      </c>
      <c r="C69" s="1074">
        <v>-1525</v>
      </c>
      <c r="D69" s="1074">
        <v>607.41999999999996</v>
      </c>
      <c r="E69" s="1074">
        <v>-917.58</v>
      </c>
      <c r="F69" s="1072" t="s">
        <v>293</v>
      </c>
      <c r="G69" s="1072" t="s">
        <v>2106</v>
      </c>
      <c r="H69" s="150"/>
      <c r="I69" s="157"/>
      <c r="J69" s="157"/>
      <c r="K69" s="157"/>
      <c r="L69" s="153" t="str">
        <f t="shared" si="5"/>
        <v>1540</v>
      </c>
      <c r="M69" s="154" t="str">
        <f t="shared" si="6"/>
        <v>FPA CONTRATS DE SERVICES</v>
      </c>
      <c r="N69" s="155">
        <f>+IF(OR($Q69=Parametres!$G$2,$Q69=Parametres!$G$3),I69,C69)</f>
        <v>-1525</v>
      </c>
      <c r="O69" s="155">
        <f>+IF(OR($Q69=Parametres!$G$2,$Q69=Parametres!$G$3),J69,D69)</f>
        <v>607.41999999999996</v>
      </c>
      <c r="P69" s="155">
        <f>+IF(OR($Q69=Parametres!$G$2,$Q69=Parametres!$G$3),K69,E69)</f>
        <v>-917.58</v>
      </c>
      <c r="Q69" s="154" t="str">
        <f t="shared" si="7"/>
        <v>2-Actifs</v>
      </c>
      <c r="R69" s="153" t="str">
        <f t="shared" si="8"/>
        <v>1500</v>
      </c>
      <c r="S69" s="154">
        <f t="shared" si="9"/>
        <v>0</v>
      </c>
      <c r="T69" s="156" t="str">
        <f>+VLOOKUP($L69,Data_Validation!$A:$D,1,0)</f>
        <v>1540</v>
      </c>
      <c r="U69" s="156" t="str">
        <f>+VLOOKUP($L69,Data_Validation!$A:$D,3,0)</f>
        <v>Bilan</v>
      </c>
      <c r="V69" s="156" t="str">
        <f>+VLOOKUP($L69,Data_Validation!$A:$D,4,0)</f>
        <v>Frais Payés d'Avance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72" t="s">
        <v>2201</v>
      </c>
      <c r="B70" s="1072" t="s">
        <v>2202</v>
      </c>
      <c r="C70" s="1074">
        <v>-3525.13</v>
      </c>
      <c r="D70" s="1074">
        <v>0</v>
      </c>
      <c r="E70" s="1074">
        <v>-3525.13</v>
      </c>
      <c r="F70" s="1072" t="s">
        <v>293</v>
      </c>
      <c r="G70" s="1072" t="s">
        <v>2106</v>
      </c>
      <c r="H70" s="150"/>
      <c r="I70" s="151"/>
      <c r="J70" s="151"/>
      <c r="K70" s="151"/>
      <c r="L70" s="153" t="str">
        <f t="shared" si="5"/>
        <v>1544</v>
      </c>
      <c r="M70" s="154" t="str">
        <f t="shared" si="6"/>
        <v>FPA GAZ METROPOLITAIN</v>
      </c>
      <c r="N70" s="155">
        <f>+IF(OR($Q70=Parametres!$G$2,$Q70=Parametres!$G$3),I70,C70)</f>
        <v>-3525.13</v>
      </c>
      <c r="O70" s="155">
        <f>+IF(OR($Q70=Parametres!$G$2,$Q70=Parametres!$G$3),J70,D70)</f>
        <v>0</v>
      </c>
      <c r="P70" s="155">
        <f>+IF(OR($Q70=Parametres!$G$2,$Q70=Parametres!$G$3),K70,E70)</f>
        <v>-3525.13</v>
      </c>
      <c r="Q70" s="154" t="str">
        <f t="shared" si="7"/>
        <v>2-Actifs</v>
      </c>
      <c r="R70" s="153" t="str">
        <f t="shared" si="8"/>
        <v>1500</v>
      </c>
      <c r="S70" s="154">
        <f t="shared" si="9"/>
        <v>0</v>
      </c>
      <c r="T70" s="156" t="str">
        <f>+VLOOKUP($L70,Data_Validation!$A:$D,1,0)</f>
        <v>1544</v>
      </c>
      <c r="U70" s="156" t="str">
        <f>+VLOOKUP($L70,Data_Validation!$A:$D,3,0)</f>
        <v>Bilan</v>
      </c>
      <c r="V70" s="156" t="str">
        <f>+VLOOKUP($L70,Data_Validation!$A:$D,4,0)</f>
        <v>Autres Courus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72" t="s">
        <v>2186</v>
      </c>
      <c r="B71" s="1072" t="s">
        <v>2187</v>
      </c>
      <c r="C71" s="1074">
        <v>-3125.4</v>
      </c>
      <c r="D71" s="1074">
        <v>1616.36</v>
      </c>
      <c r="E71" s="1074">
        <v>-1509.04</v>
      </c>
      <c r="F71" s="1072" t="s">
        <v>293</v>
      </c>
      <c r="G71" s="1072" t="s">
        <v>2106</v>
      </c>
      <c r="H71" s="150"/>
      <c r="I71" s="157"/>
      <c r="J71" s="157"/>
      <c r="K71" s="157"/>
      <c r="L71" s="153" t="str">
        <f t="shared" si="5"/>
        <v>1546</v>
      </c>
      <c r="M71" s="154" t="str">
        <f t="shared" si="6"/>
        <v>FPA ELECTRICITE HYDRO-QUEBEC</v>
      </c>
      <c r="N71" s="155">
        <f>+IF(OR($Q71=Parametres!$G$2,$Q71=Parametres!$G$3),I71,C71)</f>
        <v>-3125.4</v>
      </c>
      <c r="O71" s="155">
        <f>+IF(OR($Q71=Parametres!$G$2,$Q71=Parametres!$G$3),J71,D71)</f>
        <v>1616.36</v>
      </c>
      <c r="P71" s="155">
        <f>+IF(OR($Q71=Parametres!$G$2,$Q71=Parametres!$G$3),K71,E71)</f>
        <v>-1509.04</v>
      </c>
      <c r="Q71" s="154" t="str">
        <f t="shared" si="7"/>
        <v>2-Actifs</v>
      </c>
      <c r="R71" s="153" t="str">
        <f t="shared" si="8"/>
        <v>1500</v>
      </c>
      <c r="S71" s="154">
        <f t="shared" si="9"/>
        <v>0</v>
      </c>
      <c r="T71" s="156" t="str">
        <f>+VLOOKUP($L71,Data_Validation!$A:$D,1,0)</f>
        <v>1546</v>
      </c>
      <c r="U71" s="156" t="str">
        <f>+VLOOKUP($L71,Data_Validation!$A:$D,3,0)</f>
        <v>Bilan</v>
      </c>
      <c r="V71" s="156" t="str">
        <f>+VLOOKUP($L71,Data_Validation!$A:$D,4,0)</f>
        <v>Autres Courus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72" t="s">
        <v>2122</v>
      </c>
      <c r="B72" s="1072" t="s">
        <v>2123</v>
      </c>
      <c r="C72" s="1074">
        <v>6339</v>
      </c>
      <c r="D72" s="1074">
        <v>4915.46</v>
      </c>
      <c r="E72" s="1074">
        <v>11254.46</v>
      </c>
      <c r="F72" s="1072" t="s">
        <v>293</v>
      </c>
      <c r="G72" s="1072" t="s">
        <v>2106</v>
      </c>
      <c r="H72" s="150"/>
      <c r="I72" s="151"/>
      <c r="J72" s="151"/>
      <c r="K72" s="151"/>
      <c r="L72" s="153" t="str">
        <f t="shared" si="5"/>
        <v>1552</v>
      </c>
      <c r="M72" s="154" t="str">
        <f t="shared" si="6"/>
        <v>FPA C.S.S.T.</v>
      </c>
      <c r="N72" s="155">
        <f>+IF(OR($Q72=Parametres!$G$2,$Q72=Parametres!$G$3),I72,C72)</f>
        <v>6339</v>
      </c>
      <c r="O72" s="155">
        <f>+IF(OR($Q72=Parametres!$G$2,$Q72=Parametres!$G$3),J72,D72)</f>
        <v>4915.46</v>
      </c>
      <c r="P72" s="155">
        <f>+IF(OR($Q72=Parametres!$G$2,$Q72=Parametres!$G$3),K72,E72)</f>
        <v>11254.46</v>
      </c>
      <c r="Q72" s="154" t="str">
        <f t="shared" si="7"/>
        <v>2-Actifs</v>
      </c>
      <c r="R72" s="153" t="str">
        <f t="shared" si="8"/>
        <v>1500</v>
      </c>
      <c r="S72" s="154">
        <f t="shared" si="9"/>
        <v>0</v>
      </c>
      <c r="T72" s="156" t="str">
        <f>+VLOOKUP($L72,Data_Validation!$A:$D,1,0)</f>
        <v>1552</v>
      </c>
      <c r="U72" s="156" t="str">
        <f>+VLOOKUP($L72,Data_Validation!$A:$D,3,0)</f>
        <v>Bilan</v>
      </c>
      <c r="V72" s="156" t="str">
        <f>+VLOOKUP($L72,Data_Validation!$A:$D,4,0)</f>
        <v>Frais Payés d'Avance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072" t="s">
        <v>2116</v>
      </c>
      <c r="B73" s="1072" t="s">
        <v>2117</v>
      </c>
      <c r="C73" s="1074">
        <v>0</v>
      </c>
      <c r="D73" s="1074">
        <v>-7699.3</v>
      </c>
      <c r="E73" s="1074">
        <v>-7699.3</v>
      </c>
      <c r="F73" s="1072" t="s">
        <v>293</v>
      </c>
      <c r="G73" s="1072" t="s">
        <v>2106</v>
      </c>
      <c r="H73" s="150"/>
      <c r="I73" s="152"/>
      <c r="J73" s="152"/>
      <c r="K73" s="152"/>
      <c r="L73" s="153" t="str">
        <f t="shared" si="5"/>
        <v>1582</v>
      </c>
      <c r="M73" s="154" t="str">
        <f t="shared" si="6"/>
        <v>FPA TAXES MUNICIPALES</v>
      </c>
      <c r="N73" s="155">
        <f>+IF(OR($Q73=Parametres!$G$2,$Q73=Parametres!$G$3),I73,C73)</f>
        <v>0</v>
      </c>
      <c r="O73" s="155">
        <f>+IF(OR($Q73=Parametres!$G$2,$Q73=Parametres!$G$3),J73,D73)</f>
        <v>-7699.3</v>
      </c>
      <c r="P73" s="155">
        <f>+IF(OR($Q73=Parametres!$G$2,$Q73=Parametres!$G$3),K73,E73)</f>
        <v>-7699.3</v>
      </c>
      <c r="Q73" s="154" t="str">
        <f t="shared" si="7"/>
        <v>2-Actifs</v>
      </c>
      <c r="R73" s="153" t="str">
        <f t="shared" si="8"/>
        <v>1500</v>
      </c>
      <c r="S73" s="154">
        <f t="shared" si="9"/>
        <v>0</v>
      </c>
      <c r="T73" s="156" t="str">
        <f>+VLOOKUP($L73,Data_Validation!$A:$D,1,0)</f>
        <v>1582</v>
      </c>
      <c r="U73" s="156" t="str">
        <f>+VLOOKUP($L73,Data_Validation!$A:$D,3,0)</f>
        <v>Bilan</v>
      </c>
      <c r="V73" s="156" t="str">
        <f>+VLOOKUP($L73,Data_Validation!$A:$D,4,0)</f>
        <v>Frais Payés d'Avance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072" t="s">
        <v>2177</v>
      </c>
      <c r="B74" s="1072" t="s">
        <v>2178</v>
      </c>
      <c r="C74" s="1074">
        <v>2000</v>
      </c>
      <c r="D74" s="1074">
        <v>-310.7</v>
      </c>
      <c r="E74" s="1074">
        <v>1689.3</v>
      </c>
      <c r="F74" s="1072" t="s">
        <v>293</v>
      </c>
      <c r="G74" s="1072" t="s">
        <v>2106</v>
      </c>
      <c r="H74" s="1050"/>
      <c r="I74" s="1049"/>
      <c r="J74" s="1049"/>
      <c r="K74" s="1049"/>
      <c r="L74" s="153" t="str">
        <f t="shared" si="5"/>
        <v>1586</v>
      </c>
      <c r="M74" s="154" t="str">
        <f t="shared" si="6"/>
        <v>FPA TAXES SCOLAIRES</v>
      </c>
      <c r="N74" s="155">
        <f>+IF(OR($Q74=Parametres!$G$2,$Q74=Parametres!$G$3),I74,C74)</f>
        <v>2000</v>
      </c>
      <c r="O74" s="608">
        <f>+IF(OR($Q74=Parametres!$G$2,$Q74=Parametres!$G$3),J74,D74)</f>
        <v>-310.7</v>
      </c>
      <c r="P74" s="155">
        <f>+IF(OR($Q74=Parametres!$G$2,$Q74=Parametres!$G$3),K74,E74)</f>
        <v>1689.3</v>
      </c>
      <c r="Q74" s="154" t="str">
        <f t="shared" si="7"/>
        <v>2-Actifs</v>
      </c>
      <c r="R74" s="153" t="str">
        <f t="shared" si="8"/>
        <v>1500</v>
      </c>
      <c r="S74" s="154">
        <f t="shared" si="9"/>
        <v>0</v>
      </c>
      <c r="T74" s="156" t="str">
        <f>+VLOOKUP($L74,Data_Validation!$A:$D,1,0)</f>
        <v>1586</v>
      </c>
      <c r="U74" s="156" t="str">
        <f>+VLOOKUP($L74,Data_Validation!$A:$D,3,0)</f>
        <v>Bilan</v>
      </c>
      <c r="V74" s="156" t="str">
        <f>+VLOOKUP($L74,Data_Validation!$A:$D,4,0)</f>
        <v>Frais Payés d'Avance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072" t="s">
        <v>2803</v>
      </c>
      <c r="B75" s="1072" t="s">
        <v>2804</v>
      </c>
      <c r="C75" s="1074">
        <v>55761.7</v>
      </c>
      <c r="D75" s="1074">
        <v>27319.98</v>
      </c>
      <c r="E75" s="1074">
        <v>83081.679999999993</v>
      </c>
      <c r="F75" s="1072" t="s">
        <v>293</v>
      </c>
      <c r="G75" s="1072" t="s">
        <v>2106</v>
      </c>
      <c r="H75" s="150"/>
      <c r="I75" s="157"/>
      <c r="J75" s="157"/>
      <c r="K75" s="157"/>
      <c r="L75" s="153" t="str">
        <f t="shared" si="5"/>
        <v>1592</v>
      </c>
      <c r="M75" s="154" t="str">
        <f t="shared" si="6"/>
        <v>FPA AUTRES</v>
      </c>
      <c r="N75" s="155">
        <f>+IF(OR($Q75=Parametres!$G$2,$Q75=Parametres!$G$3),I75,C75)</f>
        <v>55761.7</v>
      </c>
      <c r="O75" s="155">
        <f>+IF(OR($Q75=Parametres!$G$2,$Q75=Parametres!$G$3),J75,D75)</f>
        <v>27319.98</v>
      </c>
      <c r="P75" s="155">
        <f>+IF(OR($Q75=Parametres!$G$2,$Q75=Parametres!$G$3),K75,E75)</f>
        <v>83081.679999999993</v>
      </c>
      <c r="Q75" s="154" t="str">
        <f t="shared" si="7"/>
        <v>2-Actifs</v>
      </c>
      <c r="R75" s="153" t="str">
        <f t="shared" si="8"/>
        <v>1500</v>
      </c>
      <c r="S75" s="154">
        <f t="shared" si="9"/>
        <v>0</v>
      </c>
      <c r="T75" s="156" t="str">
        <f>+VLOOKUP($L75,Data_Validation!$A:$D,1,0)</f>
        <v>1592</v>
      </c>
      <c r="U75" s="156" t="str">
        <f>+VLOOKUP($L75,Data_Validation!$A:$D,3,0)</f>
        <v>Bilan</v>
      </c>
      <c r="V75" s="156" t="str">
        <f>+VLOOKUP($L75,Data_Validation!$A:$D,4,0)</f>
        <v>Frais Payés d'Avance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72" t="s">
        <v>2400</v>
      </c>
      <c r="B76" s="1072" t="s">
        <v>2401</v>
      </c>
      <c r="C76" s="1074">
        <v>96990.28</v>
      </c>
      <c r="D76" s="1074">
        <v>0</v>
      </c>
      <c r="E76" s="1074">
        <v>96990.28</v>
      </c>
      <c r="F76" s="1072" t="s">
        <v>293</v>
      </c>
      <c r="G76" s="1072" t="s">
        <v>2128</v>
      </c>
      <c r="H76" s="150"/>
      <c r="I76" s="157"/>
      <c r="J76" s="157"/>
      <c r="K76" s="157"/>
      <c r="L76" s="153" t="str">
        <f t="shared" si="5"/>
        <v>1732</v>
      </c>
      <c r="M76" s="154" t="str">
        <f t="shared" si="6"/>
        <v>AMELIOR. LOCATIVES</v>
      </c>
      <c r="N76" s="155">
        <f>+IF(OR($Q76=Parametres!$G$2,$Q76=Parametres!$G$3),I76,C76)</f>
        <v>96990.28</v>
      </c>
      <c r="O76" s="608">
        <f>+IF(OR($Q76=Parametres!$G$2,$Q76=Parametres!$G$3),J76,D76)</f>
        <v>0</v>
      </c>
      <c r="P76" s="155">
        <f>+IF(OR($Q76=Parametres!$G$2,$Q76=Parametres!$G$3),K76,E76)</f>
        <v>96990.28</v>
      </c>
      <c r="Q76" s="154" t="str">
        <f t="shared" si="7"/>
        <v>2-Actifs</v>
      </c>
      <c r="R76" s="153" t="str">
        <f t="shared" si="8"/>
        <v>1700</v>
      </c>
      <c r="S76" s="154">
        <f t="shared" si="9"/>
        <v>0</v>
      </c>
      <c r="T76" s="156" t="str">
        <f>+VLOOKUP($L76,Data_Validation!$A:$D,1,0)</f>
        <v>1732</v>
      </c>
      <c r="U76" s="156" t="str">
        <f>+VLOOKUP($L76,Data_Validation!$A:$D,3,0)</f>
        <v>Bilan</v>
      </c>
      <c r="V76" s="156" t="str">
        <f>+VLOOKUP($L76,Data_Validation!$A:$D,4,0)</f>
        <v>Améliorations Locatives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72" t="s">
        <v>2156</v>
      </c>
      <c r="B77" s="1072" t="s">
        <v>2157</v>
      </c>
      <c r="C77" s="1074">
        <v>-94290.97</v>
      </c>
      <c r="D77" s="1074">
        <v>-1730</v>
      </c>
      <c r="E77" s="1074">
        <v>-96020.97</v>
      </c>
      <c r="F77" s="1072" t="s">
        <v>293</v>
      </c>
      <c r="G77" s="1072" t="s">
        <v>2128</v>
      </c>
      <c r="H77" s="150"/>
      <c r="I77" s="151"/>
      <c r="J77" s="151"/>
      <c r="K77" s="151"/>
      <c r="L77" s="153" t="str">
        <f t="shared" si="5"/>
        <v>1733</v>
      </c>
      <c r="M77" s="154" t="str">
        <f t="shared" si="6"/>
        <v>AMORT. CUM. AMEL. LOCAT.</v>
      </c>
      <c r="N77" s="155">
        <f>+IF(OR($Q77=Parametres!$G$2,$Q77=Parametres!$G$3),I77,C77)</f>
        <v>-94290.97</v>
      </c>
      <c r="O77" s="155">
        <f>+IF(OR($Q77=Parametres!$G$2,$Q77=Parametres!$G$3),J77,D77)</f>
        <v>-1730</v>
      </c>
      <c r="P77" s="155">
        <f>+IF(OR($Q77=Parametres!$G$2,$Q77=Parametres!$G$3),K77,E77)</f>
        <v>-96020.97</v>
      </c>
      <c r="Q77" s="154" t="str">
        <f t="shared" si="7"/>
        <v>2-Actifs</v>
      </c>
      <c r="R77" s="153" t="str">
        <f t="shared" si="8"/>
        <v>1700</v>
      </c>
      <c r="S77" s="154">
        <f t="shared" si="9"/>
        <v>0</v>
      </c>
      <c r="T77" s="156" t="str">
        <f>+VLOOKUP($L77,Data_Validation!$A:$D,1,0)</f>
        <v>1733</v>
      </c>
      <c r="U77" s="156" t="str">
        <f>+VLOOKUP($L77,Data_Validation!$A:$D,3,0)</f>
        <v>Bilan</v>
      </c>
      <c r="V77" s="156" t="str">
        <f>+VLOOKUP($L77,Data_Validation!$A:$D,4,0)</f>
        <v>Améliorations Locatives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72" t="s">
        <v>2402</v>
      </c>
      <c r="B78" s="1072" t="s">
        <v>2403</v>
      </c>
      <c r="C78" s="1074">
        <v>942882.53</v>
      </c>
      <c r="D78" s="1074">
        <v>0</v>
      </c>
      <c r="E78" s="1074">
        <v>942882.53</v>
      </c>
      <c r="F78" s="1072" t="s">
        <v>293</v>
      </c>
      <c r="G78" s="1072" t="s">
        <v>2128</v>
      </c>
      <c r="H78" s="1050"/>
      <c r="I78" s="1050"/>
      <c r="J78" s="1050"/>
      <c r="K78" s="1050"/>
      <c r="L78" s="153" t="str">
        <f t="shared" si="5"/>
        <v>1742</v>
      </c>
      <c r="M78" s="154" t="str">
        <f t="shared" si="6"/>
        <v>MACHINERIE &amp; EQUIPEMENT</v>
      </c>
      <c r="N78" s="155">
        <f>+IF(OR($Q78=Parametres!$G$2,$Q78=Parametres!$G$3),I78,C78)</f>
        <v>942882.53</v>
      </c>
      <c r="O78" s="155">
        <f>+IF(OR($Q78=Parametres!$G$2,$Q78=Parametres!$G$3),J78,D78)</f>
        <v>0</v>
      </c>
      <c r="P78" s="155">
        <f>+IF(OR($Q78=Parametres!$G$2,$Q78=Parametres!$G$3),K78,E78)</f>
        <v>942882.53</v>
      </c>
      <c r="Q78" s="154" t="str">
        <f t="shared" si="7"/>
        <v>2-Actifs</v>
      </c>
      <c r="R78" s="153" t="str">
        <f t="shared" si="8"/>
        <v>1700</v>
      </c>
      <c r="S78" s="154">
        <f t="shared" si="9"/>
        <v>0</v>
      </c>
      <c r="T78" s="156" t="str">
        <f>+VLOOKUP($L78,Data_Validation!$A:$D,1,0)</f>
        <v>1742</v>
      </c>
      <c r="U78" s="156" t="str">
        <f>+VLOOKUP($L78,Data_Validation!$A:$D,3,0)</f>
        <v>Bilan</v>
      </c>
      <c r="V78" s="156" t="str">
        <f>+VLOOKUP($L78,Data_Validation!$A:$D,4,0)</f>
        <v>Équipements Service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72" t="s">
        <v>2126</v>
      </c>
      <c r="B79" s="1072" t="s">
        <v>2127</v>
      </c>
      <c r="C79" s="1074">
        <v>-753722.84</v>
      </c>
      <c r="D79" s="1074">
        <v>-3972</v>
      </c>
      <c r="E79" s="1074">
        <v>-757694.84</v>
      </c>
      <c r="F79" s="1072" t="s">
        <v>293</v>
      </c>
      <c r="G79" s="1072" t="s">
        <v>2128</v>
      </c>
      <c r="H79" s="150"/>
      <c r="I79" s="157"/>
      <c r="J79" s="157"/>
      <c r="K79" s="157"/>
      <c r="L79" s="153" t="str">
        <f t="shared" si="5"/>
        <v>1743</v>
      </c>
      <c r="M79" s="154" t="str">
        <f t="shared" si="6"/>
        <v>AMORTISS.MACHINERIE &amp; EQUIP.</v>
      </c>
      <c r="N79" s="155">
        <f>+IF(OR($Q79=Parametres!$G$2,$Q79=Parametres!$G$3),I79,C79)</f>
        <v>-753722.84</v>
      </c>
      <c r="O79" s="609">
        <f>+IF(OR($Q79=Parametres!$G$2,$Q79=Parametres!$G$3),J79,D79)</f>
        <v>-3972</v>
      </c>
      <c r="P79" s="155">
        <f>+IF(OR($Q79=Parametres!$G$2,$Q79=Parametres!$G$3),K79,E79)</f>
        <v>-757694.84</v>
      </c>
      <c r="Q79" s="154" t="str">
        <f t="shared" si="7"/>
        <v>2-Actifs</v>
      </c>
      <c r="R79" s="153" t="str">
        <f t="shared" si="8"/>
        <v>1700</v>
      </c>
      <c r="S79" s="154">
        <f t="shared" si="9"/>
        <v>0</v>
      </c>
      <c r="T79" s="156" t="str">
        <f>+VLOOKUP($L79,Data_Validation!$A:$D,1,0)</f>
        <v>1743</v>
      </c>
      <c r="U79" s="156" t="str">
        <f>+VLOOKUP($L79,Data_Validation!$A:$D,3,0)</f>
        <v>Bilan</v>
      </c>
      <c r="V79" s="156" t="str">
        <f>+VLOOKUP($L79,Data_Validation!$A:$D,4,0)</f>
        <v>Équipements Service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72" t="s">
        <v>2404</v>
      </c>
      <c r="B80" s="1072" t="s">
        <v>2405</v>
      </c>
      <c r="C80" s="1074">
        <v>47461.59</v>
      </c>
      <c r="D80" s="1074">
        <v>0</v>
      </c>
      <c r="E80" s="1074">
        <v>47461.59</v>
      </c>
      <c r="F80" s="1072" t="s">
        <v>293</v>
      </c>
      <c r="G80" s="1072" t="s">
        <v>2128</v>
      </c>
      <c r="H80" s="150"/>
      <c r="I80" s="157"/>
      <c r="J80" s="157"/>
      <c r="K80" s="157"/>
      <c r="L80" s="153" t="str">
        <f t="shared" si="5"/>
        <v>1744</v>
      </c>
      <c r="M80" s="154" t="str">
        <f t="shared" si="6"/>
        <v>EQUIPEMENT PIECES</v>
      </c>
      <c r="N80" s="155">
        <f>+IF(OR($Q80=Parametres!$G$2,$Q80=Parametres!$G$3),I80,C80)</f>
        <v>47461.59</v>
      </c>
      <c r="O80" s="608">
        <f>+IF(OR($Q80=Parametres!$G$2,$Q80=Parametres!$G$3),J80,D80)</f>
        <v>0</v>
      </c>
      <c r="P80" s="155">
        <f>+IF(OR($Q80=Parametres!$G$2,$Q80=Parametres!$G$3),K80,E80)</f>
        <v>47461.59</v>
      </c>
      <c r="Q80" s="154" t="str">
        <f t="shared" si="7"/>
        <v>2-Actifs</v>
      </c>
      <c r="R80" s="153" t="str">
        <f t="shared" si="8"/>
        <v>1700</v>
      </c>
      <c r="S80" s="154">
        <f t="shared" si="9"/>
        <v>0</v>
      </c>
      <c r="T80" s="156" t="str">
        <f>+VLOOKUP($L80,Data_Validation!$A:$D,1,0)</f>
        <v>1744</v>
      </c>
      <c r="U80" s="156" t="str">
        <f>+VLOOKUP($L80,Data_Validation!$A:$D,3,0)</f>
        <v>Bilan</v>
      </c>
      <c r="V80" s="156" t="str">
        <f>+VLOOKUP($L80,Data_Validation!$A:$D,4,0)</f>
        <v>Équipements Service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72" t="s">
        <v>2197</v>
      </c>
      <c r="B81" s="1072" t="s">
        <v>2198</v>
      </c>
      <c r="C81" s="1074">
        <v>-47293.48</v>
      </c>
      <c r="D81" s="1074">
        <v>-180</v>
      </c>
      <c r="E81" s="1074">
        <v>-47473.48</v>
      </c>
      <c r="F81" s="1072" t="s">
        <v>293</v>
      </c>
      <c r="G81" s="1072" t="s">
        <v>2128</v>
      </c>
      <c r="H81" s="150"/>
      <c r="I81" s="157"/>
      <c r="J81" s="157"/>
      <c r="K81" s="157"/>
      <c r="L81" s="153" t="str">
        <f t="shared" si="5"/>
        <v>1745</v>
      </c>
      <c r="M81" s="154" t="str">
        <f t="shared" si="6"/>
        <v>AMORTISS.EQUIPEMENTS PIECES</v>
      </c>
      <c r="N81" s="155">
        <f>+IF(OR($Q81=Parametres!$G$2,$Q81=Parametres!$G$3),I81,C81)</f>
        <v>-47293.48</v>
      </c>
      <c r="O81" s="155">
        <f>+IF(OR($Q81=Parametres!$G$2,$Q81=Parametres!$G$3),J81,D81)</f>
        <v>-180</v>
      </c>
      <c r="P81" s="155">
        <f>+IF(OR($Q81=Parametres!$G$2,$Q81=Parametres!$G$3),K81,E81)</f>
        <v>-47473.48</v>
      </c>
      <c r="Q81" s="154" t="str">
        <f t="shared" si="7"/>
        <v>2-Actifs</v>
      </c>
      <c r="R81" s="153" t="str">
        <f t="shared" si="8"/>
        <v>1700</v>
      </c>
      <c r="S81" s="154">
        <f t="shared" si="9"/>
        <v>0</v>
      </c>
      <c r="T81" s="156" t="str">
        <f>+VLOOKUP($L81,Data_Validation!$A:$D,1,0)</f>
        <v>1745</v>
      </c>
      <c r="U81" s="156" t="str">
        <f>+VLOOKUP($L81,Data_Validation!$A:$D,3,0)</f>
        <v>Bilan</v>
      </c>
      <c r="V81" s="156" t="str">
        <f>+VLOOKUP($L81,Data_Validation!$A:$D,4,0)</f>
        <v>Équipements Service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072" t="s">
        <v>2406</v>
      </c>
      <c r="B82" s="1072" t="s">
        <v>2407</v>
      </c>
      <c r="C82" s="1074">
        <v>155280.23000000001</v>
      </c>
      <c r="D82" s="1074">
        <v>0</v>
      </c>
      <c r="E82" s="1074">
        <v>155280.23000000001</v>
      </c>
      <c r="F82" s="1072" t="s">
        <v>293</v>
      </c>
      <c r="G82" s="1072" t="s">
        <v>2128</v>
      </c>
      <c r="H82" s="150"/>
      <c r="I82" s="157"/>
      <c r="J82" s="157"/>
      <c r="K82" s="157"/>
      <c r="L82" s="153" t="str">
        <f t="shared" si="5"/>
        <v>1760</v>
      </c>
      <c r="M82" s="154" t="str">
        <f t="shared" si="6"/>
        <v>EQUIPEMENT TELEPHONIQUE</v>
      </c>
      <c r="N82" s="155">
        <f>+IF(OR($Q82=Parametres!$G$2,$Q82=Parametres!$G$3),I82,C82)</f>
        <v>155280.23000000001</v>
      </c>
      <c r="O82" s="609">
        <f>+IF(OR($Q82=Parametres!$G$2,$Q82=Parametres!$G$3),J82,D82)</f>
        <v>0</v>
      </c>
      <c r="P82" s="155">
        <f>+IF(OR($Q82=Parametres!$G$2,$Q82=Parametres!$G$3),K82,E82)</f>
        <v>155280.23000000001</v>
      </c>
      <c r="Q82" s="154" t="str">
        <f t="shared" si="7"/>
        <v>2-Actifs</v>
      </c>
      <c r="R82" s="153" t="str">
        <f t="shared" si="8"/>
        <v>1700</v>
      </c>
      <c r="S82" s="154">
        <f t="shared" si="9"/>
        <v>0</v>
      </c>
      <c r="T82" s="156" t="str">
        <f>+VLOOKUP($L82,Data_Validation!$A:$D,1,0)</f>
        <v>1760</v>
      </c>
      <c r="U82" s="156" t="str">
        <f>+VLOOKUP($L82,Data_Validation!$A:$D,3,0)</f>
        <v>Bilan</v>
      </c>
      <c r="V82" s="156" t="str">
        <f>+VLOOKUP($L82,Data_Validation!$A:$D,4,0)</f>
        <v>Équipements Téléphonique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072" t="s">
        <v>2570</v>
      </c>
      <c r="B83" s="1072" t="s">
        <v>2571</v>
      </c>
      <c r="C83" s="1074">
        <v>-155280.23000000001</v>
      </c>
      <c r="D83" s="1074">
        <v>20</v>
      </c>
      <c r="E83" s="1074">
        <v>-155260.23000000001</v>
      </c>
      <c r="F83" s="1072" t="s">
        <v>293</v>
      </c>
      <c r="G83" s="1072" t="s">
        <v>2128</v>
      </c>
      <c r="H83" s="150"/>
      <c r="I83" s="157"/>
      <c r="J83" s="157"/>
      <c r="K83" s="157"/>
      <c r="L83" s="153" t="str">
        <f t="shared" si="5"/>
        <v>1761</v>
      </c>
      <c r="M83" s="154" t="str">
        <f t="shared" si="6"/>
        <v>AMORTISS.EQUIP.TELEPHONIQUES</v>
      </c>
      <c r="N83" s="155">
        <f>+IF(OR($Q83=Parametres!$G$2,$Q83=Parametres!$G$3),I83,C83)</f>
        <v>-155280.23000000001</v>
      </c>
      <c r="O83" s="155">
        <f>+IF(OR($Q83=Parametres!$G$2,$Q83=Parametres!$G$3),J83,D83)</f>
        <v>20</v>
      </c>
      <c r="P83" s="155">
        <f>+IF(OR($Q83=Parametres!$G$2,$Q83=Parametres!$G$3),K83,E83)</f>
        <v>-155260.23000000001</v>
      </c>
      <c r="Q83" s="154" t="str">
        <f t="shared" si="7"/>
        <v>2-Actifs</v>
      </c>
      <c r="R83" s="153" t="str">
        <f t="shared" si="8"/>
        <v>1700</v>
      </c>
      <c r="S83" s="154">
        <f t="shared" si="9"/>
        <v>0</v>
      </c>
      <c r="T83" s="156" t="str">
        <f>+VLOOKUP($L83,Data_Validation!$A:$D,1,0)</f>
        <v>1761</v>
      </c>
      <c r="U83" s="156" t="str">
        <f>+VLOOKUP($L83,Data_Validation!$A:$D,3,0)</f>
        <v>Bilan</v>
      </c>
      <c r="V83" s="156" t="str">
        <f>+VLOOKUP($L83,Data_Validation!$A:$D,4,0)</f>
        <v>Équipements Téléphonique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72" t="s">
        <v>2408</v>
      </c>
      <c r="B84" s="1072" t="s">
        <v>2409</v>
      </c>
      <c r="C84" s="1074">
        <v>433206.49</v>
      </c>
      <c r="D84" s="1074">
        <v>0</v>
      </c>
      <c r="E84" s="1074">
        <v>433206.49</v>
      </c>
      <c r="F84" s="1072" t="s">
        <v>293</v>
      </c>
      <c r="G84" s="1072" t="s">
        <v>2128</v>
      </c>
      <c r="H84" s="150"/>
      <c r="I84" s="157"/>
      <c r="J84" s="157"/>
      <c r="K84" s="157"/>
      <c r="L84" s="153" t="str">
        <f t="shared" si="5"/>
        <v>1762</v>
      </c>
      <c r="M84" s="154" t="str">
        <f t="shared" si="6"/>
        <v>AMEUBLEMENT &amp; INSTR.</v>
      </c>
      <c r="N84" s="155">
        <f>+IF(OR($Q84=Parametres!$G$2,$Q84=Parametres!$G$3),I84,C84)</f>
        <v>433206.49</v>
      </c>
      <c r="O84" s="155">
        <f>+IF(OR($Q84=Parametres!$G$2,$Q84=Parametres!$G$3),J84,D84)</f>
        <v>0</v>
      </c>
      <c r="P84" s="155">
        <f>+IF(OR($Q84=Parametres!$G$2,$Q84=Parametres!$G$3),K84,E84)</f>
        <v>433206.49</v>
      </c>
      <c r="Q84" s="154" t="str">
        <f t="shared" si="7"/>
        <v>2-Actifs</v>
      </c>
      <c r="R84" s="153" t="str">
        <f t="shared" si="8"/>
        <v>1700</v>
      </c>
      <c r="S84" s="154">
        <f t="shared" si="9"/>
        <v>0</v>
      </c>
      <c r="T84" s="156" t="str">
        <f>+VLOOKUP($L84,Data_Validation!$A:$D,1,0)</f>
        <v>1762</v>
      </c>
      <c r="U84" s="156" t="str">
        <f>+VLOOKUP($L84,Data_Validation!$A:$D,3,0)</f>
        <v>Bilan</v>
      </c>
      <c r="V84" s="156" t="str">
        <f>+VLOOKUP($L84,Data_Validation!$A:$D,4,0)</f>
        <v>Mobilier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72" t="s">
        <v>2163</v>
      </c>
      <c r="B85" s="1072" t="s">
        <v>2164</v>
      </c>
      <c r="C85" s="1074">
        <v>-396242.54</v>
      </c>
      <c r="D85" s="1074">
        <v>-1250</v>
      </c>
      <c r="E85" s="1074">
        <v>-397492.54</v>
      </c>
      <c r="F85" s="1072" t="s">
        <v>293</v>
      </c>
      <c r="G85" s="1072" t="s">
        <v>2128</v>
      </c>
      <c r="H85" s="150"/>
      <c r="I85" s="157"/>
      <c r="J85" s="157"/>
      <c r="K85" s="157"/>
      <c r="L85" s="153" t="str">
        <f t="shared" si="5"/>
        <v>1763</v>
      </c>
      <c r="M85" s="154" t="str">
        <f t="shared" si="6"/>
        <v>AMORTISS.AMEUBL.INSTR.</v>
      </c>
      <c r="N85" s="155">
        <f>+IF(OR($Q85=Parametres!$G$2,$Q85=Parametres!$G$3),I85,C85)</f>
        <v>-396242.54</v>
      </c>
      <c r="O85" s="608">
        <f>+IF(OR($Q85=Parametres!$G$2,$Q85=Parametres!$G$3),J85,D85)</f>
        <v>-1250</v>
      </c>
      <c r="P85" s="155">
        <f>+IF(OR($Q85=Parametres!$G$2,$Q85=Parametres!$G$3),K85,E85)</f>
        <v>-397492.54</v>
      </c>
      <c r="Q85" s="154" t="str">
        <f t="shared" si="7"/>
        <v>2-Actifs</v>
      </c>
      <c r="R85" s="153" t="str">
        <f t="shared" si="8"/>
        <v>1700</v>
      </c>
      <c r="S85" s="154">
        <f t="shared" si="9"/>
        <v>0</v>
      </c>
      <c r="T85" s="156" t="str">
        <f>+VLOOKUP($L85,Data_Validation!$A:$D,1,0)</f>
        <v>1763</v>
      </c>
      <c r="U85" s="156" t="str">
        <f>+VLOOKUP($L85,Data_Validation!$A:$D,3,0)</f>
        <v>Bilan</v>
      </c>
      <c r="V85" s="156" t="str">
        <f>+VLOOKUP($L85,Data_Validation!$A:$D,4,0)</f>
        <v>Mobilier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72" t="s">
        <v>2410</v>
      </c>
      <c r="B86" s="1072" t="s">
        <v>2411</v>
      </c>
      <c r="C86" s="1074">
        <v>3987.88</v>
      </c>
      <c r="D86" s="1074">
        <v>0</v>
      </c>
      <c r="E86" s="1074">
        <v>3987.88</v>
      </c>
      <c r="F86" s="1072" t="s">
        <v>293</v>
      </c>
      <c r="G86" s="1072" t="s">
        <v>2128</v>
      </c>
      <c r="H86" s="150"/>
      <c r="I86" s="157"/>
      <c r="J86" s="157"/>
      <c r="K86" s="157"/>
      <c r="L86" s="153" t="str">
        <f t="shared" si="5"/>
        <v>1772</v>
      </c>
      <c r="M86" s="154" t="str">
        <f t="shared" si="6"/>
        <v>VEHICULES DE CIE</v>
      </c>
      <c r="N86" s="155">
        <f>+IF(OR($Q86=Parametres!$G$2,$Q86=Parametres!$G$3),I86,C86)</f>
        <v>3987.88</v>
      </c>
      <c r="O86" s="155">
        <f>+IF(OR($Q86=Parametres!$G$2,$Q86=Parametres!$G$3),J86,D86)</f>
        <v>0</v>
      </c>
      <c r="P86" s="155">
        <f>+IF(OR($Q86=Parametres!$G$2,$Q86=Parametres!$G$3),K86,E86)</f>
        <v>3987.88</v>
      </c>
      <c r="Q86" s="154" t="str">
        <f t="shared" si="7"/>
        <v>2-Actifs</v>
      </c>
      <c r="R86" s="153" t="str">
        <f t="shared" si="8"/>
        <v>1700</v>
      </c>
      <c r="S86" s="154">
        <f t="shared" si="9"/>
        <v>0</v>
      </c>
      <c r="T86" s="156" t="str">
        <f>+VLOOKUP($L86,Data_Validation!$A:$D,1,0)</f>
        <v>1772</v>
      </c>
      <c r="U86" s="156" t="str">
        <f>+VLOOKUP($L86,Data_Validation!$A:$D,3,0)</f>
        <v>Bilan</v>
      </c>
      <c r="V86" s="156" t="str">
        <f>+VLOOKUP($L86,Data_Validation!$A:$D,4,0)</f>
        <v>Équipements Service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72" t="s">
        <v>2412</v>
      </c>
      <c r="B87" s="1072" t="s">
        <v>2413</v>
      </c>
      <c r="C87" s="1074">
        <v>-3987.88</v>
      </c>
      <c r="D87" s="1074">
        <v>0</v>
      </c>
      <c r="E87" s="1074">
        <v>-3987.88</v>
      </c>
      <c r="F87" s="1072" t="s">
        <v>293</v>
      </c>
      <c r="G87" s="1072" t="s">
        <v>2128</v>
      </c>
      <c r="H87" s="150"/>
      <c r="I87" s="151"/>
      <c r="J87" s="151"/>
      <c r="K87" s="151"/>
      <c r="L87" s="153" t="str">
        <f t="shared" si="5"/>
        <v>1773</v>
      </c>
      <c r="M87" s="154" t="str">
        <f t="shared" si="6"/>
        <v>DEPRECIATION &amp; AMORT.</v>
      </c>
      <c r="N87" s="155">
        <f>+IF(OR($Q87=Parametres!$G$2,$Q87=Parametres!$G$3),I87,C87)</f>
        <v>-3987.88</v>
      </c>
      <c r="O87" s="155">
        <f>+IF(OR($Q87=Parametres!$G$2,$Q87=Parametres!$G$3),J87,D87)</f>
        <v>0</v>
      </c>
      <c r="P87" s="155">
        <f>+IF(OR($Q87=Parametres!$G$2,$Q87=Parametres!$G$3),K87,E87)</f>
        <v>-3987.88</v>
      </c>
      <c r="Q87" s="154" t="str">
        <f t="shared" si="7"/>
        <v>2-Actifs</v>
      </c>
      <c r="R87" s="153" t="str">
        <f t="shared" si="8"/>
        <v>1700</v>
      </c>
      <c r="S87" s="154">
        <f t="shared" si="9"/>
        <v>0</v>
      </c>
      <c r="T87" s="156" t="str">
        <f>+VLOOKUP($L87,Data_Validation!$A:$D,1,0)</f>
        <v>1773</v>
      </c>
      <c r="U87" s="156" t="str">
        <f>+VLOOKUP($L87,Data_Validation!$A:$D,3,0)</f>
        <v>Bilan</v>
      </c>
      <c r="V87" s="156" t="str">
        <f>+VLOOKUP($L87,Data_Validation!$A:$D,4,0)</f>
        <v>Équipements Service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72" t="s">
        <v>2568</v>
      </c>
      <c r="B88" s="1072" t="s">
        <v>2569</v>
      </c>
      <c r="C88" s="1074">
        <v>270585.31</v>
      </c>
      <c r="D88" s="1074">
        <v>0</v>
      </c>
      <c r="E88" s="1074">
        <v>270585.31</v>
      </c>
      <c r="F88" s="1072" t="s">
        <v>293</v>
      </c>
      <c r="G88" s="1072" t="s">
        <v>2128</v>
      </c>
      <c r="H88" s="1050"/>
      <c r="I88" s="1049"/>
      <c r="J88" s="1049"/>
      <c r="K88" s="1049"/>
      <c r="L88" s="153" t="str">
        <f t="shared" si="5"/>
        <v>1786</v>
      </c>
      <c r="M88" s="154" t="str">
        <f t="shared" si="6"/>
        <v>EQUIPEMENT INFORMATIQUE</v>
      </c>
      <c r="N88" s="155">
        <f>+IF(OR($Q88=Parametres!$G$2,$Q88=Parametres!$G$3),I88,C88)</f>
        <v>270585.31</v>
      </c>
      <c r="O88" s="155">
        <f>+IF(OR($Q88=Parametres!$G$2,$Q88=Parametres!$G$3),J88,D88)</f>
        <v>0</v>
      </c>
      <c r="P88" s="155">
        <f>+IF(OR($Q88=Parametres!$G$2,$Q88=Parametres!$G$3),K88,E88)</f>
        <v>270585.31</v>
      </c>
      <c r="Q88" s="154" t="str">
        <f t="shared" si="7"/>
        <v>2-Actifs</v>
      </c>
      <c r="R88" s="153" t="str">
        <f t="shared" si="8"/>
        <v>1700</v>
      </c>
      <c r="S88" s="154">
        <f t="shared" si="9"/>
        <v>0</v>
      </c>
      <c r="T88" s="156" t="str">
        <f>+VLOOKUP($L88,Data_Validation!$A:$D,1,0)</f>
        <v>1786</v>
      </c>
      <c r="U88" s="156" t="str">
        <f>+VLOOKUP($L88,Data_Validation!$A:$D,3,0)</f>
        <v>Bilan</v>
      </c>
      <c r="V88" s="156" t="str">
        <f>+VLOOKUP($L88,Data_Validation!$A:$D,4,0)</f>
        <v>Équipements Informatique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72" t="s">
        <v>2154</v>
      </c>
      <c r="B89" s="1072" t="s">
        <v>2155</v>
      </c>
      <c r="C89" s="1074">
        <v>-244304.65</v>
      </c>
      <c r="D89" s="1074">
        <v>-1870</v>
      </c>
      <c r="E89" s="1074">
        <v>-246174.65</v>
      </c>
      <c r="F89" s="1072" t="s">
        <v>293</v>
      </c>
      <c r="G89" s="1072" t="s">
        <v>2128</v>
      </c>
      <c r="H89" s="1050"/>
      <c r="I89" s="1050"/>
      <c r="J89" s="1050"/>
      <c r="K89" s="1050"/>
      <c r="L89" s="153" t="str">
        <f t="shared" si="5"/>
        <v>1787</v>
      </c>
      <c r="M89" s="154" t="str">
        <f t="shared" si="6"/>
        <v>AMORTISS.EQUIP.INFORMATIQUES</v>
      </c>
      <c r="N89" s="155">
        <f>+IF(OR($Q89=Parametres!$G$2,$Q89=Parametres!$G$3),I89,C89)</f>
        <v>-244304.65</v>
      </c>
      <c r="O89" s="608">
        <f>+IF(OR($Q89=Parametres!$G$2,$Q89=Parametres!$G$3),J89,D89)</f>
        <v>-1870</v>
      </c>
      <c r="P89" s="155">
        <f>+IF(OR($Q89=Parametres!$G$2,$Q89=Parametres!$G$3),K89,E89)</f>
        <v>-246174.65</v>
      </c>
      <c r="Q89" s="154" t="str">
        <f t="shared" si="7"/>
        <v>2-Actifs</v>
      </c>
      <c r="R89" s="153" t="str">
        <f t="shared" si="8"/>
        <v>1700</v>
      </c>
      <c r="S89" s="154">
        <f t="shared" si="9"/>
        <v>0</v>
      </c>
      <c r="T89" s="156" t="str">
        <f>+VLOOKUP($L89,Data_Validation!$A:$D,1,0)</f>
        <v>1787</v>
      </c>
      <c r="U89" s="156" t="str">
        <f>+VLOOKUP($L89,Data_Validation!$A:$D,3,0)</f>
        <v>Bilan</v>
      </c>
      <c r="V89" s="156" t="str">
        <f>+VLOOKUP($L89,Data_Validation!$A:$D,4,0)</f>
        <v>Équipements Informatique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hidden="1" customHeight="1">
      <c r="A90" s="1072" t="s">
        <v>822</v>
      </c>
      <c r="B90" s="1072" t="s">
        <v>2414</v>
      </c>
      <c r="C90" s="1074">
        <v>119393.66</v>
      </c>
      <c r="D90" s="1074">
        <v>0</v>
      </c>
      <c r="E90" s="1074">
        <v>119393.66</v>
      </c>
      <c r="F90" s="1072" t="s">
        <v>293</v>
      </c>
      <c r="G90" s="1072" t="s">
        <v>2128</v>
      </c>
      <c r="H90" s="150"/>
      <c r="I90" s="157"/>
      <c r="J90" s="157"/>
      <c r="K90" s="157"/>
      <c r="L90" s="153" t="str">
        <f t="shared" si="5"/>
        <v>1792</v>
      </c>
      <c r="M90" s="154" t="str">
        <f t="shared" si="6"/>
        <v>ENSEIGNES</v>
      </c>
      <c r="N90" s="155">
        <f>+IF(OR($Q90=Parametres!$G$2,$Q90=Parametres!$G$3),I90,C90)</f>
        <v>119393.66</v>
      </c>
      <c r="O90" s="608">
        <f>+IF(OR($Q90=Parametres!$G$2,$Q90=Parametres!$G$3),J90,D90)</f>
        <v>0</v>
      </c>
      <c r="P90" s="155">
        <f>+IF(OR($Q90=Parametres!$G$2,$Q90=Parametres!$G$3),K90,E90)</f>
        <v>119393.66</v>
      </c>
      <c r="Q90" s="154" t="str">
        <f t="shared" si="7"/>
        <v>2-Actifs</v>
      </c>
      <c r="R90" s="153" t="str">
        <f t="shared" si="8"/>
        <v>1700</v>
      </c>
      <c r="S90" s="154">
        <f t="shared" si="9"/>
        <v>0</v>
      </c>
      <c r="T90" s="156" t="str">
        <f>+VLOOKUP($L90,Data_Validation!$A:$D,1,0)</f>
        <v>1792</v>
      </c>
      <c r="U90" s="156" t="str">
        <f>+VLOOKUP($L90,Data_Validation!$A:$D,3,0)</f>
        <v>Bilan</v>
      </c>
      <c r="V90" s="156" t="str">
        <f>+VLOOKUP($L90,Data_Validation!$A:$D,4,0)</f>
        <v>Enseigne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72" t="s">
        <v>2195</v>
      </c>
      <c r="B91" s="1072" t="s">
        <v>2196</v>
      </c>
      <c r="C91" s="1074">
        <v>-119393.65</v>
      </c>
      <c r="D91" s="1074">
        <v>-185</v>
      </c>
      <c r="E91" s="1074">
        <v>-119578.65</v>
      </c>
      <c r="F91" s="1072" t="s">
        <v>293</v>
      </c>
      <c r="G91" s="1072" t="s">
        <v>2128</v>
      </c>
      <c r="H91" s="150"/>
      <c r="I91" s="157"/>
      <c r="J91" s="157"/>
      <c r="K91" s="157"/>
      <c r="L91" s="153" t="str">
        <f t="shared" si="5"/>
        <v>1793</v>
      </c>
      <c r="M91" s="154" t="str">
        <f t="shared" si="6"/>
        <v>AMORT. CUM. ENSEIGNES</v>
      </c>
      <c r="N91" s="155">
        <f>+IF(OR($Q91=Parametres!$G$2,$Q91=Parametres!$G$3),I91,C91)</f>
        <v>-119393.65</v>
      </c>
      <c r="O91" s="155">
        <f>+IF(OR($Q91=Parametres!$G$2,$Q91=Parametres!$G$3),J91,D91)</f>
        <v>-185</v>
      </c>
      <c r="P91" s="155">
        <f>+IF(OR($Q91=Parametres!$G$2,$Q91=Parametres!$G$3),K91,E91)</f>
        <v>-119578.65</v>
      </c>
      <c r="Q91" s="154" t="str">
        <f t="shared" si="7"/>
        <v>2-Actifs</v>
      </c>
      <c r="R91" s="153" t="str">
        <f t="shared" si="8"/>
        <v>1700</v>
      </c>
      <c r="S91" s="154">
        <f t="shared" si="9"/>
        <v>0</v>
      </c>
      <c r="T91" s="156" t="str">
        <f>+VLOOKUP($L91,Data_Validation!$A:$D,1,0)</f>
        <v>1793</v>
      </c>
      <c r="U91" s="156" t="str">
        <f>+VLOOKUP($L91,Data_Validation!$A:$D,3,0)</f>
        <v>Bilan</v>
      </c>
      <c r="V91" s="156" t="str">
        <f>+VLOOKUP($L91,Data_Validation!$A:$D,4,0)</f>
        <v>Enseigne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72" t="s">
        <v>2415</v>
      </c>
      <c r="B92" s="1072" t="s">
        <v>2416</v>
      </c>
      <c r="C92" s="1074">
        <v>1623600</v>
      </c>
      <c r="D92" s="1074">
        <v>0</v>
      </c>
      <c r="E92" s="1074">
        <v>1623600</v>
      </c>
      <c r="F92" s="1072" t="s">
        <v>293</v>
      </c>
      <c r="G92" s="1072" t="s">
        <v>2416</v>
      </c>
      <c r="H92" s="150"/>
      <c r="I92" s="151"/>
      <c r="J92" s="151"/>
      <c r="K92" s="151"/>
      <c r="L92" s="153" t="str">
        <f t="shared" si="5"/>
        <v>1804</v>
      </c>
      <c r="M92" s="154" t="str">
        <f t="shared" si="6"/>
        <v>RECEVABLE-PROP. &amp; EMPL.</v>
      </c>
      <c r="N92" s="155">
        <f>+IF(OR($Q92=Parametres!$G$2,$Q92=Parametres!$G$3),I92,C92)</f>
        <v>1623600</v>
      </c>
      <c r="O92" s="155">
        <f>+IF(OR($Q92=Parametres!$G$2,$Q92=Parametres!$G$3),J92,D92)</f>
        <v>0</v>
      </c>
      <c r="P92" s="155">
        <f>+IF(OR($Q92=Parametres!$G$2,$Q92=Parametres!$G$3),K92,E92)</f>
        <v>1623600</v>
      </c>
      <c r="Q92" s="154" t="str">
        <f t="shared" si="7"/>
        <v>2-Actifs</v>
      </c>
      <c r="R92" s="153" t="str">
        <f t="shared" si="8"/>
        <v>1804</v>
      </c>
      <c r="S92" s="154">
        <f t="shared" si="9"/>
        <v>0</v>
      </c>
      <c r="T92" s="156" t="str">
        <f>+VLOOKUP($L92,Data_Validation!$A:$D,1,0)</f>
        <v>1804</v>
      </c>
      <c r="U92" s="156" t="str">
        <f>+VLOOKUP($L92,Data_Validation!$A:$D,3,0)</f>
        <v>Bilan</v>
      </c>
      <c r="V92" s="156" t="str">
        <f>+VLOOKUP($L92,Data_Validation!$A:$D,4,0)</f>
        <v>Avances à Recevoir Long Terme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72" t="s">
        <v>2752</v>
      </c>
      <c r="B93" s="1072" t="s">
        <v>2753</v>
      </c>
      <c r="C93" s="1074">
        <v>1633.63</v>
      </c>
      <c r="D93" s="1074">
        <v>-921.6</v>
      </c>
      <c r="E93" s="1074">
        <v>712.03</v>
      </c>
      <c r="F93" s="1072" t="s">
        <v>293</v>
      </c>
      <c r="G93" s="1072" t="s">
        <v>2623</v>
      </c>
      <c r="H93" s="150"/>
      <c r="I93" s="157"/>
      <c r="J93" s="157"/>
      <c r="K93" s="157"/>
      <c r="L93" s="153" t="str">
        <f t="shared" si="5"/>
        <v>1806</v>
      </c>
      <c r="M93" s="154" t="str">
        <f t="shared" si="6"/>
        <v>FINANCEMENT RECEVABLE</v>
      </c>
      <c r="N93" s="155">
        <f>+IF(OR($Q93=Parametres!$G$2,$Q93=Parametres!$G$3),I93,C93)</f>
        <v>1633.63</v>
      </c>
      <c r="O93" s="155">
        <f>+IF(OR($Q93=Parametres!$G$2,$Q93=Parametres!$G$3),J93,D93)</f>
        <v>-921.6</v>
      </c>
      <c r="P93" s="155">
        <f>+IF(OR($Q93=Parametres!$G$2,$Q93=Parametres!$G$3),K93,E93)</f>
        <v>712.03</v>
      </c>
      <c r="Q93" s="154" t="str">
        <f t="shared" si="7"/>
        <v>2-Actifs</v>
      </c>
      <c r="R93" s="153" t="str">
        <f t="shared" si="8"/>
        <v>1382</v>
      </c>
      <c r="S93" s="154">
        <f t="shared" si="9"/>
        <v>0</v>
      </c>
      <c r="T93" s="156" t="str">
        <f>+VLOOKUP($L93,Data_Validation!$A:$D,1,0)</f>
        <v>1806</v>
      </c>
      <c r="U93" s="156" t="str">
        <f>+VLOOKUP($L93,Data_Validation!$A:$D,3,0)</f>
        <v>Bilan</v>
      </c>
      <c r="V93" s="156" t="str">
        <f>+VLOOKUP($L93,Data_Validation!$A:$D,4,0)</f>
        <v>Recevables Autres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72" t="s">
        <v>2846</v>
      </c>
      <c r="B94" s="1072" t="s">
        <v>2847</v>
      </c>
      <c r="C94" s="1074">
        <v>-3887653.04</v>
      </c>
      <c r="D94" s="1074">
        <v>-495824.9</v>
      </c>
      <c r="E94" s="1074">
        <v>-4383477.9400000004</v>
      </c>
      <c r="F94" s="1072" t="s">
        <v>282</v>
      </c>
      <c r="G94" s="1072" t="s">
        <v>2847</v>
      </c>
      <c r="H94" s="1050"/>
      <c r="I94" s="1049"/>
      <c r="J94" s="1049"/>
      <c r="K94" s="1049"/>
      <c r="L94" s="153" t="str">
        <f t="shared" si="5"/>
        <v>2101</v>
      </c>
      <c r="M94" s="154" t="str">
        <f t="shared" si="6"/>
        <v>NOTE A PAYER VEH. NEUFS VOLKS</v>
      </c>
      <c r="N94" s="155">
        <f>+IF(OR($Q94=Parametres!$G$2,$Q94=Parametres!$G$3),I94,C94)</f>
        <v>-3887653.04</v>
      </c>
      <c r="O94" s="608">
        <f>+IF(OR($Q94=Parametres!$G$2,$Q94=Parametres!$G$3),J94,D94)</f>
        <v>-495824.9</v>
      </c>
      <c r="P94" s="155">
        <f>+IF(OR($Q94=Parametres!$G$2,$Q94=Parametres!$G$3),K94,E94)</f>
        <v>-4383477.9400000004</v>
      </c>
      <c r="Q94" s="154" t="str">
        <f t="shared" si="7"/>
        <v>3-Passifs</v>
      </c>
      <c r="R94" s="153" t="str">
        <f t="shared" si="8"/>
        <v>2101</v>
      </c>
      <c r="S94" s="154">
        <f t="shared" si="9"/>
        <v>0</v>
      </c>
      <c r="T94" s="156" t="str">
        <f>+VLOOKUP($L94,Data_Validation!$A:$D,1,0)</f>
        <v>2101</v>
      </c>
      <c r="U94" s="156" t="str">
        <f>+VLOOKUP($L94,Data_Validation!$A:$D,3,0)</f>
        <v>Bilan</v>
      </c>
      <c r="V94" s="156" t="str">
        <f>+VLOOKUP($L94,Data_Validation!$A:$D,4,0)</f>
        <v>Effet à Payer Véhicules Neufs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72" t="s">
        <v>2036</v>
      </c>
      <c r="B95" s="1072" t="s">
        <v>2037</v>
      </c>
      <c r="C95" s="1074">
        <v>-293422.46999999997</v>
      </c>
      <c r="D95" s="1074">
        <v>-52073.33</v>
      </c>
      <c r="E95" s="1074">
        <v>-345495.8</v>
      </c>
      <c r="F95" s="1072" t="s">
        <v>282</v>
      </c>
      <c r="G95" s="1072" t="s">
        <v>2037</v>
      </c>
      <c r="H95" s="150"/>
      <c r="I95" s="151"/>
      <c r="J95" s="151"/>
      <c r="K95" s="151"/>
      <c r="L95" s="153" t="str">
        <f t="shared" si="5"/>
        <v>2103</v>
      </c>
      <c r="M95" s="154" t="str">
        <f t="shared" si="6"/>
        <v>NOTE PAYABLE-FIN. VEH. USAG.</v>
      </c>
      <c r="N95" s="155">
        <f>+IF(OR($Q95=Parametres!$G$2,$Q95=Parametres!$G$3),I95,C95)</f>
        <v>-293422.46999999997</v>
      </c>
      <c r="O95" s="155">
        <f>+IF(OR($Q95=Parametres!$G$2,$Q95=Parametres!$G$3),J95,D95)</f>
        <v>-52073.33</v>
      </c>
      <c r="P95" s="155">
        <f>+IF(OR($Q95=Parametres!$G$2,$Q95=Parametres!$G$3),K95,E95)</f>
        <v>-345495.8</v>
      </c>
      <c r="Q95" s="154" t="str">
        <f t="shared" si="7"/>
        <v>3-Passifs</v>
      </c>
      <c r="R95" s="153" t="str">
        <f t="shared" si="8"/>
        <v>2103</v>
      </c>
      <c r="S95" s="154">
        <f t="shared" si="9"/>
        <v>0</v>
      </c>
      <c r="T95" s="156" t="str">
        <f>+VLOOKUP($L95,Data_Validation!$A:$D,1,0)</f>
        <v>2103</v>
      </c>
      <c r="U95" s="156" t="str">
        <f>+VLOOKUP($L95,Data_Validation!$A:$D,3,0)</f>
        <v>Bilan</v>
      </c>
      <c r="V95" s="156" t="str">
        <f>+VLOOKUP($L95,Data_Validation!$A:$D,4,0)</f>
        <v>Effet à Payer Véhicules Usagés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72" t="s">
        <v>2417</v>
      </c>
      <c r="B96" s="1072" t="s">
        <v>2418</v>
      </c>
      <c r="C96" s="1074">
        <v>-15810</v>
      </c>
      <c r="D96" s="1074">
        <v>0</v>
      </c>
      <c r="E96" s="1074">
        <v>-15810</v>
      </c>
      <c r="F96" s="1072" t="s">
        <v>282</v>
      </c>
      <c r="G96" s="1072" t="s">
        <v>2418</v>
      </c>
      <c r="H96" s="150"/>
      <c r="I96" s="157"/>
      <c r="J96" s="157"/>
      <c r="K96" s="157"/>
      <c r="L96" s="153" t="str">
        <f t="shared" si="5"/>
        <v>2131</v>
      </c>
      <c r="M96" s="154" t="str">
        <f t="shared" si="6"/>
        <v>PORTION COURANTE PRET</v>
      </c>
      <c r="N96" s="155">
        <f>+IF(OR($Q96=Parametres!$G$2,$Q96=Parametres!$G$3),I96,C96)</f>
        <v>-15810</v>
      </c>
      <c r="O96" s="155">
        <f>+IF(OR($Q96=Parametres!$G$2,$Q96=Parametres!$G$3),J96,D96)</f>
        <v>0</v>
      </c>
      <c r="P96" s="155">
        <f>+IF(OR($Q96=Parametres!$G$2,$Q96=Parametres!$G$3),K96,E96)</f>
        <v>-15810</v>
      </c>
      <c r="Q96" s="154" t="str">
        <f t="shared" si="7"/>
        <v>3-Passifs</v>
      </c>
      <c r="R96" s="153" t="str">
        <f t="shared" si="8"/>
        <v>2131</v>
      </c>
      <c r="S96" s="154">
        <f t="shared" si="9"/>
        <v>0</v>
      </c>
      <c r="T96" s="156" t="str">
        <f>+VLOOKUP($L96,Data_Validation!$A:$D,1,0)</f>
        <v>2131</v>
      </c>
      <c r="U96" s="156" t="str">
        <f>+VLOOKUP($L96,Data_Validation!$A:$D,3,0)</f>
        <v>Bilan</v>
      </c>
      <c r="V96" s="156" t="str">
        <f>+VLOOKUP($L96,Data_Validation!$A:$D,4,0)</f>
        <v>Portion Court Terme de la Dette Long Terme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72" t="s">
        <v>2056</v>
      </c>
      <c r="B97" s="1072" t="s">
        <v>2057</v>
      </c>
      <c r="C97" s="1074">
        <v>-52561.9</v>
      </c>
      <c r="D97" s="1074">
        <v>-9966.69</v>
      </c>
      <c r="E97" s="1074">
        <v>-62528.59</v>
      </c>
      <c r="F97" s="1072" t="s">
        <v>282</v>
      </c>
      <c r="G97" s="1072" t="s">
        <v>2057</v>
      </c>
      <c r="H97" s="1050"/>
      <c r="I97" s="1049"/>
      <c r="J97" s="1049"/>
      <c r="K97" s="1049"/>
      <c r="L97" s="153" t="str">
        <f t="shared" si="5"/>
        <v>2221</v>
      </c>
      <c r="M97" s="612" t="str">
        <f t="shared" si="6"/>
        <v>TVQ A PAYER</v>
      </c>
      <c r="N97" s="155">
        <f>+IF(OR($Q97=Parametres!$G$2,$Q97=Parametres!$G$3),I97,C97)</f>
        <v>-52561.9</v>
      </c>
      <c r="O97" s="613">
        <f>+IF(OR($Q97=Parametres!$G$2,$Q97=Parametres!$G$3),J97,D97)</f>
        <v>-9966.69</v>
      </c>
      <c r="P97" s="614">
        <f>+IF(OR($Q97=Parametres!$G$2,$Q97=Parametres!$G$3),K97,E97)</f>
        <v>-62528.59</v>
      </c>
      <c r="Q97" s="154" t="str">
        <f t="shared" si="7"/>
        <v>3-Passifs</v>
      </c>
      <c r="R97" s="153" t="str">
        <f t="shared" si="8"/>
        <v>2221</v>
      </c>
      <c r="S97" s="154">
        <f t="shared" si="9"/>
        <v>0</v>
      </c>
      <c r="T97" s="156" t="str">
        <f>+VLOOKUP($L97,Data_Validation!$A:$D,1,0)</f>
        <v>2221</v>
      </c>
      <c r="U97" s="156" t="str">
        <f>+VLOOKUP($L97,Data_Validation!$A:$D,3,0)</f>
        <v>Bilan</v>
      </c>
      <c r="V97" s="156" t="str">
        <f>+VLOOKUP($L97,Data_Validation!$A:$D,4,0)</f>
        <v>Taxes de Vente à Payer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72" t="s">
        <v>2796</v>
      </c>
      <c r="B98" s="1072" t="s">
        <v>2797</v>
      </c>
      <c r="C98" s="1074">
        <v>48523</v>
      </c>
      <c r="D98" s="1074">
        <v>-23722.45</v>
      </c>
      <c r="E98" s="1074">
        <v>24800.55</v>
      </c>
      <c r="F98" s="1072" t="s">
        <v>282</v>
      </c>
      <c r="G98" s="1072" t="s">
        <v>2057</v>
      </c>
      <c r="H98" s="150"/>
      <c r="I98" s="151"/>
      <c r="J98" s="151"/>
      <c r="K98" s="151"/>
      <c r="L98" s="153" t="str">
        <f t="shared" si="5"/>
        <v>2222</v>
      </c>
      <c r="M98" s="154" t="str">
        <f t="shared" si="6"/>
        <v>TVQ A RECEVOIR</v>
      </c>
      <c r="N98" s="155">
        <f>+IF(OR($Q98=Parametres!$G$2,$Q98=Parametres!$G$3),I98,C98)</f>
        <v>48523</v>
      </c>
      <c r="O98" s="155">
        <f>+IF(OR($Q98=Parametres!$G$2,$Q98=Parametres!$G$3),J98,D98)</f>
        <v>-23722.45</v>
      </c>
      <c r="P98" s="155">
        <f>+IF(OR($Q98=Parametres!$G$2,$Q98=Parametres!$G$3),K98,E98)</f>
        <v>24800.55</v>
      </c>
      <c r="Q98" s="154" t="str">
        <f t="shared" si="7"/>
        <v>3-Passifs</v>
      </c>
      <c r="R98" s="153" t="str">
        <f t="shared" si="8"/>
        <v>2221</v>
      </c>
      <c r="S98" s="154">
        <f t="shared" si="9"/>
        <v>0</v>
      </c>
      <c r="T98" s="156" t="str">
        <f>+VLOOKUP($L98,Data_Validation!$A:$D,1,0)</f>
        <v>2222</v>
      </c>
      <c r="U98" s="156" t="str">
        <f>+VLOOKUP($L98,Data_Validation!$A:$D,3,0)</f>
        <v>Bilan</v>
      </c>
      <c r="V98" s="156" t="str">
        <f>+VLOOKUP($L98,Data_Validation!$A:$D,4,0)</f>
        <v>Taxes de Vente à Payer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72" t="s">
        <v>2813</v>
      </c>
      <c r="B99" s="1072" t="s">
        <v>2066</v>
      </c>
      <c r="C99" s="1074">
        <v>-116529.4</v>
      </c>
      <c r="D99" s="1074">
        <v>20652.900000000001</v>
      </c>
      <c r="E99" s="1074">
        <v>-95876.5</v>
      </c>
      <c r="F99" s="1072" t="s">
        <v>282</v>
      </c>
      <c r="G99" s="1072" t="s">
        <v>2066</v>
      </c>
      <c r="H99" s="150"/>
      <c r="I99" s="157"/>
      <c r="J99" s="157"/>
      <c r="K99" s="157"/>
      <c r="L99" s="153" t="str">
        <f t="shared" si="5"/>
        <v>2223</v>
      </c>
      <c r="M99" s="154" t="str">
        <f t="shared" si="6"/>
        <v>TPS A PAYER</v>
      </c>
      <c r="N99" s="155">
        <f>+IF(OR($Q99=Parametres!$G$2,$Q99=Parametres!$G$3),I99,C99)</f>
        <v>-116529.4</v>
      </c>
      <c r="O99" s="155">
        <f>+IF(OR($Q99=Parametres!$G$2,$Q99=Parametres!$G$3),J99,D99)</f>
        <v>20652.900000000001</v>
      </c>
      <c r="P99" s="155">
        <f>+IF(OR($Q99=Parametres!$G$2,$Q99=Parametres!$G$3),K99,E99)</f>
        <v>-95876.5</v>
      </c>
      <c r="Q99" s="154" t="str">
        <f t="shared" si="7"/>
        <v>3-Passifs</v>
      </c>
      <c r="R99" s="153" t="str">
        <f t="shared" si="8"/>
        <v>2223</v>
      </c>
      <c r="S99" s="154">
        <f t="shared" si="9"/>
        <v>0</v>
      </c>
      <c r="T99" s="156" t="str">
        <f>+VLOOKUP($L99,Data_Validation!$A:$D,1,0)</f>
        <v>2223</v>
      </c>
      <c r="U99" s="156" t="str">
        <f>+VLOOKUP($L99,Data_Validation!$A:$D,3,0)</f>
        <v>Bilan</v>
      </c>
      <c r="V99" s="156" t="str">
        <f>+VLOOKUP($L99,Data_Validation!$A:$D,4,0)</f>
        <v>Taxes de Vente à Payer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72" t="s">
        <v>2064</v>
      </c>
      <c r="B100" s="1072" t="s">
        <v>2065</v>
      </c>
      <c r="C100" s="1074">
        <v>116783.87</v>
      </c>
      <c r="D100" s="1074">
        <v>-41450.65</v>
      </c>
      <c r="E100" s="1074">
        <v>75333.22</v>
      </c>
      <c r="F100" s="1072" t="s">
        <v>282</v>
      </c>
      <c r="G100" s="1072" t="s">
        <v>2066</v>
      </c>
      <c r="H100" s="150"/>
      <c r="I100" s="157"/>
      <c r="J100" s="157"/>
      <c r="K100" s="157"/>
      <c r="L100" s="153" t="str">
        <f t="shared" si="5"/>
        <v>2224</v>
      </c>
      <c r="M100" s="154" t="str">
        <f t="shared" si="6"/>
        <v>TPS A RECEVOIR</v>
      </c>
      <c r="N100" s="155">
        <f>+IF(OR($Q100=Parametres!$G$2,$Q100=Parametres!$G$3),I100,C100)</f>
        <v>116783.87</v>
      </c>
      <c r="O100" s="155">
        <f>+IF(OR($Q100=Parametres!$G$2,$Q100=Parametres!$G$3),J100,D100)</f>
        <v>-41450.65</v>
      </c>
      <c r="P100" s="155">
        <f>+IF(OR($Q100=Parametres!$G$2,$Q100=Parametres!$G$3),K100,E100)</f>
        <v>75333.22</v>
      </c>
      <c r="Q100" s="154" t="str">
        <f t="shared" si="7"/>
        <v>3-Passifs</v>
      </c>
      <c r="R100" s="153" t="str">
        <f t="shared" si="8"/>
        <v>2223</v>
      </c>
      <c r="S100" s="154">
        <f t="shared" si="9"/>
        <v>0</v>
      </c>
      <c r="T100" s="156" t="str">
        <f>+VLOOKUP($L100,Data_Validation!$A:$D,1,0)</f>
        <v>2224</v>
      </c>
      <c r="U100" s="156" t="str">
        <f>+VLOOKUP($L100,Data_Validation!$A:$D,3,0)</f>
        <v>Bilan</v>
      </c>
      <c r="V100" s="156" t="str">
        <f>+VLOOKUP($L100,Data_Validation!$A:$D,4,0)</f>
        <v>Taxes de Vente à Payer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72" t="s">
        <v>2616</v>
      </c>
      <c r="B101" s="1072" t="s">
        <v>2617</v>
      </c>
      <c r="C101" s="1074">
        <v>-1131</v>
      </c>
      <c r="D101" s="1074">
        <v>690</v>
      </c>
      <c r="E101" s="1074">
        <v>-441</v>
      </c>
      <c r="F101" s="1072" t="s">
        <v>282</v>
      </c>
      <c r="G101" s="1072" t="s">
        <v>2057</v>
      </c>
      <c r="H101" s="1050"/>
      <c r="I101" s="1049"/>
      <c r="J101" s="1049"/>
      <c r="K101" s="1049"/>
      <c r="L101" s="153" t="str">
        <f t="shared" si="5"/>
        <v>2225</v>
      </c>
      <c r="M101" s="154" t="str">
        <f t="shared" si="6"/>
        <v>DROIT SUR PNEUS</v>
      </c>
      <c r="N101" s="155">
        <f>+IF(OR($Q101=Parametres!$G$2,$Q101=Parametres!$G$3),I101,C101)</f>
        <v>-1131</v>
      </c>
      <c r="O101" s="155">
        <f>+IF(OR($Q101=Parametres!$G$2,$Q101=Parametres!$G$3),J101,D101)</f>
        <v>690</v>
      </c>
      <c r="P101" s="155">
        <f>+IF(OR($Q101=Parametres!$G$2,$Q101=Parametres!$G$3),K101,E101)</f>
        <v>-441</v>
      </c>
      <c r="Q101" s="154" t="str">
        <f t="shared" si="7"/>
        <v>3-Passifs</v>
      </c>
      <c r="R101" s="153" t="str">
        <f t="shared" si="8"/>
        <v>2221</v>
      </c>
      <c r="S101" s="154">
        <f t="shared" si="9"/>
        <v>0</v>
      </c>
      <c r="T101" s="156" t="str">
        <f>+VLOOKUP($L101,Data_Validation!$A:$D,1,0)</f>
        <v>2225</v>
      </c>
      <c r="U101" s="156" t="str">
        <f>+VLOOKUP($L101,Data_Validation!$A:$D,3,0)</f>
        <v>Bilan</v>
      </c>
      <c r="V101" s="156" t="str">
        <f>+VLOOKUP($L101,Data_Validation!$A:$D,4,0)</f>
        <v>Taxes de Vente à Payer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72" t="s">
        <v>2818</v>
      </c>
      <c r="B102" s="1072" t="s">
        <v>2819</v>
      </c>
      <c r="C102" s="1074">
        <v>-48330.92</v>
      </c>
      <c r="D102" s="1074">
        <v>-142706.76999999999</v>
      </c>
      <c r="E102" s="1074">
        <v>-191037.69</v>
      </c>
      <c r="F102" s="1072" t="s">
        <v>282</v>
      </c>
      <c r="G102" s="1072" t="s">
        <v>2134</v>
      </c>
      <c r="H102" s="1050"/>
      <c r="I102" s="1049"/>
      <c r="J102" s="1049"/>
      <c r="K102" s="1049"/>
      <c r="L102" s="153" t="str">
        <f t="shared" si="5"/>
        <v>2281</v>
      </c>
      <c r="M102" s="154" t="str">
        <f t="shared" si="6"/>
        <v>LIEN A PAYER</v>
      </c>
      <c r="N102" s="155">
        <f>+IF(OR($Q102=Parametres!$G$2,$Q102=Parametres!$G$3),I102,C102)</f>
        <v>-48330.92</v>
      </c>
      <c r="O102" s="155">
        <f>+IF(OR($Q102=Parametres!$G$2,$Q102=Parametres!$G$3),J102,D102)</f>
        <v>-142706.76999999999</v>
      </c>
      <c r="P102" s="155">
        <f>+IF(OR($Q102=Parametres!$G$2,$Q102=Parametres!$G$3),K102,E102)</f>
        <v>-191037.69</v>
      </c>
      <c r="Q102" s="154" t="str">
        <f t="shared" si="7"/>
        <v>3-Passifs</v>
      </c>
      <c r="R102" s="153" t="str">
        <f t="shared" si="8"/>
        <v>2283</v>
      </c>
      <c r="S102" s="154">
        <f t="shared" si="9"/>
        <v>0</v>
      </c>
      <c r="T102" s="156" t="str">
        <f>+VLOOKUP($L102,Data_Validation!$A:$D,1,0)</f>
        <v>2281</v>
      </c>
      <c r="U102" s="156" t="str">
        <f>+VLOOKUP($L102,Data_Validation!$A:$D,3,0)</f>
        <v>Bilan</v>
      </c>
      <c r="V102" s="156" t="str">
        <f>+VLOOKUP($L102,Data_Validation!$A:$D,4,0)</f>
        <v>Autres Comptes à Payer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72" t="s">
        <v>2173</v>
      </c>
      <c r="B103" s="1072" t="s">
        <v>2134</v>
      </c>
      <c r="C103" s="1074">
        <v>0</v>
      </c>
      <c r="D103" s="1074">
        <v>-388.01</v>
      </c>
      <c r="E103" s="1074">
        <v>-388.01</v>
      </c>
      <c r="F103" s="1072" t="s">
        <v>282</v>
      </c>
      <c r="G103" s="1072" t="s">
        <v>2134</v>
      </c>
      <c r="H103" s="150"/>
      <c r="I103" s="157"/>
      <c r="J103" s="157"/>
      <c r="K103" s="157"/>
      <c r="L103" s="153" t="str">
        <f t="shared" si="5"/>
        <v>2283</v>
      </c>
      <c r="M103" s="154" t="str">
        <f t="shared" si="6"/>
        <v>PLAQUE A PAYER</v>
      </c>
      <c r="N103" s="155">
        <f>+IF(OR($Q103=Parametres!$G$2,$Q103=Parametres!$G$3),I103,C103)</f>
        <v>0</v>
      </c>
      <c r="O103" s="155">
        <f>+IF(OR($Q103=Parametres!$G$2,$Q103=Parametres!$G$3),J103,D103)</f>
        <v>-388.01</v>
      </c>
      <c r="P103" s="155">
        <f>+IF(OR($Q103=Parametres!$G$2,$Q103=Parametres!$G$3),K103,E103)</f>
        <v>-388.01</v>
      </c>
      <c r="Q103" s="154" t="str">
        <f t="shared" si="7"/>
        <v>3-Passifs</v>
      </c>
      <c r="R103" s="153" t="str">
        <f t="shared" si="8"/>
        <v>2283</v>
      </c>
      <c r="S103" s="154">
        <f t="shared" si="9"/>
        <v>0</v>
      </c>
      <c r="T103" s="156" t="str">
        <f>+VLOOKUP($L103,Data_Validation!$A:$D,1,0)</f>
        <v>2283</v>
      </c>
      <c r="U103" s="156" t="str">
        <f>+VLOOKUP($L103,Data_Validation!$A:$D,3,0)</f>
        <v>Bilan</v>
      </c>
      <c r="V103" s="156" t="str">
        <f>+VLOOKUP($L103,Data_Validation!$A:$D,4,0)</f>
        <v>Autres Comptes à Payer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72" t="s">
        <v>2772</v>
      </c>
      <c r="B104" s="1072" t="s">
        <v>2773</v>
      </c>
      <c r="C104" s="1074">
        <v>-47666.87</v>
      </c>
      <c r="D104" s="1074">
        <v>11232.77</v>
      </c>
      <c r="E104" s="1074">
        <v>-36434.1</v>
      </c>
      <c r="F104" s="1072" t="s">
        <v>282</v>
      </c>
      <c r="G104" s="1072" t="s">
        <v>2134</v>
      </c>
      <c r="H104" s="1050"/>
      <c r="I104" s="1049"/>
      <c r="J104" s="1049"/>
      <c r="K104" s="1049"/>
      <c r="L104" s="153" t="str">
        <f t="shared" si="5"/>
        <v>2285</v>
      </c>
      <c r="M104" s="612" t="str">
        <f t="shared" si="6"/>
        <v>PROTECTIONS A PAYER</v>
      </c>
      <c r="N104" s="155">
        <f>+IF(OR($Q104=Parametres!$G$2,$Q104=Parametres!$G$3),I104,C104)</f>
        <v>-47666.87</v>
      </c>
      <c r="O104" s="613">
        <f>+IF(OR($Q104=Parametres!$G$2,$Q104=Parametres!$G$3),J104,D104)</f>
        <v>11232.77</v>
      </c>
      <c r="P104" s="614">
        <f>+IF(OR($Q104=Parametres!$G$2,$Q104=Parametres!$G$3),K104,E104)</f>
        <v>-36434.1</v>
      </c>
      <c r="Q104" s="154" t="str">
        <f t="shared" si="7"/>
        <v>3-Passifs</v>
      </c>
      <c r="R104" s="153" t="str">
        <f t="shared" si="8"/>
        <v>2283</v>
      </c>
      <c r="S104" s="154">
        <f t="shared" si="9"/>
        <v>0</v>
      </c>
      <c r="T104" s="156" t="str">
        <f>+VLOOKUP($L104,Data_Validation!$A:$D,1,0)</f>
        <v>2285</v>
      </c>
      <c r="U104" s="156" t="str">
        <f>+VLOOKUP($L104,Data_Validation!$A:$D,3,0)</f>
        <v>Bilan</v>
      </c>
      <c r="V104" s="156" t="str">
        <f>+VLOOKUP($L104,Data_Validation!$A:$D,4,0)</f>
        <v>Autres Comptes à Payer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72" t="s">
        <v>2746</v>
      </c>
      <c r="B105" s="1072" t="s">
        <v>2747</v>
      </c>
      <c r="C105" s="1074">
        <v>-5716.17</v>
      </c>
      <c r="D105" s="1074">
        <v>2676.42</v>
      </c>
      <c r="E105" s="1074">
        <v>-3039.75</v>
      </c>
      <c r="F105" s="1072" t="s">
        <v>282</v>
      </c>
      <c r="G105" s="1072" t="s">
        <v>2134</v>
      </c>
      <c r="H105" s="1050"/>
      <c r="I105" s="1049"/>
      <c r="J105" s="1049"/>
      <c r="K105" s="1049"/>
      <c r="L105" s="153" t="str">
        <f t="shared" si="5"/>
        <v>2287</v>
      </c>
      <c r="M105" s="154" t="str">
        <f t="shared" si="6"/>
        <v>A PAYER INVAPLAN</v>
      </c>
      <c r="N105" s="155">
        <f>+IF(OR($Q105=Parametres!$G$2,$Q105=Parametres!$G$3),I105,C105)</f>
        <v>-5716.17</v>
      </c>
      <c r="O105" s="608">
        <f>+IF(OR($Q105=Parametres!$G$2,$Q105=Parametres!$G$3),J105,D105)</f>
        <v>2676.42</v>
      </c>
      <c r="P105" s="155">
        <f>+IF(OR($Q105=Parametres!$G$2,$Q105=Parametres!$G$3),K105,E105)</f>
        <v>-3039.75</v>
      </c>
      <c r="Q105" s="154" t="str">
        <f t="shared" si="7"/>
        <v>3-Passifs</v>
      </c>
      <c r="R105" s="153" t="str">
        <f t="shared" si="8"/>
        <v>2283</v>
      </c>
      <c r="S105" s="154">
        <f t="shared" si="9"/>
        <v>0</v>
      </c>
      <c r="T105" s="156" t="str">
        <f>+VLOOKUP($L105,Data_Validation!$A:$D,1,0)</f>
        <v>2287</v>
      </c>
      <c r="U105" s="156" t="str">
        <f>+VLOOKUP($L105,Data_Validation!$A:$D,3,0)</f>
        <v>Bilan</v>
      </c>
      <c r="V105" s="156" t="str">
        <f>+VLOOKUP($L105,Data_Validation!$A:$D,4,0)</f>
        <v>Autres Comptes à Payer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72" t="s">
        <v>2009</v>
      </c>
      <c r="B106" s="1072" t="s">
        <v>2010</v>
      </c>
      <c r="C106" s="1074">
        <v>-229342.51</v>
      </c>
      <c r="D106" s="1074">
        <v>374134.6</v>
      </c>
      <c r="E106" s="1074">
        <v>144792.09</v>
      </c>
      <c r="F106" s="1072" t="s">
        <v>282</v>
      </c>
      <c r="G106" s="1072" t="s">
        <v>2010</v>
      </c>
      <c r="H106" s="1050"/>
      <c r="I106" s="1049"/>
      <c r="J106" s="1049"/>
      <c r="K106" s="1049"/>
      <c r="L106" s="153" t="str">
        <f t="shared" si="5"/>
        <v>2291</v>
      </c>
      <c r="M106" s="154" t="str">
        <f t="shared" si="6"/>
        <v>COMPTES FOURNISSEURS</v>
      </c>
      <c r="N106" s="155">
        <f>+IF(OR($Q106=Parametres!$G$2,$Q106=Parametres!$G$3),I106,C106)</f>
        <v>-229342.51</v>
      </c>
      <c r="O106" s="608">
        <f>+IF(OR($Q106=Parametres!$G$2,$Q106=Parametres!$G$3),J106,D106)</f>
        <v>374134.6</v>
      </c>
      <c r="P106" s="155">
        <f>+IF(OR($Q106=Parametres!$G$2,$Q106=Parametres!$G$3),K106,E106)</f>
        <v>144792.09</v>
      </c>
      <c r="Q106" s="154" t="str">
        <f t="shared" si="7"/>
        <v>3-Passifs</v>
      </c>
      <c r="R106" s="153" t="str">
        <f t="shared" si="8"/>
        <v>2291</v>
      </c>
      <c r="S106" s="154">
        <f t="shared" si="9"/>
        <v>0</v>
      </c>
      <c r="T106" s="156" t="str">
        <f>+VLOOKUP($L106,Data_Validation!$A:$D,1,0)</f>
        <v>2291</v>
      </c>
      <c r="U106" s="156" t="str">
        <f>+VLOOKUP($L106,Data_Validation!$A:$D,3,0)</f>
        <v>Bilan</v>
      </c>
      <c r="V106" s="156" t="str">
        <f>+VLOOKUP($L106,Data_Validation!$A:$D,4,0)</f>
        <v>Comptes à Payer Fournisseurs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72" t="s">
        <v>2049</v>
      </c>
      <c r="B107" s="1072" t="s">
        <v>2050</v>
      </c>
      <c r="C107" s="1074">
        <v>-35559.99</v>
      </c>
      <c r="D107" s="1074">
        <v>35559.99</v>
      </c>
      <c r="E107" s="1074">
        <v>0</v>
      </c>
      <c r="F107" s="1072" t="s">
        <v>282</v>
      </c>
      <c r="G107" s="1072" t="s">
        <v>2010</v>
      </c>
      <c r="H107" s="1050"/>
      <c r="I107" s="1049"/>
      <c r="J107" s="1049"/>
      <c r="K107" s="1049"/>
      <c r="L107" s="153" t="str">
        <f t="shared" si="5"/>
        <v>2292</v>
      </c>
      <c r="M107" s="154" t="str">
        <f t="shared" si="6"/>
        <v>ECHANGE ENTRE CONCESSIONNAIRES</v>
      </c>
      <c r="N107" s="155">
        <f>+IF(OR($Q107=Parametres!$G$2,$Q107=Parametres!$G$3),I107,C107)</f>
        <v>-35559.99</v>
      </c>
      <c r="O107" s="155">
        <f>+IF(OR($Q107=Parametres!$G$2,$Q107=Parametres!$G$3),J107,D107)</f>
        <v>35559.99</v>
      </c>
      <c r="P107" s="155">
        <f>+IF(OR($Q107=Parametres!$G$2,$Q107=Parametres!$G$3),K107,E107)</f>
        <v>0</v>
      </c>
      <c r="Q107" s="154" t="str">
        <f t="shared" si="7"/>
        <v>3-Passifs</v>
      </c>
      <c r="R107" s="153" t="str">
        <f t="shared" si="8"/>
        <v>2291</v>
      </c>
      <c r="S107" s="154">
        <f t="shared" si="9"/>
        <v>0</v>
      </c>
      <c r="T107" s="156" t="str">
        <f>+VLOOKUP($L107,Data_Validation!$A:$D,1,0)</f>
        <v>2292</v>
      </c>
      <c r="U107" s="156" t="str">
        <f>+VLOOKUP($L107,Data_Validation!$A:$D,3,0)</f>
        <v>Bilan</v>
      </c>
      <c r="V107" s="156" t="str">
        <f>+VLOOKUP($L107,Data_Validation!$A:$D,4,0)</f>
        <v>Autres Comptes à Payer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72" t="s">
        <v>2132</v>
      </c>
      <c r="B108" s="1072" t="s">
        <v>2133</v>
      </c>
      <c r="C108" s="1074">
        <v>-5000</v>
      </c>
      <c r="D108" s="1074">
        <v>59.61</v>
      </c>
      <c r="E108" s="1074">
        <v>-4940.3900000000003</v>
      </c>
      <c r="F108" s="1072" t="s">
        <v>282</v>
      </c>
      <c r="G108" s="1072" t="s">
        <v>2134</v>
      </c>
      <c r="H108" s="150"/>
      <c r="I108" s="157"/>
      <c r="J108" s="157"/>
      <c r="K108" s="157"/>
      <c r="L108" s="153" t="str">
        <f t="shared" si="5"/>
        <v>2293</v>
      </c>
      <c r="M108" s="154" t="str">
        <f t="shared" si="6"/>
        <v>PROVISIONS GARANTIES USAGEES</v>
      </c>
      <c r="N108" s="155">
        <f>+IF(OR($Q108=Parametres!$G$2,$Q108=Parametres!$G$3),I108,C108)</f>
        <v>-5000</v>
      </c>
      <c r="O108" s="155">
        <f>+IF(OR($Q108=Parametres!$G$2,$Q108=Parametres!$G$3),J108,D108)</f>
        <v>59.61</v>
      </c>
      <c r="P108" s="155">
        <f>+IF(OR($Q108=Parametres!$G$2,$Q108=Parametres!$G$3),K108,E108)</f>
        <v>-4940.3900000000003</v>
      </c>
      <c r="Q108" s="154" t="str">
        <f t="shared" si="7"/>
        <v>3-Passifs</v>
      </c>
      <c r="R108" s="153" t="str">
        <f t="shared" si="8"/>
        <v>2283</v>
      </c>
      <c r="S108" s="154">
        <f t="shared" si="9"/>
        <v>0</v>
      </c>
      <c r="T108" s="156" t="str">
        <f>+VLOOKUP($L108,Data_Validation!$A:$D,1,0)</f>
        <v>2293</v>
      </c>
      <c r="U108" s="156" t="str">
        <f>+VLOOKUP($L108,Data_Validation!$A:$D,3,0)</f>
        <v>Bilan</v>
      </c>
      <c r="V108" s="156" t="str">
        <f>+VLOOKUP($L108,Data_Validation!$A:$D,4,0)</f>
        <v>Autres Courus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72" t="s">
        <v>2419</v>
      </c>
      <c r="B109" s="1072" t="s">
        <v>2420</v>
      </c>
      <c r="C109" s="1074">
        <v>0</v>
      </c>
      <c r="D109" s="1074">
        <v>-60</v>
      </c>
      <c r="E109" s="1074">
        <v>-60</v>
      </c>
      <c r="F109" s="1072" t="s">
        <v>282</v>
      </c>
      <c r="G109" s="1072" t="s">
        <v>2133</v>
      </c>
      <c r="H109" s="150"/>
      <c r="I109" s="157"/>
      <c r="J109" s="157"/>
      <c r="K109" s="157"/>
      <c r="L109" s="153" t="str">
        <f t="shared" si="5"/>
        <v>2295</v>
      </c>
      <c r="M109" s="154" t="str">
        <f t="shared" si="6"/>
        <v>RESERVE ESSENCE</v>
      </c>
      <c r="N109" s="155">
        <f>+IF(OR($Q109=Parametres!$G$2,$Q109=Parametres!$G$3),I109,C109)</f>
        <v>0</v>
      </c>
      <c r="O109" s="608">
        <f>+IF(OR($Q109=Parametres!$G$2,$Q109=Parametres!$G$3),J109,D109)</f>
        <v>-60</v>
      </c>
      <c r="P109" s="155">
        <f>+IF(OR($Q109=Parametres!$G$2,$Q109=Parametres!$G$3),K109,E109)</f>
        <v>-60</v>
      </c>
      <c r="Q109" s="154" t="str">
        <f t="shared" si="7"/>
        <v>3-Passifs</v>
      </c>
      <c r="R109" s="153" t="str">
        <f t="shared" si="8"/>
        <v>2293</v>
      </c>
      <c r="S109" s="154">
        <f t="shared" si="9"/>
        <v>0</v>
      </c>
      <c r="T109" s="156" t="str">
        <f>+VLOOKUP($L109,Data_Validation!$A:$D,1,0)</f>
        <v>2295</v>
      </c>
      <c r="U109" s="156" t="str">
        <f>+VLOOKUP($L109,Data_Validation!$A:$D,3,0)</f>
        <v>Bilan</v>
      </c>
      <c r="V109" s="156" t="str">
        <f>+VLOOKUP($L109,Data_Validation!$A:$D,4,0)</f>
        <v>Autres Courus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72" t="s">
        <v>2146</v>
      </c>
      <c r="B110" s="1072" t="s">
        <v>2147</v>
      </c>
      <c r="C110" s="1074">
        <v>0</v>
      </c>
      <c r="D110" s="1074">
        <v>-1250</v>
      </c>
      <c r="E110" s="1074">
        <v>-1250</v>
      </c>
      <c r="F110" s="1072" t="s">
        <v>282</v>
      </c>
      <c r="G110" s="1072" t="s">
        <v>2134</v>
      </c>
      <c r="H110" s="150"/>
      <c r="I110" s="157"/>
      <c r="J110" s="157"/>
      <c r="K110" s="157"/>
      <c r="L110" s="153" t="str">
        <f t="shared" si="5"/>
        <v>2297</v>
      </c>
      <c r="M110" s="154" t="str">
        <f t="shared" si="6"/>
        <v>RESERVE RENOUVELLEMENT</v>
      </c>
      <c r="N110" s="155">
        <f>+IF(OR($Q110=Parametres!$G$2,$Q110=Parametres!$G$3),I110,C110)</f>
        <v>0</v>
      </c>
      <c r="O110" s="155">
        <f>+IF(OR($Q110=Parametres!$G$2,$Q110=Parametres!$G$3),J110,D110)</f>
        <v>-1250</v>
      </c>
      <c r="P110" s="155">
        <f>+IF(OR($Q110=Parametres!$G$2,$Q110=Parametres!$G$3),K110,E110)</f>
        <v>-1250</v>
      </c>
      <c r="Q110" s="154" t="str">
        <f t="shared" si="7"/>
        <v>3-Passifs</v>
      </c>
      <c r="R110" s="153" t="str">
        <f t="shared" si="8"/>
        <v>2283</v>
      </c>
      <c r="S110" s="154">
        <f t="shared" si="9"/>
        <v>0</v>
      </c>
      <c r="T110" s="156" t="str">
        <f>+VLOOKUP($L110,Data_Validation!$A:$D,1,0)</f>
        <v>2297</v>
      </c>
      <c r="U110" s="156" t="str">
        <f>+VLOOKUP($L110,Data_Validation!$A:$D,3,0)</f>
        <v>Bilan</v>
      </c>
      <c r="V110" s="156" t="str">
        <f>+VLOOKUP($L110,Data_Validation!$A:$D,4,0)</f>
        <v>Autres Courus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72" t="s">
        <v>2710</v>
      </c>
      <c r="B111" s="1072" t="s">
        <v>2162</v>
      </c>
      <c r="C111" s="1074">
        <v>0</v>
      </c>
      <c r="D111" s="1074">
        <v>2937.44</v>
      </c>
      <c r="E111" s="1074">
        <v>2937.44</v>
      </c>
      <c r="F111" s="1072" t="s">
        <v>282</v>
      </c>
      <c r="G111" s="1072" t="s">
        <v>2162</v>
      </c>
      <c r="H111" s="150"/>
      <c r="I111" s="151"/>
      <c r="J111" s="151"/>
      <c r="K111" s="151"/>
      <c r="L111" s="153" t="str">
        <f t="shared" si="5"/>
        <v>2315</v>
      </c>
      <c r="M111" s="154" t="str">
        <f t="shared" si="6"/>
        <v>PRIME ASSURANCE GROUPE</v>
      </c>
      <c r="N111" s="155">
        <f>+IF(OR($Q111=Parametres!$G$2,$Q111=Parametres!$G$3),I111,C111)</f>
        <v>0</v>
      </c>
      <c r="O111" s="155">
        <f>+IF(OR($Q111=Parametres!$G$2,$Q111=Parametres!$G$3),J111,D111)</f>
        <v>2937.44</v>
      </c>
      <c r="P111" s="155">
        <f>+IF(OR($Q111=Parametres!$G$2,$Q111=Parametres!$G$3),K111,E111)</f>
        <v>2937.44</v>
      </c>
      <c r="Q111" s="154" t="str">
        <f t="shared" si="7"/>
        <v>3-Passifs</v>
      </c>
      <c r="R111" s="153" t="str">
        <f t="shared" si="8"/>
        <v>2315</v>
      </c>
      <c r="S111" s="154">
        <f t="shared" si="9"/>
        <v>0</v>
      </c>
      <c r="T111" s="156" t="str">
        <f>+VLOOKUP($L111,Data_Validation!$A:$D,1,0)</f>
        <v>2315</v>
      </c>
      <c r="U111" s="156" t="str">
        <f>+VLOOKUP($L111,Data_Validation!$A:$D,3,0)</f>
        <v>Bilan</v>
      </c>
      <c r="V111" s="156" t="str">
        <f>+VLOOKUP($L111,Data_Validation!$A:$D,4,0)</f>
        <v>DAS à Payer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72" t="s">
        <v>2160</v>
      </c>
      <c r="B112" s="1072" t="s">
        <v>2161</v>
      </c>
      <c r="C112" s="1074">
        <v>0</v>
      </c>
      <c r="D112" s="1074">
        <v>-20</v>
      </c>
      <c r="E112" s="1074">
        <v>-20</v>
      </c>
      <c r="F112" s="1072" t="s">
        <v>282</v>
      </c>
      <c r="G112" s="1072" t="s">
        <v>2162</v>
      </c>
      <c r="H112" s="150"/>
      <c r="I112" s="157"/>
      <c r="J112" s="157"/>
      <c r="K112" s="157"/>
      <c r="L112" s="153" t="str">
        <f t="shared" si="5"/>
        <v>2335</v>
      </c>
      <c r="M112" s="154" t="str">
        <f t="shared" si="6"/>
        <v>COMITE SOCIAL</v>
      </c>
      <c r="N112" s="155">
        <f>+IF(OR($Q112=Parametres!$G$2,$Q112=Parametres!$G$3),I112,C112)</f>
        <v>0</v>
      </c>
      <c r="O112" s="609">
        <f>+IF(OR($Q112=Parametres!$G$2,$Q112=Parametres!$G$3),J112,D112)</f>
        <v>-20</v>
      </c>
      <c r="P112" s="155">
        <f>+IF(OR($Q112=Parametres!$G$2,$Q112=Parametres!$G$3),K112,E112)</f>
        <v>-20</v>
      </c>
      <c r="Q112" s="154" t="str">
        <f t="shared" si="7"/>
        <v>3-Passifs</v>
      </c>
      <c r="R112" s="153" t="str">
        <f t="shared" si="8"/>
        <v>2315</v>
      </c>
      <c r="S112" s="154">
        <f t="shared" si="9"/>
        <v>0</v>
      </c>
      <c r="T112" s="156" t="str">
        <f>+VLOOKUP($L112,Data_Validation!$A:$D,1,0)</f>
        <v>2335</v>
      </c>
      <c r="U112" s="156" t="str">
        <f>+VLOOKUP($L112,Data_Validation!$A:$D,3,0)</f>
        <v>Bilan</v>
      </c>
      <c r="V112" s="156" t="str">
        <f>+VLOOKUP($L112,Data_Validation!$A:$D,4,0)</f>
        <v>DAS à Payer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72" t="s">
        <v>2749</v>
      </c>
      <c r="B113" s="1072" t="s">
        <v>2750</v>
      </c>
      <c r="C113" s="1074">
        <v>-34605.72</v>
      </c>
      <c r="D113" s="1074">
        <v>11849.01</v>
      </c>
      <c r="E113" s="1074">
        <v>-22756.71</v>
      </c>
      <c r="F113" s="1072" t="s">
        <v>282</v>
      </c>
      <c r="G113" s="1072" t="s">
        <v>2162</v>
      </c>
      <c r="H113" s="150"/>
      <c r="I113" s="157"/>
      <c r="J113" s="157"/>
      <c r="K113" s="157"/>
      <c r="L113" s="153" t="str">
        <f t="shared" si="5"/>
        <v>2342</v>
      </c>
      <c r="M113" s="154" t="str">
        <f t="shared" si="6"/>
        <v>REER STANDARD LIFE</v>
      </c>
      <c r="N113" s="155">
        <f>+IF(OR($Q113=Parametres!$G$2,$Q113=Parametres!$G$3),I113,C113)</f>
        <v>-34605.72</v>
      </c>
      <c r="O113" s="155">
        <f>+IF(OR($Q113=Parametres!$G$2,$Q113=Parametres!$G$3),J113,D113)</f>
        <v>11849.01</v>
      </c>
      <c r="P113" s="155">
        <f>+IF(OR($Q113=Parametres!$G$2,$Q113=Parametres!$G$3),K113,E113)</f>
        <v>-22756.71</v>
      </c>
      <c r="Q113" s="154" t="str">
        <f t="shared" si="7"/>
        <v>3-Passifs</v>
      </c>
      <c r="R113" s="153" t="str">
        <f t="shared" si="8"/>
        <v>2315</v>
      </c>
      <c r="S113" s="154">
        <f t="shared" si="9"/>
        <v>0</v>
      </c>
      <c r="T113" s="156" t="str">
        <f>+VLOOKUP($L113,Data_Validation!$A:$D,1,0)</f>
        <v>2342</v>
      </c>
      <c r="U113" s="156" t="str">
        <f>+VLOOKUP($L113,Data_Validation!$A:$D,3,0)</f>
        <v>Bilan</v>
      </c>
      <c r="V113" s="156" t="str">
        <f>+VLOOKUP($L113,Data_Validation!$A:$D,4,0)</f>
        <v>DAS à Payer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72" t="s">
        <v>2582</v>
      </c>
      <c r="B114" s="1072" t="s">
        <v>2583</v>
      </c>
      <c r="C114" s="1074">
        <v>-661.16</v>
      </c>
      <c r="D114" s="1074">
        <v>176.8</v>
      </c>
      <c r="E114" s="1074">
        <v>-484.36</v>
      </c>
      <c r="F114" s="1072" t="s">
        <v>282</v>
      </c>
      <c r="G114" s="1072" t="s">
        <v>2162</v>
      </c>
      <c r="H114" s="1050"/>
      <c r="I114" s="1049"/>
      <c r="J114" s="1049"/>
      <c r="K114" s="1049"/>
      <c r="L114" s="153" t="str">
        <f t="shared" si="5"/>
        <v>2343</v>
      </c>
      <c r="M114" s="154" t="str">
        <f t="shared" si="6"/>
        <v>COMITE PARITAIRE</v>
      </c>
      <c r="N114" s="155">
        <f>+IF(OR($Q114=Parametres!$G$2,$Q114=Parametres!$G$3),I114,C114)</f>
        <v>-661.16</v>
      </c>
      <c r="O114" s="155">
        <f>+IF(OR($Q114=Parametres!$G$2,$Q114=Parametres!$G$3),J114,D114)</f>
        <v>176.8</v>
      </c>
      <c r="P114" s="155">
        <f>+IF(OR($Q114=Parametres!$G$2,$Q114=Parametres!$G$3),K114,E114)</f>
        <v>-484.36</v>
      </c>
      <c r="Q114" s="154" t="str">
        <f t="shared" si="7"/>
        <v>3-Passifs</v>
      </c>
      <c r="R114" s="153" t="str">
        <f t="shared" si="8"/>
        <v>2315</v>
      </c>
      <c r="S114" s="154">
        <f t="shared" si="9"/>
        <v>0</v>
      </c>
      <c r="T114" s="156" t="str">
        <f>+VLOOKUP($L114,Data_Validation!$A:$D,1,0)</f>
        <v>2343</v>
      </c>
      <c r="U114" s="156" t="str">
        <f>+VLOOKUP($L114,Data_Validation!$A:$D,3,0)</f>
        <v>Bilan</v>
      </c>
      <c r="V114" s="156" t="str">
        <f>+VLOOKUP($L114,Data_Validation!$A:$D,4,0)</f>
        <v>DAS à Payer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72" t="s">
        <v>536</v>
      </c>
      <c r="B115" s="1072" t="s">
        <v>2185</v>
      </c>
      <c r="C115" s="1074">
        <v>-1460</v>
      </c>
      <c r="D115" s="1074">
        <v>1196.5</v>
      </c>
      <c r="E115" s="1074">
        <v>-263.5</v>
      </c>
      <c r="F115" s="1072" t="s">
        <v>282</v>
      </c>
      <c r="G115" s="1072" t="s">
        <v>2162</v>
      </c>
      <c r="H115" s="1050"/>
      <c r="I115" s="1049"/>
      <c r="J115" s="1049"/>
      <c r="K115" s="1049"/>
      <c r="L115" s="153" t="str">
        <f t="shared" si="5"/>
        <v>2344</v>
      </c>
      <c r="M115" s="154" t="str">
        <f t="shared" si="6"/>
        <v>CENTRAIDE</v>
      </c>
      <c r="N115" s="155">
        <f>+IF(OR($Q115=Parametres!$G$2,$Q115=Parametres!$G$3),I115,C115)</f>
        <v>-1460</v>
      </c>
      <c r="O115" s="155">
        <f>+IF(OR($Q115=Parametres!$G$2,$Q115=Parametres!$G$3),J115,D115)</f>
        <v>1196.5</v>
      </c>
      <c r="P115" s="155">
        <f>+IF(OR($Q115=Parametres!$G$2,$Q115=Parametres!$G$3),K115,E115)</f>
        <v>-263.5</v>
      </c>
      <c r="Q115" s="154" t="str">
        <f t="shared" si="7"/>
        <v>3-Passifs</v>
      </c>
      <c r="R115" s="153" t="str">
        <f t="shared" si="8"/>
        <v>2315</v>
      </c>
      <c r="S115" s="154">
        <f t="shared" si="9"/>
        <v>0</v>
      </c>
      <c r="T115" s="156" t="str">
        <f>+VLOOKUP($L115,Data_Validation!$A:$D,1,0)</f>
        <v>2344</v>
      </c>
      <c r="U115" s="156" t="str">
        <f>+VLOOKUP($L115,Data_Validation!$A:$D,3,0)</f>
        <v>Bilan</v>
      </c>
      <c r="V115" s="156" t="str">
        <f>+VLOOKUP($L115,Data_Validation!$A:$D,4,0)</f>
        <v>DAS à Payer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72" t="s">
        <v>2193</v>
      </c>
      <c r="B116" s="1072" t="s">
        <v>2194</v>
      </c>
      <c r="C116" s="1074">
        <v>-4100</v>
      </c>
      <c r="D116" s="1074">
        <v>250</v>
      </c>
      <c r="E116" s="1074">
        <v>-3850</v>
      </c>
      <c r="F116" s="1072" t="s">
        <v>282</v>
      </c>
      <c r="G116" s="1072" t="s">
        <v>2194</v>
      </c>
      <c r="H116" s="1050"/>
      <c r="I116" s="1049"/>
      <c r="J116" s="1049"/>
      <c r="K116" s="1049"/>
      <c r="L116" s="153" t="str">
        <f t="shared" si="5"/>
        <v>2401</v>
      </c>
      <c r="M116" s="154" t="str">
        <f t="shared" si="6"/>
        <v>DEPOTS FIDUCIE-VENTE CLIENTS</v>
      </c>
      <c r="N116" s="155">
        <f>+IF(OR($Q116=Parametres!$G$2,$Q116=Parametres!$G$3),I116,C116)</f>
        <v>-4100</v>
      </c>
      <c r="O116" s="155">
        <f>+IF(OR($Q116=Parametres!$G$2,$Q116=Parametres!$G$3),J116,D116)</f>
        <v>250</v>
      </c>
      <c r="P116" s="155">
        <f>+IF(OR($Q116=Parametres!$G$2,$Q116=Parametres!$G$3),K116,E116)</f>
        <v>-3850</v>
      </c>
      <c r="Q116" s="154" t="str">
        <f t="shared" si="7"/>
        <v>3-Passifs</v>
      </c>
      <c r="R116" s="153" t="str">
        <f t="shared" si="8"/>
        <v>2401</v>
      </c>
      <c r="S116" s="154">
        <f t="shared" si="9"/>
        <v>0</v>
      </c>
      <c r="T116" s="156" t="str">
        <f>+VLOOKUP($L116,Data_Validation!$A:$D,1,0)</f>
        <v>2401</v>
      </c>
      <c r="U116" s="156" t="str">
        <f>+VLOOKUP($L116,Data_Validation!$A:$D,3,0)</f>
        <v>Bilan</v>
      </c>
      <c r="V116" s="156" t="str">
        <f>+VLOOKUP($L116,Data_Validation!$A:$D,4,0)</f>
        <v>Dépôts de Client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72" t="s">
        <v>2600</v>
      </c>
      <c r="B117" s="1072" t="s">
        <v>2601</v>
      </c>
      <c r="C117" s="1074">
        <v>-3565.64</v>
      </c>
      <c r="D117" s="1074">
        <v>-4785.67</v>
      </c>
      <c r="E117" s="1074">
        <v>-8351.31</v>
      </c>
      <c r="F117" s="1072" t="s">
        <v>282</v>
      </c>
      <c r="G117" s="1072" t="s">
        <v>2601</v>
      </c>
      <c r="H117" s="1050"/>
      <c r="I117" s="1049"/>
      <c r="J117" s="1049"/>
      <c r="K117" s="1049"/>
      <c r="L117" s="153" t="str">
        <f t="shared" si="5"/>
        <v>2501</v>
      </c>
      <c r="M117" s="154" t="str">
        <f t="shared" si="6"/>
        <v>COMMISSION A PAYER</v>
      </c>
      <c r="N117" s="155">
        <f>+IF(OR($Q117=Parametres!$G$2,$Q117=Parametres!$G$3),I117,C117)</f>
        <v>-3565.64</v>
      </c>
      <c r="O117" s="155">
        <f>+IF(OR($Q117=Parametres!$G$2,$Q117=Parametres!$G$3),J117,D117)</f>
        <v>-4785.67</v>
      </c>
      <c r="P117" s="155">
        <f>+IF(OR($Q117=Parametres!$G$2,$Q117=Parametres!$G$3),K117,E117)</f>
        <v>-8351.31</v>
      </c>
      <c r="Q117" s="154" t="str">
        <f t="shared" si="7"/>
        <v>3-Passifs</v>
      </c>
      <c r="R117" s="153" t="str">
        <f t="shared" si="8"/>
        <v>2501</v>
      </c>
      <c r="S117" s="154">
        <f t="shared" si="9"/>
        <v>0</v>
      </c>
      <c r="T117" s="156" t="str">
        <f>+VLOOKUP($L117,Data_Validation!$A:$D,1,0)</f>
        <v>2501</v>
      </c>
      <c r="U117" s="156" t="str">
        <f>+VLOOKUP($L117,Data_Validation!$A:$D,3,0)</f>
        <v>Bilan</v>
      </c>
      <c r="V117" s="156" t="str">
        <f>+VLOOKUP($L117,Data_Validation!$A:$D,4,0)</f>
        <v>Salaires à Payer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72" t="s">
        <v>2058</v>
      </c>
      <c r="B118" s="1072" t="s">
        <v>2059</v>
      </c>
      <c r="C118" s="1074">
        <v>-190459.78</v>
      </c>
      <c r="D118" s="1074">
        <v>28724.63</v>
      </c>
      <c r="E118" s="1074">
        <v>-161735.15</v>
      </c>
      <c r="F118" s="1072" t="s">
        <v>282</v>
      </c>
      <c r="G118" s="1072" t="s">
        <v>2059</v>
      </c>
      <c r="H118" s="150"/>
      <c r="I118" s="151"/>
      <c r="J118" s="151"/>
      <c r="K118" s="151"/>
      <c r="L118" s="153" t="str">
        <f t="shared" si="5"/>
        <v>2503</v>
      </c>
      <c r="M118" s="154" t="str">
        <f t="shared" si="6"/>
        <v>SALAIRES DES EMPLOYES</v>
      </c>
      <c r="N118" s="155">
        <f>+IF(OR($Q118=Parametres!$G$2,$Q118=Parametres!$G$3),I118,C118)</f>
        <v>-190459.78</v>
      </c>
      <c r="O118" s="155">
        <f>+IF(OR($Q118=Parametres!$G$2,$Q118=Parametres!$G$3),J118,D118)</f>
        <v>28724.63</v>
      </c>
      <c r="P118" s="155">
        <f>+IF(OR($Q118=Parametres!$G$2,$Q118=Parametres!$G$3),K118,E118)</f>
        <v>-161735.15</v>
      </c>
      <c r="Q118" s="154" t="str">
        <f t="shared" si="7"/>
        <v>3-Passifs</v>
      </c>
      <c r="R118" s="153" t="str">
        <f t="shared" si="8"/>
        <v>2503</v>
      </c>
      <c r="S118" s="154">
        <f t="shared" si="9"/>
        <v>0</v>
      </c>
      <c r="T118" s="156" t="str">
        <f>+VLOOKUP($L118,Data_Validation!$A:$D,1,0)</f>
        <v>2503</v>
      </c>
      <c r="U118" s="156" t="str">
        <f>+VLOOKUP($L118,Data_Validation!$A:$D,3,0)</f>
        <v>Bilan</v>
      </c>
      <c r="V118" s="156" t="str">
        <f>+VLOOKUP($L118,Data_Validation!$A:$D,4,0)</f>
        <v>Salaires à Payer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72" t="s">
        <v>2098</v>
      </c>
      <c r="B119" s="1072" t="s">
        <v>2099</v>
      </c>
      <c r="C119" s="1074">
        <v>-12749.49</v>
      </c>
      <c r="D119" s="1074">
        <v>-4223.8500000000004</v>
      </c>
      <c r="E119" s="1074">
        <v>-16973.34</v>
      </c>
      <c r="F119" s="1072" t="s">
        <v>282</v>
      </c>
      <c r="G119" s="1072" t="s">
        <v>2059</v>
      </c>
      <c r="H119" s="150"/>
      <c r="I119" s="157"/>
      <c r="J119" s="157"/>
      <c r="K119" s="157"/>
      <c r="L119" s="153" t="str">
        <f t="shared" si="5"/>
        <v>2505</v>
      </c>
      <c r="M119" s="154" t="str">
        <f t="shared" si="6"/>
        <v>JOURS FERIES</v>
      </c>
      <c r="N119" s="155">
        <f>+IF(OR($Q119=Parametres!$G$2,$Q119=Parametres!$G$3),I119,C119)</f>
        <v>-12749.49</v>
      </c>
      <c r="O119" s="608">
        <f>+IF(OR($Q119=Parametres!$G$2,$Q119=Parametres!$G$3),J119,D119)</f>
        <v>-4223.8500000000004</v>
      </c>
      <c r="P119" s="155">
        <f>+IF(OR($Q119=Parametres!$G$2,$Q119=Parametres!$G$3),K119,E119)</f>
        <v>-16973.34</v>
      </c>
      <c r="Q119" s="154" t="str">
        <f t="shared" si="7"/>
        <v>3-Passifs</v>
      </c>
      <c r="R119" s="153" t="str">
        <f t="shared" si="8"/>
        <v>2503</v>
      </c>
      <c r="S119" s="154">
        <f t="shared" si="9"/>
        <v>0</v>
      </c>
      <c r="T119" s="156" t="str">
        <f>+VLOOKUP($L119,Data_Validation!$A:$D,1,0)</f>
        <v>2505</v>
      </c>
      <c r="U119" s="156" t="str">
        <f>+VLOOKUP($L119,Data_Validation!$A:$D,3,0)</f>
        <v>Bilan</v>
      </c>
      <c r="V119" s="156" t="str">
        <f>+VLOOKUP($L119,Data_Validation!$A:$D,4,0)</f>
        <v>Salaires à Payer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72" t="s">
        <v>2421</v>
      </c>
      <c r="B120" s="1072" t="s">
        <v>2422</v>
      </c>
      <c r="C120" s="1074">
        <v>666.67</v>
      </c>
      <c r="D120" s="1074">
        <v>9200</v>
      </c>
      <c r="E120" s="1074">
        <v>9866.67</v>
      </c>
      <c r="F120" s="1072" t="s">
        <v>282</v>
      </c>
      <c r="G120" s="1072" t="s">
        <v>2422</v>
      </c>
      <c r="H120" s="1050"/>
      <c r="I120" s="1049"/>
      <c r="J120" s="1049"/>
      <c r="K120" s="1049"/>
      <c r="L120" s="153" t="str">
        <f t="shared" si="5"/>
        <v>2507</v>
      </c>
      <c r="M120" s="154" t="str">
        <f t="shared" si="6"/>
        <v>BONIS - EMPLOYES</v>
      </c>
      <c r="N120" s="155">
        <f>+IF(OR($Q120=Parametres!$G$2,$Q120=Parametres!$G$3),I120,C120)</f>
        <v>666.67</v>
      </c>
      <c r="O120" s="155">
        <f>+IF(OR($Q120=Parametres!$G$2,$Q120=Parametres!$G$3),J120,D120)</f>
        <v>9200</v>
      </c>
      <c r="P120" s="155">
        <f>+IF(OR($Q120=Parametres!$G$2,$Q120=Parametres!$G$3),K120,E120)</f>
        <v>9866.67</v>
      </c>
      <c r="Q120" s="154" t="str">
        <f t="shared" si="7"/>
        <v>3-Passifs</v>
      </c>
      <c r="R120" s="153" t="str">
        <f t="shared" si="8"/>
        <v>2507</v>
      </c>
      <c r="S120" s="154">
        <f t="shared" si="9"/>
        <v>0</v>
      </c>
      <c r="T120" s="156" t="str">
        <f>+VLOOKUP($L120,Data_Validation!$A:$D,1,0)</f>
        <v>2507</v>
      </c>
      <c r="U120" s="156" t="str">
        <f>+VLOOKUP($L120,Data_Validation!$A:$D,3,0)</f>
        <v>Bilan</v>
      </c>
      <c r="V120" s="156" t="str">
        <f>+VLOOKUP($L120,Data_Validation!$A:$D,4,0)</f>
        <v>Salaires à Payer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72" t="s">
        <v>2094</v>
      </c>
      <c r="B121" s="1072" t="s">
        <v>2095</v>
      </c>
      <c r="C121" s="1074">
        <v>-208240.44</v>
      </c>
      <c r="D121" s="1074">
        <v>11863.8</v>
      </c>
      <c r="E121" s="1074">
        <v>-196376.64</v>
      </c>
      <c r="F121" s="1072" t="s">
        <v>282</v>
      </c>
      <c r="G121" s="1072" t="s">
        <v>2059</v>
      </c>
      <c r="H121" s="1050"/>
      <c r="I121" s="1049"/>
      <c r="J121" s="1049"/>
      <c r="K121" s="1049"/>
      <c r="L121" s="153" t="str">
        <f t="shared" si="5"/>
        <v>2509</v>
      </c>
      <c r="M121" s="154" t="str">
        <f t="shared" si="6"/>
        <v>SALAIRES DE VACANCES</v>
      </c>
      <c r="N121" s="155">
        <f>+IF(OR($Q121=Parametres!$G$2,$Q121=Parametres!$G$3),I121,C121)</f>
        <v>-208240.44</v>
      </c>
      <c r="O121" s="608">
        <f>+IF(OR($Q121=Parametres!$G$2,$Q121=Parametres!$G$3),J121,D121)</f>
        <v>11863.8</v>
      </c>
      <c r="P121" s="155">
        <f>+IF(OR($Q121=Parametres!$G$2,$Q121=Parametres!$G$3),K121,E121)</f>
        <v>-196376.64</v>
      </c>
      <c r="Q121" s="154" t="str">
        <f t="shared" si="7"/>
        <v>3-Passifs</v>
      </c>
      <c r="R121" s="153" t="str">
        <f t="shared" si="8"/>
        <v>2503</v>
      </c>
      <c r="S121" s="154">
        <f t="shared" si="9"/>
        <v>0</v>
      </c>
      <c r="T121" s="156" t="str">
        <f>+VLOOKUP($L121,Data_Validation!$A:$D,1,0)</f>
        <v>2509</v>
      </c>
      <c r="U121" s="156" t="str">
        <f>+VLOOKUP($L121,Data_Validation!$A:$D,3,0)</f>
        <v>Bilan</v>
      </c>
      <c r="V121" s="156" t="str">
        <f>+VLOOKUP($L121,Data_Validation!$A:$D,4,0)</f>
        <v>Salaires à Payer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72" t="s">
        <v>2188</v>
      </c>
      <c r="B122" s="1072" t="s">
        <v>2189</v>
      </c>
      <c r="C122" s="1074">
        <v>0</v>
      </c>
      <c r="D122" s="1074">
        <v>2070.86</v>
      </c>
      <c r="E122" s="1074">
        <v>2070.86</v>
      </c>
      <c r="F122" s="1072" t="s">
        <v>282</v>
      </c>
      <c r="G122" s="1072" t="s">
        <v>2059</v>
      </c>
      <c r="H122" s="150"/>
      <c r="I122" s="151"/>
      <c r="J122" s="151"/>
      <c r="K122" s="151"/>
      <c r="L122" s="153" t="str">
        <f t="shared" si="5"/>
        <v>2511</v>
      </c>
      <c r="M122" s="154" t="str">
        <f t="shared" si="6"/>
        <v>JOURNEE MALADIE</v>
      </c>
      <c r="N122" s="155">
        <f>+IF(OR($Q122=Parametres!$G$2,$Q122=Parametres!$G$3),I122,C122)</f>
        <v>0</v>
      </c>
      <c r="O122" s="155">
        <f>+IF(OR($Q122=Parametres!$G$2,$Q122=Parametres!$G$3),J122,D122)</f>
        <v>2070.86</v>
      </c>
      <c r="P122" s="155">
        <f>+IF(OR($Q122=Parametres!$G$2,$Q122=Parametres!$G$3),K122,E122)</f>
        <v>2070.86</v>
      </c>
      <c r="Q122" s="154" t="str">
        <f t="shared" si="7"/>
        <v>3-Passifs</v>
      </c>
      <c r="R122" s="153" t="str">
        <f t="shared" si="8"/>
        <v>2503</v>
      </c>
      <c r="S122" s="154">
        <f t="shared" si="9"/>
        <v>0</v>
      </c>
      <c r="T122" s="156" t="str">
        <f>+VLOOKUP($L122,Data_Validation!$A:$D,1,0)</f>
        <v>2511</v>
      </c>
      <c r="U122" s="156" t="str">
        <f>+VLOOKUP($L122,Data_Validation!$A:$D,3,0)</f>
        <v>Bilan</v>
      </c>
      <c r="V122" s="156" t="str">
        <f>+VLOOKUP($L122,Data_Validation!$A:$D,4,0)</f>
        <v>Salaires à Payer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72" t="s">
        <v>2689</v>
      </c>
      <c r="B123" s="1072" t="s">
        <v>2690</v>
      </c>
      <c r="C123" s="1074">
        <v>-28694.25</v>
      </c>
      <c r="D123" s="1074">
        <v>1585.25</v>
      </c>
      <c r="E123" s="1074">
        <v>-27109</v>
      </c>
      <c r="F123" s="1072" t="s">
        <v>282</v>
      </c>
      <c r="G123" s="1072" t="s">
        <v>2690</v>
      </c>
      <c r="H123" s="150"/>
      <c r="I123" s="151"/>
      <c r="J123" s="151"/>
      <c r="K123" s="151"/>
      <c r="L123" s="153" t="str">
        <f t="shared" si="5"/>
        <v>2801</v>
      </c>
      <c r="M123" s="154" t="str">
        <f t="shared" si="6"/>
        <v>PRET CIBC</v>
      </c>
      <c r="N123" s="155">
        <f>+IF(OR($Q123=Parametres!$G$2,$Q123=Parametres!$G$3),I123,C123)</f>
        <v>-28694.25</v>
      </c>
      <c r="O123" s="155">
        <f>+IF(OR($Q123=Parametres!$G$2,$Q123=Parametres!$G$3),J123,D123)</f>
        <v>1585.25</v>
      </c>
      <c r="P123" s="155">
        <f>+IF(OR($Q123=Parametres!$G$2,$Q123=Parametres!$G$3),K123,E123)</f>
        <v>-27109</v>
      </c>
      <c r="Q123" s="154" t="str">
        <f t="shared" si="7"/>
        <v>3-Passifs</v>
      </c>
      <c r="R123" s="153" t="str">
        <f t="shared" si="8"/>
        <v>2801</v>
      </c>
      <c r="S123" s="154">
        <f t="shared" si="9"/>
        <v>0</v>
      </c>
      <c r="T123" s="156" t="str">
        <f>+VLOOKUP($L123,Data_Validation!$A:$D,1,0)</f>
        <v>2801</v>
      </c>
      <c r="U123" s="156" t="str">
        <f>+VLOOKUP($L123,Data_Validation!$A:$D,3,0)</f>
        <v>Bilan</v>
      </c>
      <c r="V123" s="156" t="str">
        <f>+VLOOKUP($L123,Data_Validation!$A:$D,4,0)</f>
        <v>Dette à Long Terme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72" t="s">
        <v>827</v>
      </c>
      <c r="B124" s="1072" t="s">
        <v>2190</v>
      </c>
      <c r="C124" s="1074">
        <v>-23392.41</v>
      </c>
      <c r="D124" s="1074">
        <v>0</v>
      </c>
      <c r="E124" s="1074">
        <v>-23392.41</v>
      </c>
      <c r="F124" s="1072" t="s">
        <v>282</v>
      </c>
      <c r="G124" s="1072" t="s">
        <v>2190</v>
      </c>
      <c r="H124" s="150"/>
      <c r="I124" s="151"/>
      <c r="J124" s="151"/>
      <c r="K124" s="151"/>
      <c r="L124" s="153" t="str">
        <f t="shared" si="5"/>
        <v>2901</v>
      </c>
      <c r="M124" s="154" t="str">
        <f t="shared" si="6"/>
        <v>RESERVE CARTES PRIVILEGE</v>
      </c>
      <c r="N124" s="155">
        <f>+IF(OR($Q124=Parametres!$G$2,$Q124=Parametres!$G$3),I124,C124)</f>
        <v>-23392.41</v>
      </c>
      <c r="O124" s="155">
        <f>+IF(OR($Q124=Parametres!$G$2,$Q124=Parametres!$G$3),J124,D124)</f>
        <v>0</v>
      </c>
      <c r="P124" s="155">
        <f>+IF(OR($Q124=Parametres!$G$2,$Q124=Parametres!$G$3),K124,E124)</f>
        <v>-23392.41</v>
      </c>
      <c r="Q124" s="154" t="str">
        <f t="shared" si="7"/>
        <v>3-Passifs</v>
      </c>
      <c r="R124" s="153" t="str">
        <f t="shared" si="8"/>
        <v>2901</v>
      </c>
      <c r="S124" s="154">
        <f t="shared" si="9"/>
        <v>0</v>
      </c>
      <c r="T124" s="156" t="str">
        <f>+VLOOKUP($L124,Data_Validation!$A:$D,1,0)</f>
        <v>2901</v>
      </c>
      <c r="U124" s="156" t="str">
        <f>+VLOOKUP($L124,Data_Validation!$A:$D,3,0)</f>
        <v>Bilan</v>
      </c>
      <c r="V124" s="156" t="str">
        <f>+VLOOKUP($L124,Data_Validation!$A:$D,4,0)</f>
        <v>Autres Courus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72" t="s">
        <v>2423</v>
      </c>
      <c r="B125" s="1072" t="s">
        <v>2424</v>
      </c>
      <c r="C125" s="1074">
        <v>-2350000</v>
      </c>
      <c r="D125" s="1074">
        <v>0</v>
      </c>
      <c r="E125" s="1074">
        <v>-2350000</v>
      </c>
      <c r="F125" s="1072" t="s">
        <v>831</v>
      </c>
      <c r="G125" s="1072" t="s">
        <v>2424</v>
      </c>
      <c r="H125" s="1050"/>
      <c r="I125" s="1049"/>
      <c r="J125" s="1049"/>
      <c r="K125" s="1049"/>
      <c r="L125" s="153" t="str">
        <f t="shared" si="5"/>
        <v>3001</v>
      </c>
      <c r="M125" s="154" t="str">
        <f t="shared" si="6"/>
        <v>ACTIONS CATEGORIE 1</v>
      </c>
      <c r="N125" s="155">
        <f>+IF(OR($Q125=Parametres!$G$2,$Q125=Parametres!$G$3),I125,C125)</f>
        <v>-2350000</v>
      </c>
      <c r="O125" s="608">
        <f>+IF(OR($Q125=Parametres!$G$2,$Q125=Parametres!$G$3),J125,D125)</f>
        <v>0</v>
      </c>
      <c r="P125" s="155">
        <f>+IF(OR($Q125=Parametres!$G$2,$Q125=Parametres!$G$3),K125,E125)</f>
        <v>-2350000</v>
      </c>
      <c r="Q125" s="154" t="str">
        <f t="shared" si="7"/>
        <v>4-Valeur nette</v>
      </c>
      <c r="R125" s="153" t="str">
        <f t="shared" si="8"/>
        <v>3001</v>
      </c>
      <c r="S125" s="154">
        <f t="shared" si="9"/>
        <v>0</v>
      </c>
      <c r="T125" s="156" t="str">
        <f>+VLOOKUP($L125,Data_Validation!$A:$D,1,0)</f>
        <v>3001</v>
      </c>
      <c r="U125" s="156" t="str">
        <f>+VLOOKUP($L125,Data_Validation!$A:$D,3,0)</f>
        <v>Bilan</v>
      </c>
      <c r="V125" s="156" t="str">
        <f>+VLOOKUP($L125,Data_Validation!$A:$D,4,0)</f>
        <v>Capital Actions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72" t="s">
        <v>2425</v>
      </c>
      <c r="B126" s="1072" t="s">
        <v>2426</v>
      </c>
      <c r="C126" s="1074">
        <v>-1723617</v>
      </c>
      <c r="D126" s="1074">
        <v>0</v>
      </c>
      <c r="E126" s="1074">
        <v>-1723617</v>
      </c>
      <c r="F126" s="1072" t="s">
        <v>831</v>
      </c>
      <c r="G126" s="1072" t="s">
        <v>2424</v>
      </c>
      <c r="H126" s="1050"/>
      <c r="I126" s="1049"/>
      <c r="J126" s="1049"/>
      <c r="K126" s="1049"/>
      <c r="L126" s="153" t="str">
        <f t="shared" si="5"/>
        <v>3003</v>
      </c>
      <c r="M126" s="154" t="str">
        <f t="shared" si="6"/>
        <v>APPORT / RETRAIT</v>
      </c>
      <c r="N126" s="155">
        <f>+IF(OR($Q126=Parametres!$G$2,$Q126=Parametres!$G$3),I126,C126)</f>
        <v>-1723617</v>
      </c>
      <c r="O126" s="155">
        <f>+IF(OR($Q126=Parametres!$G$2,$Q126=Parametres!$G$3),J126,D126)</f>
        <v>0</v>
      </c>
      <c r="P126" s="155">
        <f>+IF(OR($Q126=Parametres!$G$2,$Q126=Parametres!$G$3),K126,E126)</f>
        <v>-1723617</v>
      </c>
      <c r="Q126" s="154" t="str">
        <f t="shared" si="7"/>
        <v>4-Valeur nette</v>
      </c>
      <c r="R126" s="153" t="str">
        <f t="shared" si="8"/>
        <v>3001</v>
      </c>
      <c r="S126" s="154">
        <f t="shared" si="9"/>
        <v>0</v>
      </c>
      <c r="T126" s="156" t="str">
        <f>+VLOOKUP($L126,Data_Validation!$A:$D,1,0)</f>
        <v>3003</v>
      </c>
      <c r="U126" s="156" t="str">
        <f>+VLOOKUP($L126,Data_Validation!$A:$D,3,0)</f>
        <v>Bilan</v>
      </c>
      <c r="V126" s="156" t="str">
        <f>+VLOOKUP($L126,Data_Validation!$A:$D,4,0)</f>
        <v>Apport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72" t="s">
        <v>2427</v>
      </c>
      <c r="B127" s="1072" t="s">
        <v>2428</v>
      </c>
      <c r="C127" s="1074">
        <v>-347547.5</v>
      </c>
      <c r="D127" s="1074">
        <v>0</v>
      </c>
      <c r="E127" s="1074">
        <v>-347547.5</v>
      </c>
      <c r="F127" s="1072" t="s">
        <v>831</v>
      </c>
      <c r="G127" s="1072" t="s">
        <v>2424</v>
      </c>
      <c r="H127" s="1050"/>
      <c r="I127" s="1049"/>
      <c r="J127" s="1049"/>
      <c r="K127" s="1049"/>
      <c r="L127" s="153" t="str">
        <f t="shared" si="5"/>
        <v>3007</v>
      </c>
      <c r="M127" s="612" t="str">
        <f t="shared" si="6"/>
        <v>ACTIONS PARTICIPANTES</v>
      </c>
      <c r="N127" s="155">
        <f>+IF(OR($Q127=Parametres!$G$2,$Q127=Parametres!$G$3),I127,C127)</f>
        <v>-347547.5</v>
      </c>
      <c r="O127" s="613">
        <f>+IF(OR($Q127=Parametres!$G$2,$Q127=Parametres!$G$3),J127,D127)</f>
        <v>0</v>
      </c>
      <c r="P127" s="614">
        <f>+IF(OR($Q127=Parametres!$G$2,$Q127=Parametres!$G$3),K127,E127)</f>
        <v>-347547.5</v>
      </c>
      <c r="Q127" s="154" t="str">
        <f t="shared" si="7"/>
        <v>4-Valeur nette</v>
      </c>
      <c r="R127" s="153" t="str">
        <f t="shared" si="8"/>
        <v>3001</v>
      </c>
      <c r="S127" s="154">
        <f t="shared" si="9"/>
        <v>0</v>
      </c>
      <c r="T127" s="156" t="str">
        <f>+VLOOKUP($L127,Data_Validation!$A:$D,1,0)</f>
        <v>3007</v>
      </c>
      <c r="U127" s="156" t="str">
        <f>+VLOOKUP($L127,Data_Validation!$A:$D,3,0)</f>
        <v>Bilan</v>
      </c>
      <c r="V127" s="156" t="str">
        <f>+VLOOKUP($L127,Data_Validation!$A:$D,4,0)</f>
        <v>Capital Actions</v>
      </c>
      <c r="W127" s="156">
        <f>+VLOOKUP($L127,Data_Validation!$A:$E,5,0)</f>
        <v>0</v>
      </c>
      <c r="X127" s="156">
        <f>+VLOOKUP($L127,Data_Validation!$A:$F,6,0)</f>
        <v>0</v>
      </c>
    </row>
    <row r="128" spans="1:24" ht="15" hidden="1" customHeight="1">
      <c r="A128" s="1072" t="s">
        <v>2429</v>
      </c>
      <c r="B128" s="1072" t="s">
        <v>2430</v>
      </c>
      <c r="C128" s="1074">
        <v>-973229.33</v>
      </c>
      <c r="D128" s="1074">
        <v>0</v>
      </c>
      <c r="E128" s="1074">
        <v>-973229.33</v>
      </c>
      <c r="F128" s="1072" t="s">
        <v>831</v>
      </c>
      <c r="G128" s="1072" t="s">
        <v>2424</v>
      </c>
      <c r="H128" s="1050"/>
      <c r="I128" s="1049"/>
      <c r="J128" s="1049"/>
      <c r="K128" s="1049"/>
      <c r="L128" s="153" t="str">
        <f t="shared" si="5"/>
        <v>3201</v>
      </c>
      <c r="M128" s="154" t="str">
        <f t="shared" si="6"/>
        <v>BENEFICES NON-REPARTIS</v>
      </c>
      <c r="N128" s="155">
        <f>+IF(OR($Q128=Parametres!$G$2,$Q128=Parametres!$G$3),I128,C128)</f>
        <v>-973229.33</v>
      </c>
      <c r="O128" s="155">
        <f>+IF(OR($Q128=Parametres!$G$2,$Q128=Parametres!$G$3),J128,D128)</f>
        <v>0</v>
      </c>
      <c r="P128" s="155">
        <f>+IF(OR($Q128=Parametres!$G$2,$Q128=Parametres!$G$3),K128,E128)</f>
        <v>-973229.33</v>
      </c>
      <c r="Q128" s="154" t="str">
        <f t="shared" si="7"/>
        <v>4-Valeur nette</v>
      </c>
      <c r="R128" s="153" t="str">
        <f t="shared" si="8"/>
        <v>3001</v>
      </c>
      <c r="S128" s="154">
        <f t="shared" si="9"/>
        <v>0</v>
      </c>
      <c r="T128" s="156" t="str">
        <f>+VLOOKUP($L128,Data_Validation!$A:$D,1,0)</f>
        <v>3201</v>
      </c>
      <c r="U128" s="156" t="str">
        <f>+VLOOKUP($L128,Data_Validation!$A:$D,3,0)</f>
        <v>Bilan</v>
      </c>
      <c r="V128" s="156" t="str">
        <f>+VLOOKUP($L128,Data_Validation!$A:$D,4,0)</f>
        <v>Bénéfices non répartis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72" t="s">
        <v>2025</v>
      </c>
      <c r="B129" s="1072" t="s">
        <v>2026</v>
      </c>
      <c r="C129" s="1074">
        <v>0</v>
      </c>
      <c r="D129" s="1074">
        <v>-86061.69</v>
      </c>
      <c r="E129" s="1074">
        <v>-86061.69</v>
      </c>
      <c r="F129" s="1072" t="s">
        <v>285</v>
      </c>
      <c r="G129" s="1072" t="s">
        <v>2026</v>
      </c>
      <c r="H129" s="1073"/>
      <c r="I129" s="1073"/>
      <c r="J129" s="1073"/>
      <c r="K129" s="1073"/>
      <c r="L129" s="153" t="str">
        <f t="shared" si="5"/>
        <v>4100</v>
      </c>
      <c r="M129" s="154" t="str">
        <f t="shared" si="6"/>
        <v>VTE - RACHAT BAIL VW</v>
      </c>
      <c r="N129" s="155">
        <f>+IF(OR($Q129=Parametres!$G$2,$Q129=Parametres!$G$3),I129,C129)</f>
        <v>0</v>
      </c>
      <c r="O129" s="155">
        <f>+IF(OR($Q129=Parametres!$G$2,$Q129=Parametres!$G$3),J129,D129)</f>
        <v>-86061.69</v>
      </c>
      <c r="P129" s="155">
        <f>+IF(OR($Q129=Parametres!$G$2,$Q129=Parametres!$G$3),K129,E129)</f>
        <v>-86061.69</v>
      </c>
      <c r="Q129" s="154" t="str">
        <f t="shared" si="7"/>
        <v>5-Ventes</v>
      </c>
      <c r="R129" s="153" t="str">
        <f t="shared" si="8"/>
        <v>4100</v>
      </c>
      <c r="S129" s="154">
        <f t="shared" si="9"/>
        <v>0</v>
      </c>
      <c r="T129" s="156" t="str">
        <f>+VLOOKUP($L129,Data_Validation!$A:$D,1,0)</f>
        <v>4100</v>
      </c>
      <c r="U129" s="156" t="str">
        <f>+VLOOKUP($L129,Data_Validation!$A:$D,3,0)</f>
        <v>Véhicules neufs</v>
      </c>
      <c r="V129" s="156" t="str">
        <f>+VLOOKUP($L129,Data_Validation!$A:$D,4,0)</f>
        <v>Rachat bail</v>
      </c>
      <c r="W129" s="156" t="str">
        <f>+VLOOKUP($L129,Data_Validation!$A:$E,5,0)</f>
        <v>$</v>
      </c>
      <c r="X129" s="156" t="str">
        <f>+VLOOKUP($L129,Data_Validation!$A:$F,6,0)</f>
        <v>Oui</v>
      </c>
    </row>
    <row r="130" spans="1:24" ht="15" hidden="1" customHeight="1">
      <c r="A130" s="1072" t="s">
        <v>2482</v>
      </c>
      <c r="B130" s="1072" t="s">
        <v>2483</v>
      </c>
      <c r="C130" s="1073"/>
      <c r="D130" s="1073"/>
      <c r="E130" s="1073"/>
      <c r="F130" s="1072" t="s">
        <v>4</v>
      </c>
      <c r="G130" s="1072" t="s">
        <v>2026</v>
      </c>
      <c r="H130" s="1073"/>
      <c r="I130" s="1074">
        <v>0</v>
      </c>
      <c r="J130" s="1074">
        <v>-6</v>
      </c>
      <c r="K130" s="1074">
        <v>-6</v>
      </c>
      <c r="L130" s="153" t="str">
        <f t="shared" ref="L130:L193" si="10">+B130</f>
        <v>4100@</v>
      </c>
      <c r="M130" s="154" t="str">
        <f t="shared" ref="M130:M193" si="11">+A130</f>
        <v>RESERVE</v>
      </c>
      <c r="N130" s="155">
        <f>+IF(OR($Q130=Parametres!$G$2,$Q130=Parametres!$G$3),I130,C130)</f>
        <v>0</v>
      </c>
      <c r="O130" s="155">
        <f>+IF(OR($Q130=Parametres!$G$2,$Q130=Parametres!$G$3),J130,D130)</f>
        <v>-6</v>
      </c>
      <c r="P130" s="155">
        <f>+IF(OR($Q130=Parametres!$G$2,$Q130=Parametres!$G$3),K130,E130)</f>
        <v>-6</v>
      </c>
      <c r="Q130" s="154" t="str">
        <f t="shared" ref="Q130:Q193" si="12">+F130</f>
        <v>10-Compte compteur</v>
      </c>
      <c r="R130" s="153" t="str">
        <f t="shared" ref="R130:R193" si="13">+G130</f>
        <v>4100</v>
      </c>
      <c r="S130" s="154">
        <f t="shared" ref="S130:S193" si="14">+H130</f>
        <v>0</v>
      </c>
      <c r="T130" s="156" t="str">
        <f>+VLOOKUP($L130,Data_Validation!$A:$D,1,0)</f>
        <v>4100@</v>
      </c>
      <c r="U130" s="156" t="str">
        <f>+VLOOKUP($L130,Data_Validation!$A:$D,3,0)</f>
        <v>Véhicules neufs</v>
      </c>
      <c r="V130" s="156" t="str">
        <f>+VLOOKUP($L130,Data_Validation!$A:$D,4,0)</f>
        <v>Rachat bail</v>
      </c>
      <c r="W130" s="156" t="str">
        <f>+VLOOKUP($L130,Data_Validation!$A:$E,5,0)</f>
        <v>NB</v>
      </c>
      <c r="X130" s="156">
        <f>+VLOOKUP($L130,Data_Validation!$A:$F,6,0)</f>
        <v>0</v>
      </c>
    </row>
    <row r="131" spans="1:24" ht="15.75" hidden="1" customHeight="1">
      <c r="A131" s="1072" t="s">
        <v>2018</v>
      </c>
      <c r="B131" s="1072" t="s">
        <v>2019</v>
      </c>
      <c r="C131" s="1074">
        <v>0</v>
      </c>
      <c r="D131" s="1074">
        <v>-24044</v>
      </c>
      <c r="E131" s="1074">
        <v>-24044</v>
      </c>
      <c r="F131" s="1072" t="s">
        <v>285</v>
      </c>
      <c r="G131" s="1072" t="s">
        <v>2019</v>
      </c>
      <c r="H131" s="1073"/>
      <c r="I131" s="1073"/>
      <c r="J131" s="1073"/>
      <c r="K131" s="1073"/>
      <c r="L131" s="153" t="str">
        <f t="shared" si="10"/>
        <v>4107</v>
      </c>
      <c r="M131" s="154" t="str">
        <f t="shared" si="11"/>
        <v>VTE - GOLF A6</v>
      </c>
      <c r="N131" s="155">
        <f>+IF(OR($Q131=Parametres!$G$2,$Q131=Parametres!$G$3),I131,C131)</f>
        <v>0</v>
      </c>
      <c r="O131" s="155">
        <f>+IF(OR($Q131=Parametres!$G$2,$Q131=Parametres!$G$3),J131,D131)</f>
        <v>-24044</v>
      </c>
      <c r="P131" s="155">
        <f>+IF(OR($Q131=Parametres!$G$2,$Q131=Parametres!$G$3),K131,E131)</f>
        <v>-24044</v>
      </c>
      <c r="Q131" s="154" t="str">
        <f t="shared" si="12"/>
        <v>5-Ventes</v>
      </c>
      <c r="R131" s="153" t="str">
        <f t="shared" si="13"/>
        <v>4107</v>
      </c>
      <c r="S131" s="154">
        <f t="shared" si="14"/>
        <v>0</v>
      </c>
      <c r="T131" s="156" t="str">
        <f>+VLOOKUP($L131,Data_Validation!$A:$D,1,0)</f>
        <v>4107</v>
      </c>
      <c r="U131" s="156" t="str">
        <f>+VLOOKUP($L131,Data_Validation!$A:$D,3,0)</f>
        <v>Véhicules neufs</v>
      </c>
      <c r="V131" s="156" t="str">
        <f>+VLOOKUP($L131,Data_Validation!$A:$D,4,0)</f>
        <v>Autos détail</v>
      </c>
      <c r="W131" s="156" t="str">
        <f>+VLOOKUP($L131,Data_Validation!$A:$E,5,0)</f>
        <v>$</v>
      </c>
      <c r="X131" s="156" t="str">
        <f>+VLOOKUP($L131,Data_Validation!$A:$F,6,0)</f>
        <v>Oui</v>
      </c>
    </row>
    <row r="132" spans="1:24" ht="15" hidden="1" customHeight="1">
      <c r="A132" s="1072" t="s">
        <v>2488</v>
      </c>
      <c r="B132" s="1072" t="s">
        <v>2489</v>
      </c>
      <c r="C132" s="1073"/>
      <c r="D132" s="1073"/>
      <c r="E132" s="1073"/>
      <c r="F132" s="1072" t="s">
        <v>4</v>
      </c>
      <c r="G132" s="1072" t="s">
        <v>2019</v>
      </c>
      <c r="H132" s="1073"/>
      <c r="I132" s="1074">
        <v>0</v>
      </c>
      <c r="J132" s="1074">
        <v>-1</v>
      </c>
      <c r="K132" s="1074">
        <v>-1</v>
      </c>
      <c r="L132" s="153" t="str">
        <f t="shared" si="10"/>
        <v>4107@</v>
      </c>
      <c r="M132" s="154" t="str">
        <f t="shared" si="11"/>
        <v>UNITES VENDUES GOLF</v>
      </c>
      <c r="N132" s="155">
        <f>+IF(OR($Q132=Parametres!$G$2,$Q132=Parametres!$G$3),I132,C132)</f>
        <v>0</v>
      </c>
      <c r="O132" s="155">
        <f>+IF(OR($Q132=Parametres!$G$2,$Q132=Parametres!$G$3),J132,D132)</f>
        <v>-1</v>
      </c>
      <c r="P132" s="155">
        <f>+IF(OR($Q132=Parametres!$G$2,$Q132=Parametres!$G$3),K132,E132)</f>
        <v>-1</v>
      </c>
      <c r="Q132" s="154" t="str">
        <f t="shared" si="12"/>
        <v>10-Compte compteur</v>
      </c>
      <c r="R132" s="153" t="str">
        <f t="shared" si="13"/>
        <v>4107</v>
      </c>
      <c r="S132" s="154">
        <f t="shared" si="14"/>
        <v>0</v>
      </c>
      <c r="T132" s="156" t="str">
        <f>+VLOOKUP($L132,Data_Validation!$A:$D,1,0)</f>
        <v>4107@</v>
      </c>
      <c r="U132" s="156" t="str">
        <f>+VLOOKUP($L132,Data_Validation!$A:$D,3,0)</f>
        <v>Véhicules neufs</v>
      </c>
      <c r="V132" s="156" t="str">
        <f>+VLOOKUP($L132,Data_Validation!$A:$D,4,0)</f>
        <v>Autos détail</v>
      </c>
      <c r="W132" s="156" t="str">
        <f>+VLOOKUP($L132,Data_Validation!$A:$E,5,0)</f>
        <v>NB</v>
      </c>
      <c r="X132" s="156">
        <f>+VLOOKUP($L132,Data_Validation!$A:$F,6,0)</f>
        <v>0</v>
      </c>
    </row>
    <row r="133" spans="1:24" ht="15" hidden="1" customHeight="1">
      <c r="A133" s="1072" t="s">
        <v>2013</v>
      </c>
      <c r="B133" s="1072" t="s">
        <v>2014</v>
      </c>
      <c r="C133" s="1074">
        <v>0</v>
      </c>
      <c r="D133" s="1074">
        <v>-140497.76</v>
      </c>
      <c r="E133" s="1074">
        <v>-140497.76</v>
      </c>
      <c r="F133" s="1072" t="s">
        <v>285</v>
      </c>
      <c r="G133" s="1072" t="s">
        <v>2014</v>
      </c>
      <c r="H133" s="1073"/>
      <c r="I133" s="1073"/>
      <c r="J133" s="1073"/>
      <c r="K133" s="1073"/>
      <c r="L133" s="153" t="str">
        <f t="shared" si="10"/>
        <v>4111</v>
      </c>
      <c r="M133" s="154" t="str">
        <f t="shared" si="11"/>
        <v>VTE - JETTA</v>
      </c>
      <c r="N133" s="155">
        <f>+IF(OR($Q133=Parametres!$G$2,$Q133=Parametres!$G$3),I133,C133)</f>
        <v>0</v>
      </c>
      <c r="O133" s="155">
        <f>+IF(OR($Q133=Parametres!$G$2,$Q133=Parametres!$G$3),J133,D133)</f>
        <v>-140497.76</v>
      </c>
      <c r="P133" s="155">
        <f>+IF(OR($Q133=Parametres!$G$2,$Q133=Parametres!$G$3),K133,E133)</f>
        <v>-140497.76</v>
      </c>
      <c r="Q133" s="154" t="str">
        <f t="shared" si="12"/>
        <v>5-Ventes</v>
      </c>
      <c r="R133" s="153" t="str">
        <f t="shared" si="13"/>
        <v>4111</v>
      </c>
      <c r="S133" s="154">
        <f t="shared" si="14"/>
        <v>0</v>
      </c>
      <c r="T133" s="156" t="str">
        <f>+VLOOKUP($L133,Data_Validation!$A:$D,1,0)</f>
        <v>4111</v>
      </c>
      <c r="U133" s="156" t="str">
        <f>+VLOOKUP($L133,Data_Validation!$A:$D,3,0)</f>
        <v>Véhicules neufs</v>
      </c>
      <c r="V133" s="156" t="str">
        <f>+VLOOKUP($L133,Data_Validation!$A:$D,4,0)</f>
        <v>Autos détail</v>
      </c>
      <c r="W133" s="156" t="str">
        <f>+VLOOKUP($L133,Data_Validation!$A:$E,5,0)</f>
        <v>$</v>
      </c>
      <c r="X133" s="156" t="str">
        <f>+VLOOKUP($L133,Data_Validation!$A:$F,6,0)</f>
        <v>Oui</v>
      </c>
    </row>
    <row r="134" spans="1:24" ht="15" hidden="1" customHeight="1">
      <c r="A134" s="1072" t="s">
        <v>2492</v>
      </c>
      <c r="B134" s="1072" t="s">
        <v>2493</v>
      </c>
      <c r="C134" s="1073"/>
      <c r="D134" s="1073"/>
      <c r="E134" s="1073"/>
      <c r="F134" s="1072" t="s">
        <v>4</v>
      </c>
      <c r="G134" s="1072" t="s">
        <v>2014</v>
      </c>
      <c r="H134" s="1073"/>
      <c r="I134" s="1074">
        <v>0</v>
      </c>
      <c r="J134" s="1074">
        <v>-5</v>
      </c>
      <c r="K134" s="1074">
        <v>-5</v>
      </c>
      <c r="L134" s="153" t="str">
        <f t="shared" si="10"/>
        <v>4111@</v>
      </c>
      <c r="M134" s="154" t="str">
        <f t="shared" si="11"/>
        <v>UNITES VENDUES - JETTA</v>
      </c>
      <c r="N134" s="155">
        <f>+IF(OR($Q134=Parametres!$G$2,$Q134=Parametres!$G$3),I134,C134)</f>
        <v>0</v>
      </c>
      <c r="O134" s="155">
        <f>+IF(OR($Q134=Parametres!$G$2,$Q134=Parametres!$G$3),J134,D134)</f>
        <v>-5</v>
      </c>
      <c r="P134" s="155">
        <f>+IF(OR($Q134=Parametres!$G$2,$Q134=Parametres!$G$3),K134,E134)</f>
        <v>-5</v>
      </c>
      <c r="Q134" s="154" t="str">
        <f t="shared" si="12"/>
        <v>10-Compte compteur</v>
      </c>
      <c r="R134" s="153" t="str">
        <f t="shared" si="13"/>
        <v>4111</v>
      </c>
      <c r="S134" s="154">
        <f t="shared" si="14"/>
        <v>0</v>
      </c>
      <c r="T134" s="156" t="str">
        <f>+VLOOKUP($L134,Data_Validation!$A:$D,1,0)</f>
        <v>4111@</v>
      </c>
      <c r="U134" s="156" t="str">
        <f>+VLOOKUP($L134,Data_Validation!$A:$D,3,0)</f>
        <v>Véhicules neufs</v>
      </c>
      <c r="V134" s="156" t="str">
        <f>+VLOOKUP($L134,Data_Validation!$A:$D,4,0)</f>
        <v>Autos détail</v>
      </c>
      <c r="W134" s="156" t="str">
        <f>+VLOOKUP($L134,Data_Validation!$A:$E,5,0)</f>
        <v>NB</v>
      </c>
      <c r="X134" s="156">
        <f>+VLOOKUP($L134,Data_Validation!$A:$F,6,0)</f>
        <v>0</v>
      </c>
    </row>
    <row r="135" spans="1:24" ht="15.75" hidden="1" customHeight="1">
      <c r="A135" s="1072" t="s">
        <v>2002</v>
      </c>
      <c r="B135" s="1072" t="s">
        <v>2003</v>
      </c>
      <c r="C135" s="1074">
        <v>0</v>
      </c>
      <c r="D135" s="1074">
        <v>-111267.88</v>
      </c>
      <c r="E135" s="1074">
        <v>-111267.88</v>
      </c>
      <c r="F135" s="1072" t="s">
        <v>285</v>
      </c>
      <c r="G135" s="1072" t="s">
        <v>2003</v>
      </c>
      <c r="H135" s="1073"/>
      <c r="I135" s="1073"/>
      <c r="J135" s="1073"/>
      <c r="K135" s="1073"/>
      <c r="L135" s="153" t="str">
        <f t="shared" si="10"/>
        <v>4119</v>
      </c>
      <c r="M135" s="154" t="str">
        <f t="shared" si="11"/>
        <v>VTE - ATLAS</v>
      </c>
      <c r="N135" s="155">
        <f>+IF(OR($Q135=Parametres!$G$2,$Q135=Parametres!$G$3),I135,C135)</f>
        <v>0</v>
      </c>
      <c r="O135" s="155">
        <f>+IF(OR($Q135=Parametres!$G$2,$Q135=Parametres!$G$3),J135,D135)</f>
        <v>-111267.88</v>
      </c>
      <c r="P135" s="155">
        <f>+IF(OR($Q135=Parametres!$G$2,$Q135=Parametres!$G$3),K135,E135)</f>
        <v>-111267.88</v>
      </c>
      <c r="Q135" s="154" t="str">
        <f t="shared" si="12"/>
        <v>5-Ventes</v>
      </c>
      <c r="R135" s="153" t="str">
        <f t="shared" si="13"/>
        <v>4119</v>
      </c>
      <c r="S135" s="154">
        <f t="shared" si="14"/>
        <v>0</v>
      </c>
      <c r="T135" s="156" t="str">
        <f>+VLOOKUP($L135,Data_Validation!$A:$D,1,0)</f>
        <v>4119</v>
      </c>
      <c r="U135" s="156" t="str">
        <f>+VLOOKUP($L135,Data_Validation!$A:$D,3,0)</f>
        <v>Véhicules neufs</v>
      </c>
      <c r="V135" s="156" t="str">
        <f>+VLOOKUP($L135,Data_Validation!$A:$D,4,0)</f>
        <v>Camions détail</v>
      </c>
      <c r="W135" s="156" t="str">
        <f>+VLOOKUP($L135,Data_Validation!$A:$E,5,0)</f>
        <v>$</v>
      </c>
      <c r="X135" s="156" t="str">
        <f>+VLOOKUP($L135,Data_Validation!$A:$F,6,0)</f>
        <v>Oui</v>
      </c>
    </row>
    <row r="136" spans="1:24" ht="15" hidden="1" customHeight="1">
      <c r="A136" s="1072" t="s">
        <v>2498</v>
      </c>
      <c r="B136" s="1072" t="s">
        <v>2499</v>
      </c>
      <c r="C136" s="1073"/>
      <c r="D136" s="1073"/>
      <c r="E136" s="1073"/>
      <c r="F136" s="1072" t="s">
        <v>4</v>
      </c>
      <c r="G136" s="1072" t="s">
        <v>2003</v>
      </c>
      <c r="H136" s="1073"/>
      <c r="I136" s="1074">
        <v>0</v>
      </c>
      <c r="J136" s="1074">
        <v>-2</v>
      </c>
      <c r="K136" s="1074">
        <v>-2</v>
      </c>
      <c r="L136" s="153" t="str">
        <f t="shared" si="10"/>
        <v>4119@</v>
      </c>
      <c r="M136" s="154" t="str">
        <f t="shared" si="11"/>
        <v># DE VTE - ATLAS</v>
      </c>
      <c r="N136" s="155">
        <f>+IF(OR($Q136=Parametres!$G$2,$Q136=Parametres!$G$3),I136,C136)</f>
        <v>0</v>
      </c>
      <c r="O136" s="155">
        <f>+IF(OR($Q136=Parametres!$G$2,$Q136=Parametres!$G$3),J136,D136)</f>
        <v>-2</v>
      </c>
      <c r="P136" s="155">
        <f>+IF(OR($Q136=Parametres!$G$2,$Q136=Parametres!$G$3),K136,E136)</f>
        <v>-2</v>
      </c>
      <c r="Q136" s="154" t="str">
        <f t="shared" si="12"/>
        <v>10-Compte compteur</v>
      </c>
      <c r="R136" s="153" t="str">
        <f t="shared" si="13"/>
        <v>4119</v>
      </c>
      <c r="S136" s="154">
        <f t="shared" si="14"/>
        <v>0</v>
      </c>
      <c r="T136" s="156" t="str">
        <f>+VLOOKUP($L136,Data_Validation!$A:$D,1,0)</f>
        <v>4119@</v>
      </c>
      <c r="U136" s="156" t="str">
        <f>+VLOOKUP($L136,Data_Validation!$A:$D,3,0)</f>
        <v>Véhicules neufs</v>
      </c>
      <c r="V136" s="156" t="str">
        <f>+VLOOKUP($L136,Data_Validation!$A:$D,4,0)</f>
        <v>Camions détail</v>
      </c>
      <c r="W136" s="156" t="str">
        <f>+VLOOKUP($L136,Data_Validation!$A:$E,5,0)</f>
        <v>NB</v>
      </c>
      <c r="X136" s="156">
        <f>+VLOOKUP($L136,Data_Validation!$A:$F,6,0)</f>
        <v>0</v>
      </c>
    </row>
    <row r="137" spans="1:24" ht="15" hidden="1" customHeight="1">
      <c r="A137" s="1072" t="s">
        <v>1998</v>
      </c>
      <c r="B137" s="1072" t="s">
        <v>1999</v>
      </c>
      <c r="C137" s="1074">
        <v>0</v>
      </c>
      <c r="D137" s="1074">
        <v>-430950.46</v>
      </c>
      <c r="E137" s="1074">
        <v>-430950.46</v>
      </c>
      <c r="F137" s="1072" t="s">
        <v>285</v>
      </c>
      <c r="G137" s="1072" t="s">
        <v>1999</v>
      </c>
      <c r="H137" s="1073"/>
      <c r="I137" s="1073"/>
      <c r="J137" s="1073"/>
      <c r="K137" s="1073"/>
      <c r="L137" s="153" t="str">
        <f t="shared" si="10"/>
        <v>4131</v>
      </c>
      <c r="M137" s="154" t="str">
        <f t="shared" si="11"/>
        <v>VTE - TIGUAN LWB</v>
      </c>
      <c r="N137" s="155">
        <f>+IF(OR($Q137=Parametres!$G$2,$Q137=Parametres!$G$3),I137,C137)</f>
        <v>0</v>
      </c>
      <c r="O137" s="155">
        <f>+IF(OR($Q137=Parametres!$G$2,$Q137=Parametres!$G$3),J137,D137)</f>
        <v>-430950.46</v>
      </c>
      <c r="P137" s="155">
        <f>+IF(OR($Q137=Parametres!$G$2,$Q137=Parametres!$G$3),K137,E137)</f>
        <v>-430950.46</v>
      </c>
      <c r="Q137" s="154" t="str">
        <f t="shared" si="12"/>
        <v>5-Ventes</v>
      </c>
      <c r="R137" s="153" t="str">
        <f t="shared" si="13"/>
        <v>4131</v>
      </c>
      <c r="S137" s="154">
        <f t="shared" si="14"/>
        <v>0</v>
      </c>
      <c r="T137" s="156" t="str">
        <f>+VLOOKUP($L137,Data_Validation!$A:$D,1,0)</f>
        <v>4131</v>
      </c>
      <c r="U137" s="156" t="str">
        <f>+VLOOKUP($L137,Data_Validation!$A:$D,3,0)</f>
        <v>Véhicules neufs</v>
      </c>
      <c r="V137" s="156" t="str">
        <f>+VLOOKUP($L137,Data_Validation!$A:$D,4,0)</f>
        <v>Camions détail</v>
      </c>
      <c r="W137" s="156" t="str">
        <f>+VLOOKUP($L137,Data_Validation!$A:$E,5,0)</f>
        <v>$</v>
      </c>
      <c r="X137" s="156" t="str">
        <f>+VLOOKUP($L137,Data_Validation!$A:$F,6,0)</f>
        <v>Oui</v>
      </c>
    </row>
    <row r="138" spans="1:24" ht="15" hidden="1" customHeight="1">
      <c r="A138" s="1072" t="s">
        <v>2502</v>
      </c>
      <c r="B138" s="1072" t="s">
        <v>2503</v>
      </c>
      <c r="C138" s="1073"/>
      <c r="D138" s="1073"/>
      <c r="E138" s="1073"/>
      <c r="F138" s="1072" t="s">
        <v>4</v>
      </c>
      <c r="G138" s="1072" t="s">
        <v>1999</v>
      </c>
      <c r="H138" s="1073"/>
      <c r="I138" s="1074">
        <v>0</v>
      </c>
      <c r="J138" s="1074">
        <v>-11</v>
      </c>
      <c r="K138" s="1074">
        <v>-11</v>
      </c>
      <c r="L138" s="153" t="str">
        <f t="shared" si="10"/>
        <v>4131@</v>
      </c>
      <c r="M138" s="154" t="str">
        <f t="shared" si="11"/>
        <v># DE VTE - TIGUAN LWB</v>
      </c>
      <c r="N138" s="155">
        <f>+IF(OR($Q138=Parametres!$G$2,$Q138=Parametres!$G$3),I138,C138)</f>
        <v>0</v>
      </c>
      <c r="O138" s="155">
        <f>+IF(OR($Q138=Parametres!$G$2,$Q138=Parametres!$G$3),J138,D138)</f>
        <v>-11</v>
      </c>
      <c r="P138" s="155">
        <f>+IF(OR($Q138=Parametres!$G$2,$Q138=Parametres!$G$3),K138,E138)</f>
        <v>-11</v>
      </c>
      <c r="Q138" s="154" t="str">
        <f t="shared" si="12"/>
        <v>10-Compte compteur</v>
      </c>
      <c r="R138" s="153" t="str">
        <f t="shared" si="13"/>
        <v>4131</v>
      </c>
      <c r="S138" s="154">
        <f t="shared" si="14"/>
        <v>0</v>
      </c>
      <c r="T138" s="156" t="str">
        <f>+VLOOKUP($L138,Data_Validation!$A:$D,1,0)</f>
        <v>4131@</v>
      </c>
      <c r="U138" s="156" t="str">
        <f>+VLOOKUP($L138,Data_Validation!$A:$D,3,0)</f>
        <v>Véhicules neufs</v>
      </c>
      <c r="V138" s="156" t="str">
        <f>+VLOOKUP($L138,Data_Validation!$A:$D,4,0)</f>
        <v>Camions détail</v>
      </c>
      <c r="W138" s="156" t="str">
        <f>+VLOOKUP($L138,Data_Validation!$A:$E,5,0)</f>
        <v>NB</v>
      </c>
      <c r="X138" s="156">
        <f>+VLOOKUP($L138,Data_Validation!$A:$F,6,0)</f>
        <v>0</v>
      </c>
    </row>
    <row r="139" spans="1:24" ht="15.75" hidden="1" customHeight="1">
      <c r="A139" s="1072" t="s">
        <v>2028</v>
      </c>
      <c r="B139" s="1072" t="s">
        <v>2029</v>
      </c>
      <c r="C139" s="1074">
        <v>0</v>
      </c>
      <c r="D139" s="1074">
        <v>-32615.99</v>
      </c>
      <c r="E139" s="1074">
        <v>-32615.99</v>
      </c>
      <c r="F139" s="1072" t="s">
        <v>285</v>
      </c>
      <c r="G139" s="1072" t="s">
        <v>2029</v>
      </c>
      <c r="H139" s="1073"/>
      <c r="I139" s="1073"/>
      <c r="J139" s="1073"/>
      <c r="K139" s="1073"/>
      <c r="L139" s="153" t="str">
        <f t="shared" si="10"/>
        <v>4135</v>
      </c>
      <c r="M139" s="154" t="str">
        <f t="shared" si="11"/>
        <v>VTE - EGOLF</v>
      </c>
      <c r="N139" s="155">
        <f>+IF(OR($Q139=Parametres!$G$2,$Q139=Parametres!$G$3),I139,C139)</f>
        <v>0</v>
      </c>
      <c r="O139" s="155">
        <f>+IF(OR($Q139=Parametres!$G$2,$Q139=Parametres!$G$3),J139,D139)</f>
        <v>-32615.99</v>
      </c>
      <c r="P139" s="155">
        <f>+IF(OR($Q139=Parametres!$G$2,$Q139=Parametres!$G$3),K139,E139)</f>
        <v>-32615.99</v>
      </c>
      <c r="Q139" s="154" t="str">
        <f t="shared" si="12"/>
        <v>5-Ventes</v>
      </c>
      <c r="R139" s="153" t="str">
        <f t="shared" si="13"/>
        <v>4135</v>
      </c>
      <c r="S139" s="154">
        <f t="shared" si="14"/>
        <v>0</v>
      </c>
      <c r="T139" s="156" t="str">
        <f>+VLOOKUP($L139,Data_Validation!$A:$D,1,0)</f>
        <v>4135</v>
      </c>
      <c r="U139" s="156" t="str">
        <f>+VLOOKUP($L139,Data_Validation!$A:$D,3,0)</f>
        <v>Véhicules neufs</v>
      </c>
      <c r="V139" s="156" t="str">
        <f>+VLOOKUP($L139,Data_Validation!$A:$D,4,0)</f>
        <v>Autos détail</v>
      </c>
      <c r="W139" s="156" t="str">
        <f>+VLOOKUP($L139,Data_Validation!$A:$E,5,0)</f>
        <v>$</v>
      </c>
      <c r="X139" s="156" t="str">
        <f>+VLOOKUP($L139,Data_Validation!$A:$F,6,0)</f>
        <v>Oui</v>
      </c>
    </row>
    <row r="140" spans="1:24" ht="15" hidden="1" customHeight="1">
      <c r="A140" s="1072" t="s">
        <v>2504</v>
      </c>
      <c r="B140" s="1072" t="s">
        <v>2505</v>
      </c>
      <c r="C140" s="1073"/>
      <c r="D140" s="1073"/>
      <c r="E140" s="1073"/>
      <c r="F140" s="1072" t="s">
        <v>4</v>
      </c>
      <c r="G140" s="1072" t="s">
        <v>2506</v>
      </c>
      <c r="H140" s="1073"/>
      <c r="I140" s="1074">
        <v>0</v>
      </c>
      <c r="J140" s="1074">
        <v>-1</v>
      </c>
      <c r="K140" s="1074">
        <v>-1</v>
      </c>
      <c r="L140" s="153" t="str">
        <f t="shared" si="10"/>
        <v>4135@</v>
      </c>
      <c r="M140" s="154" t="str">
        <f t="shared" si="11"/>
        <v>UNITES VENDUES - EGOLF</v>
      </c>
      <c r="N140" s="155">
        <f>+IF(OR($Q140=Parametres!$G$2,$Q140=Parametres!$G$3),I140,C140)</f>
        <v>0</v>
      </c>
      <c r="O140" s="155">
        <f>+IF(OR($Q140=Parametres!$G$2,$Q140=Parametres!$G$3),J140,D140)</f>
        <v>-1</v>
      </c>
      <c r="P140" s="155">
        <f>+IF(OR($Q140=Parametres!$G$2,$Q140=Parametres!$G$3),K140,E140)</f>
        <v>-1</v>
      </c>
      <c r="Q140" s="154" t="str">
        <f t="shared" si="12"/>
        <v>10-Compte compteur</v>
      </c>
      <c r="R140" s="153" t="str">
        <f t="shared" si="13"/>
        <v>84135</v>
      </c>
      <c r="S140" s="154">
        <f t="shared" si="14"/>
        <v>0</v>
      </c>
      <c r="T140" s="156" t="str">
        <f>+VLOOKUP($L140,Data_Validation!$A:$D,1,0)</f>
        <v>4135@</v>
      </c>
      <c r="U140" s="156" t="str">
        <f>+VLOOKUP($L140,Data_Validation!$A:$D,3,0)</f>
        <v>Véhicules neufs</v>
      </c>
      <c r="V140" s="156" t="str">
        <f>+VLOOKUP($L140,Data_Validation!$A:$D,4,0)</f>
        <v>Autos détail</v>
      </c>
      <c r="W140" s="156" t="str">
        <f>+VLOOKUP($L140,Data_Validation!$A:$E,5,0)</f>
        <v>NB</v>
      </c>
      <c r="X140" s="156">
        <f>+VLOOKUP($L140,Data_Validation!$A:$F,6,0)</f>
        <v>0</v>
      </c>
    </row>
    <row r="141" spans="1:24" ht="15" hidden="1" customHeight="1">
      <c r="A141" s="1072" t="s">
        <v>2441</v>
      </c>
      <c r="B141" s="1072" t="s">
        <v>2442</v>
      </c>
      <c r="C141" s="1074">
        <v>0</v>
      </c>
      <c r="D141" s="1074">
        <v>-69248</v>
      </c>
      <c r="E141" s="1074">
        <v>-69248</v>
      </c>
      <c r="F141" s="1072" t="s">
        <v>285</v>
      </c>
      <c r="G141" s="1072" t="s">
        <v>2442</v>
      </c>
      <c r="H141" s="1073"/>
      <c r="I141" s="1073"/>
      <c r="J141" s="1073"/>
      <c r="K141" s="1073"/>
      <c r="L141" s="153" t="str">
        <f t="shared" si="10"/>
        <v>4137</v>
      </c>
      <c r="M141" s="154" t="str">
        <f t="shared" si="11"/>
        <v>VTE - VW-FLOTTE/VENTES ENTR/EMPLOYE/VEH DEMON</v>
      </c>
      <c r="N141" s="155">
        <f>+IF(OR($Q141=Parametres!$G$2,$Q141=Parametres!$G$3),I141,C141)</f>
        <v>0</v>
      </c>
      <c r="O141" s="155">
        <f>+IF(OR($Q141=Parametres!$G$2,$Q141=Parametres!$G$3),J141,D141)</f>
        <v>-69248</v>
      </c>
      <c r="P141" s="155">
        <f>+IF(OR($Q141=Parametres!$G$2,$Q141=Parametres!$G$3),K141,E141)</f>
        <v>-69248</v>
      </c>
      <c r="Q141" s="154" t="str">
        <f t="shared" si="12"/>
        <v>5-Ventes</v>
      </c>
      <c r="R141" s="153" t="str">
        <f t="shared" si="13"/>
        <v>4137</v>
      </c>
      <c r="S141" s="154">
        <f t="shared" si="14"/>
        <v>0</v>
      </c>
      <c r="T141" s="156" t="str">
        <f>+VLOOKUP($L141,Data_Validation!$A:$D,1,0)</f>
        <v>4137</v>
      </c>
      <c r="U141" s="156" t="str">
        <f>+VLOOKUP($L141,Data_Validation!$A:$D,3,0)</f>
        <v>Véhicules neufs</v>
      </c>
      <c r="V141" s="156" t="str">
        <f>+VLOOKUP($L141,Data_Validation!$A:$D,4,0)</f>
        <v>Ex-Démos et courtoisies</v>
      </c>
      <c r="W141" s="156" t="str">
        <f>+VLOOKUP($L141,Data_Validation!$A:$E,5,0)</f>
        <v>$</v>
      </c>
      <c r="X141" s="156" t="str">
        <f>+VLOOKUP($L141,Data_Validation!$A:$F,6,0)</f>
        <v>Oui</v>
      </c>
    </row>
    <row r="142" spans="1:24" ht="15" hidden="1" customHeight="1">
      <c r="A142" s="1072" t="s">
        <v>2507</v>
      </c>
      <c r="B142" s="1072" t="s">
        <v>2508</v>
      </c>
      <c r="C142" s="1073"/>
      <c r="D142" s="1073"/>
      <c r="E142" s="1073"/>
      <c r="F142" s="1072" t="s">
        <v>4</v>
      </c>
      <c r="G142" s="1072" t="s">
        <v>2442</v>
      </c>
      <c r="H142" s="1073"/>
      <c r="I142" s="1074">
        <v>0</v>
      </c>
      <c r="J142" s="1074">
        <v>-2</v>
      </c>
      <c r="K142" s="1074">
        <v>-2</v>
      </c>
      <c r="L142" s="153" t="str">
        <f t="shared" si="10"/>
        <v>4137@</v>
      </c>
      <c r="M142" s="154" t="str">
        <f t="shared" si="11"/>
        <v>VW FLOTTE/VENTE ENTR/EMPLOYE/VEH DEMONST</v>
      </c>
      <c r="N142" s="155">
        <f>+IF(OR($Q142=Parametres!$G$2,$Q142=Parametres!$G$3),I142,C142)</f>
        <v>0</v>
      </c>
      <c r="O142" s="155">
        <f>+IF(OR($Q142=Parametres!$G$2,$Q142=Parametres!$G$3),J142,D142)</f>
        <v>-2</v>
      </c>
      <c r="P142" s="155">
        <f>+IF(OR($Q142=Parametres!$G$2,$Q142=Parametres!$G$3),K142,E142)</f>
        <v>-2</v>
      </c>
      <c r="Q142" s="154" t="str">
        <f t="shared" si="12"/>
        <v>10-Compte compteur</v>
      </c>
      <c r="R142" s="153" t="str">
        <f t="shared" si="13"/>
        <v>4137</v>
      </c>
      <c r="S142" s="154">
        <f t="shared" si="14"/>
        <v>0</v>
      </c>
      <c r="T142" s="156" t="str">
        <f>+VLOOKUP($L142,Data_Validation!$A:$D,1,0)</f>
        <v>4137@</v>
      </c>
      <c r="U142" s="156" t="str">
        <f>+VLOOKUP($L142,Data_Validation!$A:$D,3,0)</f>
        <v>Véhicules neufs</v>
      </c>
      <c r="V142" s="156" t="str">
        <f>+VLOOKUP($L142,Data_Validation!$A:$D,4,0)</f>
        <v>Ex-Démos et courtoisies</v>
      </c>
      <c r="W142" s="156" t="str">
        <f>+VLOOKUP($L142,Data_Validation!$A:$E,5,0)</f>
        <v>NB</v>
      </c>
      <c r="X142" s="156">
        <f>+VLOOKUP($L142,Data_Validation!$A:$F,6,0)</f>
        <v>0</v>
      </c>
    </row>
    <row r="143" spans="1:24" ht="15.75" hidden="1" customHeight="1">
      <c r="A143" s="1072" t="s">
        <v>2004</v>
      </c>
      <c r="B143" s="1072" t="s">
        <v>2005</v>
      </c>
      <c r="C143" s="1074">
        <v>0</v>
      </c>
      <c r="D143" s="1074">
        <v>-89531.76</v>
      </c>
      <c r="E143" s="1074">
        <v>-89531.76</v>
      </c>
      <c r="F143" s="1072" t="s">
        <v>285</v>
      </c>
      <c r="G143" s="1072" t="s">
        <v>2005</v>
      </c>
      <c r="H143" s="1073"/>
      <c r="I143" s="1073"/>
      <c r="J143" s="1073"/>
      <c r="K143" s="1073"/>
      <c r="L143" s="153" t="str">
        <f t="shared" si="10"/>
        <v>4139</v>
      </c>
      <c r="M143" s="154" t="str">
        <f t="shared" si="11"/>
        <v>VTE - VW FLOTTE/VENTE ENTR/EMPLOYE/VEH DEMONS</v>
      </c>
      <c r="N143" s="155">
        <f>+IF(OR($Q143=Parametres!$G$2,$Q143=Parametres!$G$3),I143,C143)</f>
        <v>0</v>
      </c>
      <c r="O143" s="155">
        <f>+IF(OR($Q143=Parametres!$G$2,$Q143=Parametres!$G$3),J143,D143)</f>
        <v>-89531.76</v>
      </c>
      <c r="P143" s="155">
        <f>+IF(OR($Q143=Parametres!$G$2,$Q143=Parametres!$G$3),K143,E143)</f>
        <v>-89531.76</v>
      </c>
      <c r="Q143" s="154" t="str">
        <f t="shared" si="12"/>
        <v>5-Ventes</v>
      </c>
      <c r="R143" s="153" t="str">
        <f t="shared" si="13"/>
        <v>4139</v>
      </c>
      <c r="S143" s="154">
        <f t="shared" si="14"/>
        <v>0</v>
      </c>
      <c r="T143" s="156" t="str">
        <f>+VLOOKUP($L143,Data_Validation!$A:$D,1,0)</f>
        <v>4139</v>
      </c>
      <c r="U143" s="156" t="str">
        <f>+VLOOKUP($L143,Data_Validation!$A:$D,3,0)</f>
        <v>Véhicules neufs</v>
      </c>
      <c r="V143" s="156" t="str">
        <f>+VLOOKUP($L143,Data_Validation!$A:$D,4,0)</f>
        <v>Ex-Démos et courtoisies</v>
      </c>
      <c r="W143" s="156" t="str">
        <f>+VLOOKUP($L143,Data_Validation!$A:$E,5,0)</f>
        <v>$</v>
      </c>
      <c r="X143" s="156" t="str">
        <f>+VLOOKUP($L143,Data_Validation!$A:$F,6,0)</f>
        <v>Oui</v>
      </c>
    </row>
    <row r="144" spans="1:24" ht="15" hidden="1" customHeight="1">
      <c r="A144" s="1072" t="s">
        <v>2509</v>
      </c>
      <c r="B144" s="1072" t="s">
        <v>2510</v>
      </c>
      <c r="C144" s="1073"/>
      <c r="D144" s="1073"/>
      <c r="E144" s="1073"/>
      <c r="F144" s="1072" t="s">
        <v>4</v>
      </c>
      <c r="G144" s="1072" t="s">
        <v>2005</v>
      </c>
      <c r="H144" s="1073"/>
      <c r="I144" s="1074">
        <v>0</v>
      </c>
      <c r="J144" s="1074">
        <v>-2</v>
      </c>
      <c r="K144" s="1074">
        <v>-2</v>
      </c>
      <c r="L144" s="153" t="str">
        <f t="shared" si="10"/>
        <v>4139@</v>
      </c>
      <c r="M144" s="154" t="str">
        <f t="shared" si="11"/>
        <v>VENTES A PARK AVENUE LOCATION</v>
      </c>
      <c r="N144" s="155">
        <f>+IF(OR($Q144=Parametres!$G$2,$Q144=Parametres!$G$3),I144,C144)</f>
        <v>0</v>
      </c>
      <c r="O144" s="155">
        <f>+IF(OR($Q144=Parametres!$G$2,$Q144=Parametres!$G$3),J144,D144)</f>
        <v>-2</v>
      </c>
      <c r="P144" s="155">
        <f>+IF(OR($Q144=Parametres!$G$2,$Q144=Parametres!$G$3),K144,E144)</f>
        <v>-2</v>
      </c>
      <c r="Q144" s="154" t="str">
        <f t="shared" si="12"/>
        <v>10-Compte compteur</v>
      </c>
      <c r="R144" s="153" t="str">
        <f t="shared" si="13"/>
        <v>4139</v>
      </c>
      <c r="S144" s="154">
        <f t="shared" si="14"/>
        <v>0</v>
      </c>
      <c r="T144" s="156" t="str">
        <f>+VLOOKUP($L144,Data_Validation!$A:$D,1,0)</f>
        <v>4139@</v>
      </c>
      <c r="U144" s="156" t="str">
        <f>+VLOOKUP($L144,Data_Validation!$A:$D,3,0)</f>
        <v>Véhicules neufs</v>
      </c>
      <c r="V144" s="156" t="str">
        <f>+VLOOKUP($L144,Data_Validation!$A:$D,4,0)</f>
        <v>Ex-Démos et courtoisies</v>
      </c>
      <c r="W144" s="156" t="str">
        <f>+VLOOKUP($L144,Data_Validation!$A:$E,5,0)</f>
        <v>NB</v>
      </c>
      <c r="X144" s="156">
        <f>+VLOOKUP($L144,Data_Validation!$A:$F,6,0)</f>
        <v>0</v>
      </c>
    </row>
    <row r="145" spans="1:24" ht="15" hidden="1" customHeight="1">
      <c r="A145" s="1072" t="s">
        <v>2000</v>
      </c>
      <c r="B145" s="1072" t="s">
        <v>2001</v>
      </c>
      <c r="C145" s="1074">
        <v>0</v>
      </c>
      <c r="D145" s="1074">
        <v>-305714</v>
      </c>
      <c r="E145" s="1074">
        <v>-305714</v>
      </c>
      <c r="F145" s="1072" t="s">
        <v>285</v>
      </c>
      <c r="G145" s="1072" t="s">
        <v>2001</v>
      </c>
      <c r="H145" s="1073"/>
      <c r="I145" s="1073"/>
      <c r="J145" s="1073"/>
      <c r="K145" s="1073"/>
      <c r="L145" s="153" t="str">
        <f t="shared" si="10"/>
        <v>4201</v>
      </c>
      <c r="M145" s="154" t="str">
        <f t="shared" si="11"/>
        <v>VTE - VEH.USAGE VW DETAIL CERTIFIE</v>
      </c>
      <c r="N145" s="155">
        <f>+IF(OR($Q145=Parametres!$G$2,$Q145=Parametres!$G$3),I145,C145)</f>
        <v>0</v>
      </c>
      <c r="O145" s="155">
        <f>+IF(OR($Q145=Parametres!$G$2,$Q145=Parametres!$G$3),J145,D145)</f>
        <v>-305714</v>
      </c>
      <c r="P145" s="155">
        <f>+IF(OR($Q145=Parametres!$G$2,$Q145=Parametres!$G$3),K145,E145)</f>
        <v>-305714</v>
      </c>
      <c r="Q145" s="154" t="str">
        <f t="shared" si="12"/>
        <v>5-Ventes</v>
      </c>
      <c r="R145" s="153" t="str">
        <f t="shared" si="13"/>
        <v>4201</v>
      </c>
      <c r="S145" s="154">
        <f t="shared" si="14"/>
        <v>0</v>
      </c>
      <c r="T145" s="156" t="str">
        <f>+VLOOKUP($L145,Data_Validation!$A:$D,1,0)</f>
        <v>4201</v>
      </c>
      <c r="U145" s="156" t="str">
        <f>+VLOOKUP($L145,Data_Validation!$A:$D,3,0)</f>
        <v>Véhicules usagés</v>
      </c>
      <c r="V145" s="156" t="str">
        <f>+VLOOKUP($L145,Data_Validation!$A:$D,4,0)</f>
        <v>Certifié</v>
      </c>
      <c r="W145" s="156" t="str">
        <f>+VLOOKUP($L145,Data_Validation!$A:$E,5,0)</f>
        <v>$</v>
      </c>
      <c r="X145" s="156" t="str">
        <f>+VLOOKUP($L145,Data_Validation!$A:$F,6,0)</f>
        <v>Oui</v>
      </c>
    </row>
    <row r="146" spans="1:24" ht="15" hidden="1" customHeight="1">
      <c r="A146" s="1072" t="s">
        <v>2511</v>
      </c>
      <c r="B146" s="1072" t="s">
        <v>2512</v>
      </c>
      <c r="C146" s="1073"/>
      <c r="D146" s="1073"/>
      <c r="E146" s="1073"/>
      <c r="F146" s="1072" t="s">
        <v>4</v>
      </c>
      <c r="G146" s="1072" t="s">
        <v>2001</v>
      </c>
      <c r="H146" s="1073"/>
      <c r="I146" s="1074">
        <v>0</v>
      </c>
      <c r="J146" s="1074">
        <v>-14</v>
      </c>
      <c r="K146" s="1074">
        <v>-14</v>
      </c>
      <c r="L146" s="153" t="str">
        <f t="shared" si="10"/>
        <v>4201@</v>
      </c>
      <c r="M146" s="154" t="str">
        <f t="shared" si="11"/>
        <v># DE VTE - VEH.USAGE VW DET.CERT.</v>
      </c>
      <c r="N146" s="155">
        <f>+IF(OR($Q146=Parametres!$G$2,$Q146=Parametres!$G$3),I146,C146)</f>
        <v>0</v>
      </c>
      <c r="O146" s="155">
        <f>+IF(OR($Q146=Parametres!$G$2,$Q146=Parametres!$G$3),J146,D146)</f>
        <v>-14</v>
      </c>
      <c r="P146" s="155">
        <f>+IF(OR($Q146=Parametres!$G$2,$Q146=Parametres!$G$3),K146,E146)</f>
        <v>-14</v>
      </c>
      <c r="Q146" s="154" t="str">
        <f t="shared" si="12"/>
        <v>10-Compte compteur</v>
      </c>
      <c r="R146" s="153" t="str">
        <f t="shared" si="13"/>
        <v>4201</v>
      </c>
      <c r="S146" s="154">
        <f t="shared" si="14"/>
        <v>0</v>
      </c>
      <c r="T146" s="156" t="str">
        <f>+VLOOKUP($L146,Data_Validation!$A:$D,1,0)</f>
        <v>4201@</v>
      </c>
      <c r="U146" s="156" t="str">
        <f>+VLOOKUP($L146,Data_Validation!$A:$D,3,0)</f>
        <v>Véhicules usagés</v>
      </c>
      <c r="V146" s="156" t="str">
        <f>+VLOOKUP($L146,Data_Validation!$A:$D,4,0)</f>
        <v>Certifié</v>
      </c>
      <c r="W146" s="156" t="str">
        <f>+VLOOKUP($L146,Data_Validation!$A:$E,5,0)</f>
        <v>NB</v>
      </c>
      <c r="X146" s="156">
        <f>+VLOOKUP($L146,Data_Validation!$A:$F,6,0)</f>
        <v>0</v>
      </c>
    </row>
    <row r="147" spans="1:24" ht="15" hidden="1" customHeight="1">
      <c r="A147" s="1072" t="s">
        <v>2038</v>
      </c>
      <c r="B147" s="1072" t="s">
        <v>2039</v>
      </c>
      <c r="C147" s="1074">
        <v>0</v>
      </c>
      <c r="D147" s="1074">
        <v>-28930</v>
      </c>
      <c r="E147" s="1074">
        <v>-28930</v>
      </c>
      <c r="F147" s="1072" t="s">
        <v>285</v>
      </c>
      <c r="G147" s="1072" t="s">
        <v>2040</v>
      </c>
      <c r="H147" s="1073"/>
      <c r="I147" s="1073"/>
      <c r="J147" s="1073"/>
      <c r="K147" s="1073"/>
      <c r="L147" s="153" t="str">
        <f t="shared" si="10"/>
        <v>4285</v>
      </c>
      <c r="M147" s="154" t="str">
        <f t="shared" si="11"/>
        <v>VEH. D'OCC. AUTRE DETAIL</v>
      </c>
      <c r="N147" s="155">
        <f>+IF(OR($Q147=Parametres!$G$2,$Q147=Parametres!$G$3),I147,C147)</f>
        <v>0</v>
      </c>
      <c r="O147" s="155">
        <f>+IF(OR($Q147=Parametres!$G$2,$Q147=Parametres!$G$3),J147,D147)</f>
        <v>-28930</v>
      </c>
      <c r="P147" s="155">
        <f>+IF(OR($Q147=Parametres!$G$2,$Q147=Parametres!$G$3),K147,E147)</f>
        <v>-28930</v>
      </c>
      <c r="Q147" s="154" t="str">
        <f t="shared" si="12"/>
        <v>5-Ventes</v>
      </c>
      <c r="R147" s="153" t="str">
        <f t="shared" si="13"/>
        <v>4261</v>
      </c>
      <c r="S147" s="154">
        <f t="shared" si="14"/>
        <v>0</v>
      </c>
      <c r="T147" s="156" t="str">
        <f>+VLOOKUP($L147,Data_Validation!$A:$D,1,0)</f>
        <v>4285</v>
      </c>
      <c r="U147" s="156" t="str">
        <f>+VLOOKUP($L147,Data_Validation!$A:$D,3,0)</f>
        <v>Véhicules usagés</v>
      </c>
      <c r="V147" s="156" t="str">
        <f>+VLOOKUP($L147,Data_Validation!$A:$D,4,0)</f>
        <v>Non Certifié</v>
      </c>
      <c r="W147" s="156" t="str">
        <f>+VLOOKUP($L147,Data_Validation!$A:$E,5,0)</f>
        <v>$</v>
      </c>
      <c r="X147" s="156" t="str">
        <f>+VLOOKUP($L147,Data_Validation!$A:$F,6,0)</f>
        <v>Oui</v>
      </c>
    </row>
    <row r="148" spans="1:24" ht="15" hidden="1" customHeight="1">
      <c r="A148" s="1072" t="s">
        <v>2515</v>
      </c>
      <c r="B148" s="1072" t="s">
        <v>2516</v>
      </c>
      <c r="C148" s="1073"/>
      <c r="D148" s="1073"/>
      <c r="E148" s="1073"/>
      <c r="F148" s="1072" t="s">
        <v>4</v>
      </c>
      <c r="G148" s="1072" t="s">
        <v>2040</v>
      </c>
      <c r="H148" s="1073"/>
      <c r="I148" s="1074">
        <v>0</v>
      </c>
      <c r="J148" s="1074">
        <v>-1</v>
      </c>
      <c r="K148" s="1074">
        <v>-1</v>
      </c>
      <c r="L148" s="153" t="str">
        <f t="shared" si="10"/>
        <v>4285@</v>
      </c>
      <c r="M148" s="154" t="str">
        <f t="shared" si="11"/>
        <v>AUTRE MARQUES DETAIL - USAGE</v>
      </c>
      <c r="N148" s="155">
        <f>+IF(OR($Q148=Parametres!$G$2,$Q148=Parametres!$G$3),I148,C148)</f>
        <v>0</v>
      </c>
      <c r="O148" s="608">
        <f>+IF(OR($Q148=Parametres!$G$2,$Q148=Parametres!$G$3),J148,D148)</f>
        <v>-1</v>
      </c>
      <c r="P148" s="155">
        <f>+IF(OR($Q148=Parametres!$G$2,$Q148=Parametres!$G$3),K148,E148)</f>
        <v>-1</v>
      </c>
      <c r="Q148" s="154" t="str">
        <f t="shared" si="12"/>
        <v>10-Compte compteur</v>
      </c>
      <c r="R148" s="153" t="str">
        <f t="shared" si="13"/>
        <v>4261</v>
      </c>
      <c r="S148" s="154">
        <f t="shared" si="14"/>
        <v>0</v>
      </c>
      <c r="T148" s="156" t="str">
        <f>+VLOOKUP($L148,Data_Validation!$A:$D,1,0)</f>
        <v>4285@</v>
      </c>
      <c r="U148" s="156" t="str">
        <f>+VLOOKUP($L148,Data_Validation!$A:$D,3,0)</f>
        <v>Véhicules usagés</v>
      </c>
      <c r="V148" s="156" t="str">
        <f>+VLOOKUP($L148,Data_Validation!$A:$D,4,0)</f>
        <v>Non Certifié</v>
      </c>
      <c r="W148" s="156" t="str">
        <f>+VLOOKUP($L148,Data_Validation!$A:$E,5,0)</f>
        <v>NB</v>
      </c>
      <c r="X148" s="156">
        <f>+VLOOKUP($L148,Data_Validation!$A:$F,6,0)</f>
        <v>0</v>
      </c>
    </row>
    <row r="149" spans="1:24" ht="15" hidden="1" customHeight="1">
      <c r="A149" s="1072" t="s">
        <v>2006</v>
      </c>
      <c r="B149" s="1072" t="s">
        <v>2007</v>
      </c>
      <c r="C149" s="1074">
        <v>0</v>
      </c>
      <c r="D149" s="1074">
        <v>-156150</v>
      </c>
      <c r="E149" s="1074">
        <v>-156150</v>
      </c>
      <c r="F149" s="1072" t="s">
        <v>285</v>
      </c>
      <c r="G149" s="1072" t="s">
        <v>2008</v>
      </c>
      <c r="H149" s="1073"/>
      <c r="I149" s="1073"/>
      <c r="J149" s="1073"/>
      <c r="K149" s="1073"/>
      <c r="L149" s="153" t="str">
        <f t="shared" si="10"/>
        <v>4291</v>
      </c>
      <c r="M149" s="154" t="str">
        <f t="shared" si="11"/>
        <v>VEH. D'OCC. AU GROS</v>
      </c>
      <c r="N149" s="155">
        <f>+IF(OR($Q149=Parametres!$G$2,$Q149=Parametres!$G$3),I149,C149)</f>
        <v>0</v>
      </c>
      <c r="O149" s="155">
        <f>+IF(OR($Q149=Parametres!$G$2,$Q149=Parametres!$G$3),J149,D149)</f>
        <v>-156150</v>
      </c>
      <c r="P149" s="155">
        <f>+IF(OR($Q149=Parametres!$G$2,$Q149=Parametres!$G$3),K149,E149)</f>
        <v>-156150</v>
      </c>
      <c r="Q149" s="154" t="str">
        <f t="shared" si="12"/>
        <v>5-Ventes</v>
      </c>
      <c r="R149" s="153" t="str">
        <f t="shared" si="13"/>
        <v>4281</v>
      </c>
      <c r="S149" s="154">
        <f t="shared" si="14"/>
        <v>0</v>
      </c>
      <c r="T149" s="156" t="str">
        <f>+VLOOKUP($L149,Data_Validation!$A:$D,1,0)</f>
        <v>4291</v>
      </c>
      <c r="U149" s="156" t="str">
        <f>+VLOOKUP($L149,Data_Validation!$A:$D,3,0)</f>
        <v>Véhicules usagés</v>
      </c>
      <c r="V149" s="156" t="str">
        <f>+VLOOKUP($L149,Data_Validation!$A:$D,4,0)</f>
        <v>Ventes au Gros</v>
      </c>
      <c r="W149" s="156" t="str">
        <f>+VLOOKUP($L149,Data_Validation!$A:$E,5,0)</f>
        <v>$</v>
      </c>
      <c r="X149" s="156" t="str">
        <f>+VLOOKUP($L149,Data_Validation!$A:$F,6,0)</f>
        <v>Oui</v>
      </c>
    </row>
    <row r="150" spans="1:24" ht="15" hidden="1" customHeight="1">
      <c r="A150" s="1072" t="s">
        <v>2517</v>
      </c>
      <c r="B150" s="1072" t="s">
        <v>2518</v>
      </c>
      <c r="C150" s="1073"/>
      <c r="D150" s="1073"/>
      <c r="E150" s="1073"/>
      <c r="F150" s="1072" t="s">
        <v>4</v>
      </c>
      <c r="G150" s="1072" t="s">
        <v>2008</v>
      </c>
      <c r="H150" s="1073"/>
      <c r="I150" s="1074">
        <v>0</v>
      </c>
      <c r="J150" s="1074">
        <v>-20</v>
      </c>
      <c r="K150" s="1074">
        <v>-20</v>
      </c>
      <c r="L150" s="153" t="str">
        <f t="shared" si="10"/>
        <v>4291@</v>
      </c>
      <c r="M150" s="154" t="str">
        <f t="shared" si="11"/>
        <v>VENTE AU GROS - USAGES</v>
      </c>
      <c r="N150" s="155">
        <f>+IF(OR($Q150=Parametres!$G$2,$Q150=Parametres!$G$3),I150,C150)</f>
        <v>0</v>
      </c>
      <c r="O150" s="155">
        <f>+IF(OR($Q150=Parametres!$G$2,$Q150=Parametres!$G$3),J150,D150)</f>
        <v>-20</v>
      </c>
      <c r="P150" s="155">
        <f>+IF(OR($Q150=Parametres!$G$2,$Q150=Parametres!$G$3),K150,E150)</f>
        <v>-20</v>
      </c>
      <c r="Q150" s="154" t="str">
        <f t="shared" si="12"/>
        <v>10-Compte compteur</v>
      </c>
      <c r="R150" s="153" t="str">
        <f t="shared" si="13"/>
        <v>4281</v>
      </c>
      <c r="S150" s="154">
        <f t="shared" si="14"/>
        <v>0</v>
      </c>
      <c r="T150" s="156" t="str">
        <f>+VLOOKUP($L150,Data_Validation!$A:$D,1,0)</f>
        <v>4291@</v>
      </c>
      <c r="U150" s="156" t="str">
        <f>+VLOOKUP($L150,Data_Validation!$A:$D,3,0)</f>
        <v>Véhicules usagés</v>
      </c>
      <c r="V150" s="156" t="str">
        <f>+VLOOKUP($L150,Data_Validation!$A:$D,4,0)</f>
        <v>Ventes au Gros</v>
      </c>
      <c r="W150" s="156" t="str">
        <f>+VLOOKUP($L150,Data_Validation!$A:$E,5,0)</f>
        <v>NB</v>
      </c>
      <c r="X150" s="156">
        <f>+VLOOKUP($L150,Data_Validation!$A:$F,6,0)</f>
        <v>0</v>
      </c>
    </row>
    <row r="151" spans="1:24" ht="15.75" hidden="1" customHeight="1">
      <c r="A151" s="1072" t="s">
        <v>2011</v>
      </c>
      <c r="B151" s="1072" t="s">
        <v>2012</v>
      </c>
      <c r="C151" s="1074">
        <v>0</v>
      </c>
      <c r="D151" s="1074">
        <v>-51106.96</v>
      </c>
      <c r="E151" s="1074">
        <v>-51106.96</v>
      </c>
      <c r="F151" s="1072" t="s">
        <v>285</v>
      </c>
      <c r="G151" s="1072" t="s">
        <v>2012</v>
      </c>
      <c r="H151" s="1073"/>
      <c r="I151" s="1073"/>
      <c r="J151" s="1073"/>
      <c r="K151" s="1073"/>
      <c r="L151" s="153" t="str">
        <f t="shared" si="10"/>
        <v>4401</v>
      </c>
      <c r="M151" s="154" t="str">
        <f t="shared" si="11"/>
        <v>M.O. MECANIQUE-VENTE CLIENTS</v>
      </c>
      <c r="N151" s="155">
        <f>+IF(OR($Q151=Parametres!$G$2,$Q151=Parametres!$G$3),I151,C151)</f>
        <v>0</v>
      </c>
      <c r="O151" s="155">
        <f>+IF(OR($Q151=Parametres!$G$2,$Q151=Parametres!$G$3),J151,D151)</f>
        <v>-51106.96</v>
      </c>
      <c r="P151" s="155">
        <f>+IF(OR($Q151=Parametres!$G$2,$Q151=Parametres!$G$3),K151,E151)</f>
        <v>-51106.96</v>
      </c>
      <c r="Q151" s="154" t="str">
        <f t="shared" si="12"/>
        <v>5-Ventes</v>
      </c>
      <c r="R151" s="153" t="str">
        <f t="shared" si="13"/>
        <v>4401</v>
      </c>
      <c r="S151" s="154">
        <f t="shared" si="14"/>
        <v>0</v>
      </c>
      <c r="T151" s="156" t="str">
        <f>+VLOOKUP($L151,Data_Validation!$A:$D,1,0)</f>
        <v>4401</v>
      </c>
      <c r="U151" s="156" t="str">
        <f>+VLOOKUP($L151,Data_Validation!$A:$D,3,0)</f>
        <v>Service</v>
      </c>
      <c r="V151" s="156" t="str">
        <f>+VLOOKUP($L151,Data_Validation!$A:$D,4,0)</f>
        <v>M/O Client</v>
      </c>
      <c r="W151" s="156" t="str">
        <f>+VLOOKUP($L151,Data_Validation!$A:$E,5,0)</f>
        <v>$</v>
      </c>
      <c r="X151" s="156" t="str">
        <f>+VLOOKUP($L151,Data_Validation!$A:$F,6,0)</f>
        <v>Oui</v>
      </c>
    </row>
    <row r="152" spans="1:24" ht="15" hidden="1" customHeight="1">
      <c r="A152" s="1072" t="s">
        <v>2011</v>
      </c>
      <c r="B152" s="1072" t="s">
        <v>2519</v>
      </c>
      <c r="C152" s="1073"/>
      <c r="D152" s="1073"/>
      <c r="E152" s="1073"/>
      <c r="F152" s="1072" t="s">
        <v>4</v>
      </c>
      <c r="G152" s="1072" t="s">
        <v>2012</v>
      </c>
      <c r="H152" s="1073"/>
      <c r="I152" s="1074">
        <v>0</v>
      </c>
      <c r="J152" s="1074">
        <v>-214</v>
      </c>
      <c r="K152" s="1074">
        <v>-214</v>
      </c>
      <c r="L152" s="153" t="str">
        <f t="shared" si="10"/>
        <v>4401@</v>
      </c>
      <c r="M152" s="154" t="str">
        <f t="shared" si="11"/>
        <v>M.O. MECANIQUE-VENTE CLIENTS</v>
      </c>
      <c r="N152" s="155">
        <f>+IF(OR($Q152=Parametres!$G$2,$Q152=Parametres!$G$3),I152,C152)</f>
        <v>0</v>
      </c>
      <c r="O152" s="155">
        <f>+IF(OR($Q152=Parametres!$G$2,$Q152=Parametres!$G$3),J152,D152)</f>
        <v>-214</v>
      </c>
      <c r="P152" s="155">
        <f>+IF(OR($Q152=Parametres!$G$2,$Q152=Parametres!$G$3),K152,E152)</f>
        <v>-214</v>
      </c>
      <c r="Q152" s="154" t="str">
        <f t="shared" si="12"/>
        <v>10-Compte compteur</v>
      </c>
      <c r="R152" s="153" t="str">
        <f t="shared" si="13"/>
        <v>4401</v>
      </c>
      <c r="S152" s="154">
        <f t="shared" si="14"/>
        <v>0</v>
      </c>
      <c r="T152" s="156" t="str">
        <f>+VLOOKUP($L152,Data_Validation!$A:$D,1,0)</f>
        <v>4401@</v>
      </c>
      <c r="U152" s="156" t="str">
        <f>+VLOOKUP($L152,Data_Validation!$A:$D,3,0)</f>
        <v>Service</v>
      </c>
      <c r="V152" s="156" t="str">
        <f>+VLOOKUP($L152,Data_Validation!$A:$D,4,0)</f>
        <v>M/O Client</v>
      </c>
      <c r="W152" s="156" t="str">
        <f>+VLOOKUP($L152,Data_Validation!$A:$E,5,0)</f>
        <v>NB</v>
      </c>
      <c r="X152" s="156">
        <f>+VLOOKUP($L152,Data_Validation!$A:$F,6,0)</f>
        <v>0</v>
      </c>
    </row>
    <row r="153" spans="1:24" ht="15" hidden="1" customHeight="1">
      <c r="A153" s="1072" t="s">
        <v>2041</v>
      </c>
      <c r="B153" s="1072" t="s">
        <v>2042</v>
      </c>
      <c r="C153" s="1074">
        <v>0</v>
      </c>
      <c r="D153" s="1074">
        <v>-68701.34</v>
      </c>
      <c r="E153" s="1074">
        <v>-68701.34</v>
      </c>
      <c r="F153" s="1072" t="s">
        <v>285</v>
      </c>
      <c r="G153" s="1072" t="s">
        <v>2042</v>
      </c>
      <c r="H153" s="1073"/>
      <c r="I153" s="1073"/>
      <c r="J153" s="1073"/>
      <c r="K153" s="1073"/>
      <c r="L153" s="153" t="str">
        <f t="shared" si="10"/>
        <v>4403</v>
      </c>
      <c r="M153" s="154" t="str">
        <f t="shared" si="11"/>
        <v>M.O. MECANIQUE-VENTE GAR. MANU</v>
      </c>
      <c r="N153" s="155">
        <f>+IF(OR($Q153=Parametres!$G$2,$Q153=Parametres!$G$3),I153,C153)</f>
        <v>0</v>
      </c>
      <c r="O153" s="155">
        <f>+IF(OR($Q153=Parametres!$G$2,$Q153=Parametres!$G$3),J153,D153)</f>
        <v>-68701.34</v>
      </c>
      <c r="P153" s="155">
        <f>+IF(OR($Q153=Parametres!$G$2,$Q153=Parametres!$G$3),K153,E153)</f>
        <v>-68701.34</v>
      </c>
      <c r="Q153" s="154" t="str">
        <f t="shared" si="12"/>
        <v>5-Ventes</v>
      </c>
      <c r="R153" s="153" t="str">
        <f t="shared" si="13"/>
        <v>4403</v>
      </c>
      <c r="S153" s="154">
        <f t="shared" si="14"/>
        <v>0</v>
      </c>
      <c r="T153" s="156" t="str">
        <f>+VLOOKUP($L153,Data_Validation!$A:$D,1,0)</f>
        <v>4403</v>
      </c>
      <c r="U153" s="156" t="str">
        <f>+VLOOKUP($L153,Data_Validation!$A:$D,3,0)</f>
        <v>Service</v>
      </c>
      <c r="V153" s="156" t="str">
        <f>+VLOOKUP($L153,Data_Validation!$A:$D,4,0)</f>
        <v>M/O Garantie</v>
      </c>
      <c r="W153" s="156" t="str">
        <f>+VLOOKUP($L153,Data_Validation!$A:$E,5,0)</f>
        <v>$</v>
      </c>
      <c r="X153" s="156" t="str">
        <f>+VLOOKUP($L153,Data_Validation!$A:$F,6,0)</f>
        <v>Oui</v>
      </c>
    </row>
    <row r="154" spans="1:24" ht="15" hidden="1" customHeight="1">
      <c r="A154" s="1072" t="s">
        <v>2041</v>
      </c>
      <c r="B154" s="1072" t="s">
        <v>2522</v>
      </c>
      <c r="C154" s="1073"/>
      <c r="D154" s="1073"/>
      <c r="E154" s="1073"/>
      <c r="F154" s="1072" t="s">
        <v>4</v>
      </c>
      <c r="G154" s="1072" t="s">
        <v>2042</v>
      </c>
      <c r="H154" s="1073"/>
      <c r="I154" s="1074">
        <v>0</v>
      </c>
      <c r="J154" s="1074">
        <v>-294</v>
      </c>
      <c r="K154" s="1074">
        <v>-294</v>
      </c>
      <c r="L154" s="153" t="str">
        <f t="shared" si="10"/>
        <v>4403@</v>
      </c>
      <c r="M154" s="154" t="str">
        <f t="shared" si="11"/>
        <v>M.O. MECANIQUE-VENTE GAR. MANU</v>
      </c>
      <c r="N154" s="155">
        <f>+IF(OR($Q154=Parametres!$G$2,$Q154=Parametres!$G$3),I154,C154)</f>
        <v>0</v>
      </c>
      <c r="O154" s="155">
        <f>+IF(OR($Q154=Parametres!$G$2,$Q154=Parametres!$G$3),J154,D154)</f>
        <v>-294</v>
      </c>
      <c r="P154" s="155">
        <f>+IF(OR($Q154=Parametres!$G$2,$Q154=Parametres!$G$3),K154,E154)</f>
        <v>-294</v>
      </c>
      <c r="Q154" s="154" t="str">
        <f t="shared" si="12"/>
        <v>10-Compte compteur</v>
      </c>
      <c r="R154" s="153" t="str">
        <f t="shared" si="13"/>
        <v>4403</v>
      </c>
      <c r="S154" s="154">
        <f t="shared" si="14"/>
        <v>0</v>
      </c>
      <c r="T154" s="156" t="str">
        <f>+VLOOKUP($L154,Data_Validation!$A:$D,1,0)</f>
        <v>4403@</v>
      </c>
      <c r="U154" s="156" t="str">
        <f>+VLOOKUP($L154,Data_Validation!$A:$D,3,0)</f>
        <v>Service</v>
      </c>
      <c r="V154" s="156" t="str">
        <f>+VLOOKUP($L154,Data_Validation!$A:$D,4,0)</f>
        <v>M/O Garantie</v>
      </c>
      <c r="W154" s="156" t="str">
        <f>+VLOOKUP($L154,Data_Validation!$A:$E,5,0)</f>
        <v>NB</v>
      </c>
      <c r="X154" s="156">
        <f>+VLOOKUP($L154,Data_Validation!$A:$F,6,0)</f>
        <v>0</v>
      </c>
    </row>
    <row r="155" spans="1:24" ht="15.75" hidden="1" customHeight="1">
      <c r="A155" s="1072" t="s">
        <v>2051</v>
      </c>
      <c r="B155" s="1072" t="s">
        <v>2052</v>
      </c>
      <c r="C155" s="1074">
        <v>0</v>
      </c>
      <c r="D155" s="1074">
        <v>-30514.99</v>
      </c>
      <c r="E155" s="1074">
        <v>-30514.99</v>
      </c>
      <c r="F155" s="1072" t="s">
        <v>285</v>
      </c>
      <c r="G155" s="1072" t="s">
        <v>2052</v>
      </c>
      <c r="H155" s="1073"/>
      <c r="I155" s="1073"/>
      <c r="J155" s="1073"/>
      <c r="K155" s="1073"/>
      <c r="L155" s="153" t="str">
        <f t="shared" si="10"/>
        <v>4405</v>
      </c>
      <c r="M155" s="154" t="str">
        <f t="shared" si="11"/>
        <v>M.O. MECANIQUE-VENTE INTERNE</v>
      </c>
      <c r="N155" s="155">
        <f>+IF(OR($Q155=Parametres!$G$2,$Q155=Parametres!$G$3),I155,C155)</f>
        <v>0</v>
      </c>
      <c r="O155" s="155">
        <f>+IF(OR($Q155=Parametres!$G$2,$Q155=Parametres!$G$3),J155,D155)</f>
        <v>-30514.99</v>
      </c>
      <c r="P155" s="155">
        <f>+IF(OR($Q155=Parametres!$G$2,$Q155=Parametres!$G$3),K155,E155)</f>
        <v>-30514.99</v>
      </c>
      <c r="Q155" s="154" t="str">
        <f t="shared" si="12"/>
        <v>5-Ventes</v>
      </c>
      <c r="R155" s="153" t="str">
        <f t="shared" si="13"/>
        <v>4405</v>
      </c>
      <c r="S155" s="154">
        <f t="shared" si="14"/>
        <v>0</v>
      </c>
      <c r="T155" s="156" t="str">
        <f>+VLOOKUP($L155,Data_Validation!$A:$D,1,0)</f>
        <v>4405</v>
      </c>
      <c r="U155" s="156" t="str">
        <f>+VLOOKUP($L155,Data_Validation!$A:$D,3,0)</f>
        <v>Service</v>
      </c>
      <c r="V155" s="156" t="str">
        <f>+VLOOKUP($L155,Data_Validation!$A:$D,4,0)</f>
        <v>M/O Interne</v>
      </c>
      <c r="W155" s="156" t="str">
        <f>+VLOOKUP($L155,Data_Validation!$A:$E,5,0)</f>
        <v>$</v>
      </c>
      <c r="X155" s="156" t="str">
        <f>+VLOOKUP($L155,Data_Validation!$A:$F,6,0)</f>
        <v>Oui</v>
      </c>
    </row>
    <row r="156" spans="1:24" ht="15" hidden="1" customHeight="1">
      <c r="A156" s="1072" t="s">
        <v>2051</v>
      </c>
      <c r="B156" s="1072" t="s">
        <v>2523</v>
      </c>
      <c r="C156" s="1073"/>
      <c r="D156" s="1073"/>
      <c r="E156" s="1073"/>
      <c r="F156" s="1072" t="s">
        <v>4</v>
      </c>
      <c r="G156" s="1072" t="s">
        <v>2052</v>
      </c>
      <c r="H156" s="1073"/>
      <c r="I156" s="1074">
        <v>0</v>
      </c>
      <c r="J156" s="1074">
        <v>-166</v>
      </c>
      <c r="K156" s="1074">
        <v>-166</v>
      </c>
      <c r="L156" s="153" t="str">
        <f t="shared" si="10"/>
        <v>4405@</v>
      </c>
      <c r="M156" s="154" t="str">
        <f t="shared" si="11"/>
        <v>M.O. MECANIQUE-VENTE INTERNE</v>
      </c>
      <c r="N156" s="155">
        <f>+IF(OR($Q156=Parametres!$G$2,$Q156=Parametres!$G$3),I156,C156)</f>
        <v>0</v>
      </c>
      <c r="O156" s="155">
        <f>+IF(OR($Q156=Parametres!$G$2,$Q156=Parametres!$G$3),J156,D156)</f>
        <v>-166</v>
      </c>
      <c r="P156" s="155">
        <f>+IF(OR($Q156=Parametres!$G$2,$Q156=Parametres!$G$3),K156,E156)</f>
        <v>-166</v>
      </c>
      <c r="Q156" s="154" t="str">
        <f t="shared" si="12"/>
        <v>10-Compte compteur</v>
      </c>
      <c r="R156" s="153" t="str">
        <f t="shared" si="13"/>
        <v>4405</v>
      </c>
      <c r="S156" s="154">
        <f t="shared" si="14"/>
        <v>0</v>
      </c>
      <c r="T156" s="156" t="str">
        <f>+VLOOKUP($L156,Data_Validation!$A:$D,1,0)</f>
        <v>4405@</v>
      </c>
      <c r="U156" s="156" t="str">
        <f>+VLOOKUP($L156,Data_Validation!$A:$D,3,0)</f>
        <v>Service</v>
      </c>
      <c r="V156" s="156" t="str">
        <f>+VLOOKUP($L156,Data_Validation!$A:$D,4,0)</f>
        <v>M/O Interne</v>
      </c>
      <c r="W156" s="156" t="str">
        <f>+VLOOKUP($L156,Data_Validation!$A:$E,5,0)</f>
        <v>NB</v>
      </c>
      <c r="X156" s="156">
        <f>+VLOOKUP($L156,Data_Validation!$A:$F,6,0)</f>
        <v>0</v>
      </c>
    </row>
    <row r="157" spans="1:24" ht="15" hidden="1" customHeight="1">
      <c r="A157" s="1072" t="s">
        <v>2071</v>
      </c>
      <c r="B157" s="1072" t="s">
        <v>2072</v>
      </c>
      <c r="C157" s="1074">
        <v>0</v>
      </c>
      <c r="D157" s="1074">
        <v>-11296.55</v>
      </c>
      <c r="E157" s="1074">
        <v>-11296.55</v>
      </c>
      <c r="F157" s="1072" t="s">
        <v>285</v>
      </c>
      <c r="G157" s="1072" t="s">
        <v>2073</v>
      </c>
      <c r="H157" s="1073"/>
      <c r="I157" s="1073"/>
      <c r="J157" s="1073"/>
      <c r="K157" s="1073"/>
      <c r="L157" s="153" t="str">
        <f t="shared" si="10"/>
        <v>4451</v>
      </c>
      <c r="M157" s="154" t="str">
        <f t="shared" si="11"/>
        <v>CARBURANT/HUILE/GRAISSE</v>
      </c>
      <c r="N157" s="155">
        <f>+IF(OR($Q157=Parametres!$G$2,$Q157=Parametres!$G$3),I157,C157)</f>
        <v>0</v>
      </c>
      <c r="O157" s="155">
        <f>+IF(OR($Q157=Parametres!$G$2,$Q157=Parametres!$G$3),J157,D157)</f>
        <v>-11296.55</v>
      </c>
      <c r="P157" s="155">
        <f>+IF(OR($Q157=Parametres!$G$2,$Q157=Parametres!$G$3),K157,E157)</f>
        <v>-11296.55</v>
      </c>
      <c r="Q157" s="154" t="str">
        <f t="shared" si="12"/>
        <v>5-Ventes</v>
      </c>
      <c r="R157" s="153" t="str">
        <f t="shared" si="13"/>
        <v>4782</v>
      </c>
      <c r="S157" s="154">
        <f t="shared" si="14"/>
        <v>0</v>
      </c>
      <c r="T157" s="156" t="str">
        <f>+VLOOKUP($L157,Data_Validation!$A:$D,1,0)</f>
        <v>4451</v>
      </c>
      <c r="U157" s="156" t="str">
        <f>+VLOOKUP($L157,Data_Validation!$A:$D,3,0)</f>
        <v>Pièces</v>
      </c>
      <c r="V157" s="156" t="str">
        <f>+VLOOKUP($L157,Data_Validation!$A:$D,4,0)</f>
        <v>Huiles et Graisse</v>
      </c>
      <c r="W157" s="156" t="str">
        <f>+VLOOKUP($L157,Data_Validation!$A:$E,5,0)</f>
        <v>$</v>
      </c>
      <c r="X157" s="156" t="str">
        <f>+VLOOKUP($L157,Data_Validation!$A:$F,6,0)</f>
        <v>Oui</v>
      </c>
    </row>
    <row r="158" spans="1:24" ht="15" hidden="1" customHeight="1">
      <c r="A158" s="1072" t="s">
        <v>2071</v>
      </c>
      <c r="B158" s="1072" t="s">
        <v>2526</v>
      </c>
      <c r="C158" s="1073"/>
      <c r="D158" s="1073"/>
      <c r="E158" s="1073"/>
      <c r="F158" s="1072" t="s">
        <v>4</v>
      </c>
      <c r="G158" s="1072" t="s">
        <v>2073</v>
      </c>
      <c r="H158" s="1073"/>
      <c r="I158" s="1074">
        <v>0</v>
      </c>
      <c r="J158" s="1074">
        <v>-192</v>
      </c>
      <c r="K158" s="1074">
        <v>-192</v>
      </c>
      <c r="L158" s="153" t="str">
        <f t="shared" si="10"/>
        <v>4451@</v>
      </c>
      <c r="M158" s="154" t="str">
        <f t="shared" si="11"/>
        <v>CARBURANT/HUILE/GRAISSE</v>
      </c>
      <c r="N158" s="155">
        <f>+IF(OR($Q158=Parametres!$G$2,$Q158=Parametres!$G$3),I158,C158)</f>
        <v>0</v>
      </c>
      <c r="O158" s="155">
        <f>+IF(OR($Q158=Parametres!$G$2,$Q158=Parametres!$G$3),J158,D158)</f>
        <v>-192</v>
      </c>
      <c r="P158" s="155">
        <f>+IF(OR($Q158=Parametres!$G$2,$Q158=Parametres!$G$3),K158,E158)</f>
        <v>-192</v>
      </c>
      <c r="Q158" s="154" t="str">
        <f t="shared" si="12"/>
        <v>10-Compte compteur</v>
      </c>
      <c r="R158" s="153" t="str">
        <f t="shared" si="13"/>
        <v>4782</v>
      </c>
      <c r="S158" s="154">
        <f t="shared" si="14"/>
        <v>0</v>
      </c>
      <c r="T158" s="156" t="str">
        <f>+VLOOKUP($L158,Data_Validation!$A:$D,1,0)</f>
        <v>4451@</v>
      </c>
      <c r="U158" s="156" t="str">
        <f>+VLOOKUP($L158,Data_Validation!$A:$D,3,0)</f>
        <v>Pièces</v>
      </c>
      <c r="V158" s="156" t="str">
        <f>+VLOOKUP($L158,Data_Validation!$A:$D,4,0)</f>
        <v>Huiles et Graisse</v>
      </c>
      <c r="W158" s="156" t="str">
        <f>+VLOOKUP($L158,Data_Validation!$A:$E,5,0)</f>
        <v>NB</v>
      </c>
      <c r="X158" s="156">
        <f>+VLOOKUP($L158,Data_Validation!$A:$F,6,0)</f>
        <v>0</v>
      </c>
    </row>
    <row r="159" spans="1:24" ht="15.75" hidden="1" customHeight="1">
      <c r="A159" s="1072" t="s">
        <v>2144</v>
      </c>
      <c r="B159" s="1072" t="s">
        <v>2145</v>
      </c>
      <c r="C159" s="1074">
        <v>0</v>
      </c>
      <c r="D159" s="1074">
        <v>-543.95000000000005</v>
      </c>
      <c r="E159" s="1074">
        <v>-543.95000000000005</v>
      </c>
      <c r="F159" s="1072" t="s">
        <v>285</v>
      </c>
      <c r="G159" s="1072" t="s">
        <v>2145</v>
      </c>
      <c r="H159" s="1073"/>
      <c r="I159" s="1073"/>
      <c r="J159" s="1073"/>
      <c r="K159" s="1073"/>
      <c r="L159" s="153" t="str">
        <f t="shared" si="10"/>
        <v>4491</v>
      </c>
      <c r="M159" s="154" t="str">
        <f t="shared" si="11"/>
        <v>REPARATION SOUS-LOC. - GENERAL</v>
      </c>
      <c r="N159" s="155">
        <f>+IF(OR($Q159=Parametres!$G$2,$Q159=Parametres!$G$3),I159,C159)</f>
        <v>0</v>
      </c>
      <c r="O159" s="608">
        <f>+IF(OR($Q159=Parametres!$G$2,$Q159=Parametres!$G$3),J159,D159)</f>
        <v>-543.95000000000005</v>
      </c>
      <c r="P159" s="155">
        <f>+IF(OR($Q159=Parametres!$G$2,$Q159=Parametres!$G$3),K159,E159)</f>
        <v>-543.95000000000005</v>
      </c>
      <c r="Q159" s="154" t="str">
        <f t="shared" si="12"/>
        <v>5-Ventes</v>
      </c>
      <c r="R159" s="153" t="str">
        <f t="shared" si="13"/>
        <v>4491</v>
      </c>
      <c r="S159" s="154">
        <f t="shared" si="14"/>
        <v>0</v>
      </c>
      <c r="T159" s="156" t="str">
        <f>+VLOOKUP($L159,Data_Validation!$A:$D,1,0)</f>
        <v>4491</v>
      </c>
      <c r="U159" s="156" t="str">
        <f>+VLOOKUP($L159,Data_Validation!$A:$D,3,0)</f>
        <v>Service</v>
      </c>
      <c r="V159" s="156" t="str">
        <f>+VLOOKUP($L159,Data_Validation!$A:$D,4,0)</f>
        <v>Sous-traitement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hidden="1" customHeight="1">
      <c r="A160" s="1072" t="s">
        <v>2144</v>
      </c>
      <c r="B160" s="1072" t="s">
        <v>2527</v>
      </c>
      <c r="C160" s="1073"/>
      <c r="D160" s="1073"/>
      <c r="E160" s="1073"/>
      <c r="F160" s="1072" t="s">
        <v>4</v>
      </c>
      <c r="G160" s="1072" t="s">
        <v>2145</v>
      </c>
      <c r="H160" s="1073"/>
      <c r="I160" s="1074">
        <v>0</v>
      </c>
      <c r="J160" s="1074">
        <v>-2</v>
      </c>
      <c r="K160" s="1074">
        <v>-2</v>
      </c>
      <c r="L160" s="153" t="str">
        <f t="shared" si="10"/>
        <v>4491@</v>
      </c>
      <c r="M160" s="154" t="str">
        <f t="shared" si="11"/>
        <v>REPARATION SOUS-LOC. - GENERAL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2"/>
        <v>10-Compte compteur</v>
      </c>
      <c r="R160" s="153" t="str">
        <f t="shared" si="13"/>
        <v>4491</v>
      </c>
      <c r="S160" s="154">
        <f t="shared" si="14"/>
        <v>0</v>
      </c>
      <c r="T160" s="156" t="str">
        <f>+VLOOKUP($L160,Data_Validation!$A:$D,1,0)</f>
        <v>4491@</v>
      </c>
      <c r="U160" s="156" t="str">
        <f>+VLOOKUP($L160,Data_Validation!$A:$D,3,0)</f>
        <v>Service</v>
      </c>
      <c r="V160" s="156" t="str">
        <f>+VLOOKUP($L160,Data_Validation!$A:$D,4,0)</f>
        <v>Sous-traitement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hidden="1" customHeight="1">
      <c r="A161" s="1072" t="s">
        <v>2167</v>
      </c>
      <c r="B161" s="1072" t="s">
        <v>2168</v>
      </c>
      <c r="C161" s="1074">
        <v>0</v>
      </c>
      <c r="D161" s="1074">
        <v>-855</v>
      </c>
      <c r="E161" s="1074">
        <v>-855</v>
      </c>
      <c r="F161" s="1072" t="s">
        <v>285</v>
      </c>
      <c r="G161" s="1072" t="s">
        <v>2168</v>
      </c>
      <c r="H161" s="1073"/>
      <c r="I161" s="1073"/>
      <c r="J161" s="1073"/>
      <c r="K161" s="1073"/>
      <c r="L161" s="153" t="str">
        <f t="shared" si="10"/>
        <v>4493</v>
      </c>
      <c r="M161" s="154" t="str">
        <f t="shared" si="11"/>
        <v>VTE - SOUS-TRAITANCE GARANTIE</v>
      </c>
      <c r="N161" s="155">
        <f>+IF(OR($Q161=Parametres!$G$2,$Q161=Parametres!$G$3),I161,C161)</f>
        <v>0</v>
      </c>
      <c r="O161" s="155">
        <f>+IF(OR($Q161=Parametres!$G$2,$Q161=Parametres!$G$3),J161,D161)</f>
        <v>-855</v>
      </c>
      <c r="P161" s="155">
        <f>+IF(OR($Q161=Parametres!$G$2,$Q161=Parametres!$G$3),K161,E161)</f>
        <v>-855</v>
      </c>
      <c r="Q161" s="154" t="str">
        <f t="shared" si="12"/>
        <v>5-Ventes</v>
      </c>
      <c r="R161" s="153" t="str">
        <f t="shared" si="13"/>
        <v>4493</v>
      </c>
      <c r="S161" s="154">
        <f t="shared" si="14"/>
        <v>0</v>
      </c>
      <c r="T161" s="156" t="str">
        <f>+VLOOKUP($L161,Data_Validation!$A:$D,1,0)</f>
        <v>4493</v>
      </c>
      <c r="U161" s="156" t="str">
        <f>+VLOOKUP($L161,Data_Validation!$A:$D,3,0)</f>
        <v>Service</v>
      </c>
      <c r="V161" s="156" t="str">
        <f>+VLOOKUP($L161,Data_Validation!$A:$D,4,0)</f>
        <v>Sous-traitement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hidden="1" customHeight="1">
      <c r="A162" s="1072" t="s">
        <v>2528</v>
      </c>
      <c r="B162" s="1072" t="s">
        <v>2529</v>
      </c>
      <c r="C162" s="1073"/>
      <c r="D162" s="1073"/>
      <c r="E162" s="1073"/>
      <c r="F162" s="1072" t="s">
        <v>4</v>
      </c>
      <c r="G162" s="1072" t="s">
        <v>2168</v>
      </c>
      <c r="H162" s="1073"/>
      <c r="I162" s="1074">
        <v>0</v>
      </c>
      <c r="J162" s="1074">
        <v>-2</v>
      </c>
      <c r="K162" s="1074">
        <v>-2</v>
      </c>
      <c r="L162" s="153" t="str">
        <f t="shared" si="10"/>
        <v>4493@</v>
      </c>
      <c r="M162" s="154" t="str">
        <f t="shared" si="11"/>
        <v># DE VTE - SOUS-TRAITANCE GARANTIE</v>
      </c>
      <c r="N162" s="155">
        <f>+IF(OR($Q162=Parametres!$G$2,$Q162=Parametres!$G$3),I162,C162)</f>
        <v>0</v>
      </c>
      <c r="O162" s="155">
        <f>+IF(OR($Q162=Parametres!$G$2,$Q162=Parametres!$G$3),J162,D162)</f>
        <v>-2</v>
      </c>
      <c r="P162" s="155">
        <f>+IF(OR($Q162=Parametres!$G$2,$Q162=Parametres!$G$3),K162,E162)</f>
        <v>-2</v>
      </c>
      <c r="Q162" s="154" t="str">
        <f t="shared" si="12"/>
        <v>10-Compte compteur</v>
      </c>
      <c r="R162" s="153" t="str">
        <f t="shared" si="13"/>
        <v>4493</v>
      </c>
      <c r="S162" s="154">
        <f t="shared" si="14"/>
        <v>0</v>
      </c>
      <c r="T162" s="156" t="str">
        <f>+VLOOKUP($L162,Data_Validation!$A:$D,1,0)</f>
        <v>4493@</v>
      </c>
      <c r="U162" s="156" t="str">
        <f>+VLOOKUP($L162,Data_Validation!$A:$D,3,0)</f>
        <v>Service</v>
      </c>
      <c r="V162" s="156" t="str">
        <f>+VLOOKUP($L162,Data_Validation!$A:$D,4,0)</f>
        <v>Sous-traitement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hidden="1" customHeight="1">
      <c r="A163" s="1072" t="s">
        <v>2086</v>
      </c>
      <c r="B163" s="1072" t="s">
        <v>2087</v>
      </c>
      <c r="C163" s="1074">
        <v>0</v>
      </c>
      <c r="D163" s="1074">
        <v>-6456.25</v>
      </c>
      <c r="E163" s="1074">
        <v>-6456.25</v>
      </c>
      <c r="F163" s="1072" t="s">
        <v>285</v>
      </c>
      <c r="G163" s="1072" t="s">
        <v>2087</v>
      </c>
      <c r="H163" s="1073"/>
      <c r="I163" s="1073"/>
      <c r="J163" s="1073"/>
      <c r="K163" s="1073"/>
      <c r="L163" s="153" t="str">
        <f t="shared" si="10"/>
        <v>4495</v>
      </c>
      <c r="M163" s="154" t="str">
        <f t="shared" si="11"/>
        <v>VTE - S-TRAITANCE MEC.INTERNE VW</v>
      </c>
      <c r="N163" s="155">
        <f>+IF(OR($Q163=Parametres!$G$2,$Q163=Parametres!$G$3),I163,C163)</f>
        <v>0</v>
      </c>
      <c r="O163" s="155">
        <f>+IF(OR($Q163=Parametres!$G$2,$Q163=Parametres!$G$3),J163,D163)</f>
        <v>-6456.25</v>
      </c>
      <c r="P163" s="155">
        <f>+IF(OR($Q163=Parametres!$G$2,$Q163=Parametres!$G$3),K163,E163)</f>
        <v>-6456.25</v>
      </c>
      <c r="Q163" s="154" t="str">
        <f t="shared" si="12"/>
        <v>5-Ventes</v>
      </c>
      <c r="R163" s="153" t="str">
        <f t="shared" si="13"/>
        <v>4495</v>
      </c>
      <c r="S163" s="154">
        <f t="shared" si="14"/>
        <v>0</v>
      </c>
      <c r="T163" s="156" t="str">
        <f>+VLOOKUP($L163,Data_Validation!$A:$D,1,0)</f>
        <v>4495</v>
      </c>
      <c r="U163" s="156" t="str">
        <f>+VLOOKUP($L163,Data_Validation!$A:$D,3,0)</f>
        <v>Service</v>
      </c>
      <c r="V163" s="156" t="str">
        <f>+VLOOKUP($L163,Data_Validation!$A:$D,4,0)</f>
        <v>Sous-traitement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hidden="1" customHeight="1">
      <c r="A164" s="1072" t="s">
        <v>2530</v>
      </c>
      <c r="B164" s="1072" t="s">
        <v>2531</v>
      </c>
      <c r="C164" s="1073"/>
      <c r="D164" s="1073"/>
      <c r="E164" s="1073"/>
      <c r="F164" s="1072" t="s">
        <v>4</v>
      </c>
      <c r="G164" s="1072" t="s">
        <v>2087</v>
      </c>
      <c r="H164" s="1073"/>
      <c r="I164" s="1074">
        <v>0</v>
      </c>
      <c r="J164" s="1074">
        <v>-24</v>
      </c>
      <c r="K164" s="1074">
        <v>-24</v>
      </c>
      <c r="L164" s="153" t="str">
        <f t="shared" si="10"/>
        <v>4495@</v>
      </c>
      <c r="M164" s="154" t="str">
        <f t="shared" si="11"/>
        <v># DE VTE - S-TRAITANCE MEC.INTERNE VW</v>
      </c>
      <c r="N164" s="155">
        <f>+IF(OR($Q164=Parametres!$G$2,$Q164=Parametres!$G$3),I164,C164)</f>
        <v>0</v>
      </c>
      <c r="O164" s="155">
        <f>+IF(OR($Q164=Parametres!$G$2,$Q164=Parametres!$G$3),J164,D164)</f>
        <v>-24</v>
      </c>
      <c r="P164" s="155">
        <f>+IF(OR($Q164=Parametres!$G$2,$Q164=Parametres!$G$3),K164,E164)</f>
        <v>-24</v>
      </c>
      <c r="Q164" s="154" t="str">
        <f t="shared" si="12"/>
        <v>10-Compte compteur</v>
      </c>
      <c r="R164" s="153" t="str">
        <f t="shared" si="13"/>
        <v>4495</v>
      </c>
      <c r="S164" s="154">
        <f t="shared" si="14"/>
        <v>0</v>
      </c>
      <c r="T164" s="156" t="str">
        <f>+VLOOKUP($L164,Data_Validation!$A:$D,1,0)</f>
        <v>4495@</v>
      </c>
      <c r="U164" s="156" t="str">
        <f>+VLOOKUP($L164,Data_Validation!$A:$D,3,0)</f>
        <v>Service</v>
      </c>
      <c r="V164" s="156" t="str">
        <f>+VLOOKUP($L164,Data_Validation!$A:$D,4,0)</f>
        <v>Sous-traitement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hidden="1" customHeight="1">
      <c r="A165" s="1072" t="s">
        <v>2069</v>
      </c>
      <c r="B165" s="1072" t="s">
        <v>2070</v>
      </c>
      <c r="C165" s="1074">
        <v>0</v>
      </c>
      <c r="D165" s="1074">
        <v>-28211.86</v>
      </c>
      <c r="E165" s="1074">
        <v>-28211.86</v>
      </c>
      <c r="F165" s="1072" t="s">
        <v>285</v>
      </c>
      <c r="G165" s="1072" t="s">
        <v>2070</v>
      </c>
      <c r="H165" s="1073"/>
      <c r="I165" s="1073"/>
      <c r="J165" s="1073"/>
      <c r="K165" s="1073"/>
      <c r="L165" s="153" t="str">
        <f t="shared" si="10"/>
        <v>4591</v>
      </c>
      <c r="M165" s="154" t="str">
        <f t="shared" si="11"/>
        <v>VTE - S-TRAIT. CARR.</v>
      </c>
      <c r="N165" s="155">
        <f>+IF(OR($Q165=Parametres!$G$2,$Q165=Parametres!$G$3),I165,C165)</f>
        <v>0</v>
      </c>
      <c r="O165" s="608">
        <f>+IF(OR($Q165=Parametres!$G$2,$Q165=Parametres!$G$3),J165,D165)</f>
        <v>-28211.86</v>
      </c>
      <c r="P165" s="155">
        <f>+IF(OR($Q165=Parametres!$G$2,$Q165=Parametres!$G$3),K165,E165)</f>
        <v>-28211.86</v>
      </c>
      <c r="Q165" s="154" t="str">
        <f t="shared" si="12"/>
        <v>5-Ventes</v>
      </c>
      <c r="R165" s="153" t="str">
        <f t="shared" si="13"/>
        <v>4591</v>
      </c>
      <c r="S165" s="154">
        <f t="shared" si="14"/>
        <v>0</v>
      </c>
      <c r="T165" s="156" t="str">
        <f>+VLOOKUP($L165,Data_Validation!$A:$D,1,0)</f>
        <v>4591</v>
      </c>
      <c r="U165" s="156" t="str">
        <f>+VLOOKUP($L165,Data_Validation!$A:$D,3,0)</f>
        <v>Carrosserie</v>
      </c>
      <c r="V165" s="156" t="str">
        <f>+VLOOKUP($L165,Data_Validation!$A:$D,4,0)</f>
        <v>M/O Sous-traitement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hidden="1" customHeight="1">
      <c r="A166" s="1072" t="s">
        <v>2532</v>
      </c>
      <c r="B166" s="1072" t="s">
        <v>2533</v>
      </c>
      <c r="C166" s="1073"/>
      <c r="D166" s="1073"/>
      <c r="E166" s="1073"/>
      <c r="F166" s="1072" t="s">
        <v>4</v>
      </c>
      <c r="G166" s="1072" t="s">
        <v>2070</v>
      </c>
      <c r="H166" s="1073"/>
      <c r="I166" s="1074">
        <v>0</v>
      </c>
      <c r="J166" s="1074">
        <v>-17</v>
      </c>
      <c r="K166" s="1074">
        <v>-17</v>
      </c>
      <c r="L166" s="153" t="str">
        <f t="shared" si="10"/>
        <v>4591@</v>
      </c>
      <c r="M166" s="154" t="str">
        <f t="shared" si="11"/>
        <v>REPARATION SOUS-LOC.-PEINT/DEB</v>
      </c>
      <c r="N166" s="155">
        <f>+IF(OR($Q166=Parametres!$G$2,$Q166=Parametres!$G$3),I166,C166)</f>
        <v>0</v>
      </c>
      <c r="O166" s="155">
        <f>+IF(OR($Q166=Parametres!$G$2,$Q166=Parametres!$G$3),J166,D166)</f>
        <v>-17</v>
      </c>
      <c r="P166" s="155">
        <f>+IF(OR($Q166=Parametres!$G$2,$Q166=Parametres!$G$3),K166,E166)</f>
        <v>-17</v>
      </c>
      <c r="Q166" s="154" t="str">
        <f t="shared" si="12"/>
        <v>10-Compte compteur</v>
      </c>
      <c r="R166" s="153" t="str">
        <f t="shared" si="13"/>
        <v>4591</v>
      </c>
      <c r="S166" s="154">
        <f t="shared" si="14"/>
        <v>0</v>
      </c>
      <c r="T166" s="156" t="str">
        <f>+VLOOKUP($L166,Data_Validation!$A:$D,1,0)</f>
        <v>4591@</v>
      </c>
      <c r="U166" s="156" t="str">
        <f>+VLOOKUP($L166,Data_Validation!$A:$D,3,0)</f>
        <v>Carrosserie</v>
      </c>
      <c r="V166" s="156" t="str">
        <f>+VLOOKUP($L166,Data_Validation!$A:$D,4,0)</f>
        <v>M/O Sous-traitement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hidden="1" customHeight="1">
      <c r="A167" s="1072" t="s">
        <v>2067</v>
      </c>
      <c r="B167" s="1072" t="s">
        <v>2068</v>
      </c>
      <c r="C167" s="1074">
        <v>0</v>
      </c>
      <c r="D167" s="1074">
        <v>-73390.06</v>
      </c>
      <c r="E167" s="1074">
        <v>-73390.06</v>
      </c>
      <c r="F167" s="1072" t="s">
        <v>285</v>
      </c>
      <c r="G167" s="1072" t="s">
        <v>2068</v>
      </c>
      <c r="H167" s="1073"/>
      <c r="I167" s="1073"/>
      <c r="J167" s="1073"/>
      <c r="K167" s="1073"/>
      <c r="L167" s="153" t="str">
        <f t="shared" si="10"/>
        <v>4593</v>
      </c>
      <c r="M167" s="154" t="str">
        <f t="shared" si="11"/>
        <v>VTE - SOUS-TRAITANCE GARANTIE CARR.</v>
      </c>
      <c r="N167" s="155">
        <f>+IF(OR($Q167=Parametres!$G$2,$Q167=Parametres!$G$3),I167,C167)</f>
        <v>0</v>
      </c>
      <c r="O167" s="608">
        <f>+IF(OR($Q167=Parametres!$G$2,$Q167=Parametres!$G$3),J167,D167)</f>
        <v>-73390.06</v>
      </c>
      <c r="P167" s="155">
        <f>+IF(OR($Q167=Parametres!$G$2,$Q167=Parametres!$G$3),K167,E167)</f>
        <v>-73390.06</v>
      </c>
      <c r="Q167" s="154" t="str">
        <f t="shared" si="12"/>
        <v>5-Ventes</v>
      </c>
      <c r="R167" s="153" t="str">
        <f t="shared" si="13"/>
        <v>4593</v>
      </c>
      <c r="S167" s="154">
        <f t="shared" si="14"/>
        <v>0</v>
      </c>
      <c r="T167" s="156" t="str">
        <f>+VLOOKUP($L167,Data_Validation!$A:$D,1,0)</f>
        <v>4593</v>
      </c>
      <c r="U167" s="156" t="str">
        <f>+VLOOKUP($L167,Data_Validation!$A:$D,3,0)</f>
        <v>Carrosserie</v>
      </c>
      <c r="V167" s="156" t="str">
        <f>+VLOOKUP($L167,Data_Validation!$A:$D,4,0)</f>
        <v>M/O Sous-traitement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hidden="1" customHeight="1">
      <c r="A168" s="1072" t="s">
        <v>2534</v>
      </c>
      <c r="B168" s="1072" t="s">
        <v>2535</v>
      </c>
      <c r="C168" s="1073"/>
      <c r="D168" s="1073"/>
      <c r="E168" s="1073"/>
      <c r="F168" s="1072" t="s">
        <v>4</v>
      </c>
      <c r="G168" s="1072" t="s">
        <v>2068</v>
      </c>
      <c r="H168" s="1073"/>
      <c r="I168" s="1074">
        <v>0</v>
      </c>
      <c r="J168" s="1074">
        <v>-34</v>
      </c>
      <c r="K168" s="1074">
        <v>-34</v>
      </c>
      <c r="L168" s="153" t="str">
        <f t="shared" si="10"/>
        <v>4593@</v>
      </c>
      <c r="M168" s="154" t="str">
        <f t="shared" si="11"/>
        <v># DE VTE - S-TRAITANCE GAR.CARR.</v>
      </c>
      <c r="N168" s="155">
        <f>+IF(OR($Q168=Parametres!$G$2,$Q168=Parametres!$G$3),I168,C168)</f>
        <v>0</v>
      </c>
      <c r="O168" s="155">
        <f>+IF(OR($Q168=Parametres!$G$2,$Q168=Parametres!$G$3),J168,D168)</f>
        <v>-34</v>
      </c>
      <c r="P168" s="155">
        <f>+IF(OR($Q168=Parametres!$G$2,$Q168=Parametres!$G$3),K168,E168)</f>
        <v>-34</v>
      </c>
      <c r="Q168" s="154" t="str">
        <f t="shared" si="12"/>
        <v>10-Compte compteur</v>
      </c>
      <c r="R168" s="153" t="str">
        <f t="shared" si="13"/>
        <v>4593</v>
      </c>
      <c r="S168" s="154">
        <f t="shared" si="14"/>
        <v>0</v>
      </c>
      <c r="T168" s="156" t="str">
        <f>+VLOOKUP($L168,Data_Validation!$A:$D,1,0)</f>
        <v>4593@</v>
      </c>
      <c r="U168" s="156" t="str">
        <f>+VLOOKUP($L168,Data_Validation!$A:$D,3,0)</f>
        <v>Carrosserie</v>
      </c>
      <c r="V168" s="156" t="str">
        <f>+VLOOKUP($L168,Data_Validation!$A:$D,4,0)</f>
        <v>M/O Sous-traitement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hidden="1" customHeight="1">
      <c r="A169" s="1072" t="s">
        <v>2100</v>
      </c>
      <c r="B169" s="1072" t="s">
        <v>2101</v>
      </c>
      <c r="C169" s="1074">
        <v>0</v>
      </c>
      <c r="D169" s="1074">
        <v>-2045</v>
      </c>
      <c r="E169" s="1074">
        <v>-2045</v>
      </c>
      <c r="F169" s="1072" t="s">
        <v>285</v>
      </c>
      <c r="G169" s="1072" t="s">
        <v>2101</v>
      </c>
      <c r="H169" s="1073"/>
      <c r="I169" s="1073"/>
      <c r="J169" s="1073"/>
      <c r="K169" s="1073"/>
      <c r="L169" s="153" t="str">
        <f t="shared" si="10"/>
        <v>4595</v>
      </c>
      <c r="M169" s="154" t="str">
        <f t="shared" si="11"/>
        <v>VTE - SOUS-TRAITANCE INTERNE CARR.</v>
      </c>
      <c r="N169" s="155">
        <f>+IF(OR($Q169=Parametres!$G$2,$Q169=Parametres!$G$3),I169,C169)</f>
        <v>0</v>
      </c>
      <c r="O169" s="155">
        <f>+IF(OR($Q169=Parametres!$G$2,$Q169=Parametres!$G$3),J169,D169)</f>
        <v>-2045</v>
      </c>
      <c r="P169" s="155">
        <f>+IF(OR($Q169=Parametres!$G$2,$Q169=Parametres!$G$3),K169,E169)</f>
        <v>-2045</v>
      </c>
      <c r="Q169" s="154" t="str">
        <f t="shared" si="12"/>
        <v>5-Ventes</v>
      </c>
      <c r="R169" s="153" t="str">
        <f t="shared" si="13"/>
        <v>4595</v>
      </c>
      <c r="S169" s="154">
        <f t="shared" si="14"/>
        <v>0</v>
      </c>
      <c r="T169" s="156" t="str">
        <f>+VLOOKUP($L169,Data_Validation!$A:$D,1,0)</f>
        <v>4595</v>
      </c>
      <c r="U169" s="156" t="str">
        <f>+VLOOKUP($L169,Data_Validation!$A:$D,3,0)</f>
        <v>Carrosserie</v>
      </c>
      <c r="V169" s="156" t="str">
        <f>+VLOOKUP($L169,Data_Validation!$A:$D,4,0)</f>
        <v>M/O Sous-traitement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hidden="1" customHeight="1">
      <c r="A170" s="1072" t="s">
        <v>2536</v>
      </c>
      <c r="B170" s="1072" t="s">
        <v>2537</v>
      </c>
      <c r="C170" s="1073"/>
      <c r="D170" s="1073"/>
      <c r="E170" s="1073"/>
      <c r="F170" s="1072" t="s">
        <v>4</v>
      </c>
      <c r="G170" s="1072" t="s">
        <v>2101</v>
      </c>
      <c r="H170" s="1073"/>
      <c r="I170" s="1074">
        <v>0</v>
      </c>
      <c r="J170" s="1074">
        <v>-8</v>
      </c>
      <c r="K170" s="1074">
        <v>-8</v>
      </c>
      <c r="L170" s="153" t="str">
        <f t="shared" si="10"/>
        <v>4595@</v>
      </c>
      <c r="M170" s="154" t="str">
        <f t="shared" si="11"/>
        <v># DE VTE - S-TRAIT.INTERNE CARR.</v>
      </c>
      <c r="N170" s="155">
        <f>+IF(OR($Q170=Parametres!$G$2,$Q170=Parametres!$G$3),I170,C170)</f>
        <v>0</v>
      </c>
      <c r="O170" s="155">
        <f>+IF(OR($Q170=Parametres!$G$2,$Q170=Parametres!$G$3),J170,D170)</f>
        <v>-8</v>
      </c>
      <c r="P170" s="155">
        <f>+IF(OR($Q170=Parametres!$G$2,$Q170=Parametres!$G$3),K170,E170)</f>
        <v>-8</v>
      </c>
      <c r="Q170" s="154" t="str">
        <f t="shared" si="12"/>
        <v>10-Compte compteur</v>
      </c>
      <c r="R170" s="153" t="str">
        <f t="shared" si="13"/>
        <v>4595</v>
      </c>
      <c r="S170" s="154">
        <f t="shared" si="14"/>
        <v>0</v>
      </c>
      <c r="T170" s="156" t="str">
        <f>+VLOOKUP($L170,Data_Validation!$A:$D,1,0)</f>
        <v>4595@</v>
      </c>
      <c r="U170" s="156" t="str">
        <f>+VLOOKUP($L170,Data_Validation!$A:$D,3,0)</f>
        <v>Carrosserie</v>
      </c>
      <c r="V170" s="156" t="str">
        <f>+VLOOKUP($L170,Data_Validation!$A:$D,4,0)</f>
        <v>M/O Sous-traitement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hidden="1" customHeight="1">
      <c r="A171" s="1072" t="s">
        <v>2023</v>
      </c>
      <c r="B171" s="1072" t="s">
        <v>2024</v>
      </c>
      <c r="C171" s="1074">
        <v>0</v>
      </c>
      <c r="D171" s="1074">
        <v>-42140.29</v>
      </c>
      <c r="E171" s="1074">
        <v>-42140.29</v>
      </c>
      <c r="F171" s="1072" t="s">
        <v>285</v>
      </c>
      <c r="G171" s="1072" t="s">
        <v>2024</v>
      </c>
      <c r="H171" s="1073"/>
      <c r="I171" s="1073"/>
      <c r="J171" s="1073"/>
      <c r="K171" s="1073"/>
      <c r="L171" s="153" t="str">
        <f t="shared" si="10"/>
        <v>4701</v>
      </c>
      <c r="M171" s="154" t="str">
        <f t="shared" si="11"/>
        <v>VTE - PIECE/ACC B.R. CLIENT VW</v>
      </c>
      <c r="N171" s="155">
        <f>+IF(OR($Q171=Parametres!$G$2,$Q171=Parametres!$G$3),I171,C171)</f>
        <v>0</v>
      </c>
      <c r="O171" s="608">
        <f>+IF(OR($Q171=Parametres!$G$2,$Q171=Parametres!$G$3),J171,D171)</f>
        <v>-42140.29</v>
      </c>
      <c r="P171" s="155">
        <f>+IF(OR($Q171=Parametres!$G$2,$Q171=Parametres!$G$3),K171,E171)</f>
        <v>-42140.29</v>
      </c>
      <c r="Q171" s="154" t="str">
        <f t="shared" si="12"/>
        <v>5-Ventes</v>
      </c>
      <c r="R171" s="153" t="str">
        <f t="shared" si="13"/>
        <v>4701</v>
      </c>
      <c r="S171" s="154">
        <f t="shared" si="14"/>
        <v>0</v>
      </c>
      <c r="T171" s="156" t="str">
        <f>+VLOOKUP($L171,Data_Validation!$A:$D,1,0)</f>
        <v>4701</v>
      </c>
      <c r="U171" s="156" t="str">
        <f>+VLOOKUP($L171,Data_Validation!$A:$D,3,0)</f>
        <v>Pièces</v>
      </c>
      <c r="V171" s="156" t="str">
        <f>+VLOOKUP($L171,Data_Validation!$A:$D,4,0)</f>
        <v>Pièces Ro Clients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hidden="1" customHeight="1">
      <c r="A172" s="1072" t="s">
        <v>2538</v>
      </c>
      <c r="B172" s="1072" t="s">
        <v>2539</v>
      </c>
      <c r="C172" s="1073"/>
      <c r="D172" s="1073"/>
      <c r="E172" s="1073"/>
      <c r="F172" s="1072" t="s">
        <v>4</v>
      </c>
      <c r="G172" s="1072" t="s">
        <v>2024</v>
      </c>
      <c r="H172" s="1073"/>
      <c r="I172" s="1074">
        <v>0</v>
      </c>
      <c r="J172" s="1074">
        <v>-199</v>
      </c>
      <c r="K172" s="1074">
        <v>-199</v>
      </c>
      <c r="L172" s="153" t="str">
        <f t="shared" si="10"/>
        <v>4701@</v>
      </c>
      <c r="M172" s="154" t="str">
        <f t="shared" si="11"/>
        <v>PIECES-BON REPARATION- CLIENTS</v>
      </c>
      <c r="N172" s="155">
        <f>+IF(OR($Q172=Parametres!$G$2,$Q172=Parametres!$G$3),I172,C172)</f>
        <v>0</v>
      </c>
      <c r="O172" s="155">
        <f>+IF(OR($Q172=Parametres!$G$2,$Q172=Parametres!$G$3),J172,D172)</f>
        <v>-199</v>
      </c>
      <c r="P172" s="155">
        <f>+IF(OR($Q172=Parametres!$G$2,$Q172=Parametres!$G$3),K172,E172)</f>
        <v>-199</v>
      </c>
      <c r="Q172" s="154" t="str">
        <f t="shared" si="12"/>
        <v>10-Compte compteur</v>
      </c>
      <c r="R172" s="153" t="str">
        <f t="shared" si="13"/>
        <v>4701</v>
      </c>
      <c r="S172" s="154">
        <f t="shared" si="14"/>
        <v>0</v>
      </c>
      <c r="T172" s="156" t="str">
        <f>+VLOOKUP($L172,Data_Validation!$A:$D,1,0)</f>
        <v>4701@</v>
      </c>
      <c r="U172" s="156" t="str">
        <f>+VLOOKUP($L172,Data_Validation!$A:$D,3,0)</f>
        <v>Pièces</v>
      </c>
      <c r="V172" s="156" t="str">
        <f>+VLOOKUP($L172,Data_Validation!$A:$D,4,0)</f>
        <v>Pièces Ro Clients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hidden="1" customHeight="1">
      <c r="A173" s="1072" t="s">
        <v>2150</v>
      </c>
      <c r="B173" s="1072" t="s">
        <v>2151</v>
      </c>
      <c r="C173" s="1074">
        <v>0</v>
      </c>
      <c r="D173" s="1074">
        <v>-241.35</v>
      </c>
      <c r="E173" s="1074">
        <v>-241.35</v>
      </c>
      <c r="F173" s="1072" t="s">
        <v>285</v>
      </c>
      <c r="G173" s="1072" t="s">
        <v>2151</v>
      </c>
      <c r="H173" s="1073"/>
      <c r="I173" s="1073"/>
      <c r="J173" s="1073"/>
      <c r="K173" s="1073"/>
      <c r="L173" s="153" t="str">
        <f t="shared" si="10"/>
        <v>4702</v>
      </c>
      <c r="M173" s="154" t="str">
        <f t="shared" si="11"/>
        <v>VTE - SHOP SUPPLY VW</v>
      </c>
      <c r="N173" s="155">
        <f>+IF(OR($Q173=Parametres!$G$2,$Q173=Parametres!$G$3),I173,C173)</f>
        <v>0</v>
      </c>
      <c r="O173" s="155">
        <f>+IF(OR($Q173=Parametres!$G$2,$Q173=Parametres!$G$3),J173,D173)</f>
        <v>-241.35</v>
      </c>
      <c r="P173" s="155">
        <f>+IF(OR($Q173=Parametres!$G$2,$Q173=Parametres!$G$3),K173,E173)</f>
        <v>-241.35</v>
      </c>
      <c r="Q173" s="154" t="str">
        <f t="shared" si="12"/>
        <v>5-Ventes</v>
      </c>
      <c r="R173" s="153" t="str">
        <f t="shared" si="13"/>
        <v>4702</v>
      </c>
      <c r="S173" s="154">
        <f t="shared" si="14"/>
        <v>0</v>
      </c>
      <c r="T173" s="156" t="str">
        <f>+VLOOKUP($L173,Data_Validation!$A:$D,1,0)</f>
        <v>4702</v>
      </c>
      <c r="U173" s="156" t="str">
        <f>+VLOOKUP($L173,Data_Validation!$A:$D,3,0)</f>
        <v>Service</v>
      </c>
      <c r="V173" s="156" t="str">
        <f>+VLOOKUP($L173,Data_Validation!$A:$D,4,0)</f>
        <v>M/O Client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hidden="1" customHeight="1">
      <c r="A174" s="1072" t="s">
        <v>2043</v>
      </c>
      <c r="B174" s="1072" t="s">
        <v>2044</v>
      </c>
      <c r="C174" s="1074">
        <v>0</v>
      </c>
      <c r="D174" s="1074">
        <v>-111661.14</v>
      </c>
      <c r="E174" s="1074">
        <v>-111661.14</v>
      </c>
      <c r="F174" s="1072" t="s">
        <v>285</v>
      </c>
      <c r="G174" s="1072" t="s">
        <v>2044</v>
      </c>
      <c r="H174" s="1073"/>
      <c r="I174" s="1073"/>
      <c r="J174" s="1073"/>
      <c r="K174" s="1073"/>
      <c r="L174" s="153" t="str">
        <f t="shared" si="10"/>
        <v>4703</v>
      </c>
      <c r="M174" s="154" t="str">
        <f t="shared" si="11"/>
        <v>VTE - PIECE/ACC B.R. GARANTIE VW</v>
      </c>
      <c r="N174" s="155">
        <f>+IF(OR($Q174=Parametres!$G$2,$Q174=Parametres!$G$3),I174,C174)</f>
        <v>0</v>
      </c>
      <c r="O174" s="155">
        <f>+IF(OR($Q174=Parametres!$G$2,$Q174=Parametres!$G$3),J174,D174)</f>
        <v>-111661.14</v>
      </c>
      <c r="P174" s="155">
        <f>+IF(OR($Q174=Parametres!$G$2,$Q174=Parametres!$G$3),K174,E174)</f>
        <v>-111661.14</v>
      </c>
      <c r="Q174" s="154" t="str">
        <f t="shared" si="12"/>
        <v>5-Ventes</v>
      </c>
      <c r="R174" s="153" t="str">
        <f t="shared" si="13"/>
        <v>4703</v>
      </c>
      <c r="S174" s="154">
        <f t="shared" si="14"/>
        <v>0</v>
      </c>
      <c r="T174" s="156" t="str">
        <f>+VLOOKUP($L174,Data_Validation!$A:$D,1,0)</f>
        <v>4703</v>
      </c>
      <c r="U174" s="156" t="str">
        <f>+VLOOKUP($L174,Data_Validation!$A:$D,3,0)</f>
        <v>Pièces</v>
      </c>
      <c r="V174" s="156" t="str">
        <f>+VLOOKUP($L174,Data_Validation!$A:$D,4,0)</f>
        <v>P/A Garantie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hidden="1" customHeight="1">
      <c r="A175" s="1072" t="s">
        <v>2540</v>
      </c>
      <c r="B175" s="1072" t="s">
        <v>2541</v>
      </c>
      <c r="C175" s="1073"/>
      <c r="D175" s="1073"/>
      <c r="E175" s="1073"/>
      <c r="F175" s="1072" t="s">
        <v>4</v>
      </c>
      <c r="G175" s="1072" t="s">
        <v>2044</v>
      </c>
      <c r="H175" s="1073"/>
      <c r="I175" s="1074">
        <v>0</v>
      </c>
      <c r="J175" s="1074">
        <v>-191</v>
      </c>
      <c r="K175" s="1074">
        <v>-191</v>
      </c>
      <c r="L175" s="153" t="str">
        <f t="shared" si="10"/>
        <v>4703@</v>
      </c>
      <c r="M175" s="154" t="str">
        <f t="shared" si="11"/>
        <v>PIECES-BON REPARATION-GAR. MAN</v>
      </c>
      <c r="N175" s="155">
        <f>+IF(OR($Q175=Parametres!$G$2,$Q175=Parametres!$G$3),I175,C175)</f>
        <v>0</v>
      </c>
      <c r="O175" s="608">
        <f>+IF(OR($Q175=Parametres!$G$2,$Q175=Parametres!$G$3),J175,D175)</f>
        <v>-191</v>
      </c>
      <c r="P175" s="155">
        <f>+IF(OR($Q175=Parametres!$G$2,$Q175=Parametres!$G$3),K175,E175)</f>
        <v>-191</v>
      </c>
      <c r="Q175" s="154" t="str">
        <f t="shared" si="12"/>
        <v>10-Compte compteur</v>
      </c>
      <c r="R175" s="153" t="str">
        <f t="shared" si="13"/>
        <v>4703</v>
      </c>
      <c r="S175" s="154">
        <f t="shared" si="14"/>
        <v>0</v>
      </c>
      <c r="T175" s="156" t="str">
        <f>+VLOOKUP($L175,Data_Validation!$A:$D,1,0)</f>
        <v>4703@</v>
      </c>
      <c r="U175" s="156" t="str">
        <f>+VLOOKUP($L175,Data_Validation!$A:$D,3,0)</f>
        <v>Pièces</v>
      </c>
      <c r="V175" s="156" t="str">
        <f>+VLOOKUP($L175,Data_Validation!$A:$D,4,0)</f>
        <v>P/A Garantie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hidden="1" customHeight="1">
      <c r="A176" s="1072" t="s">
        <v>2047</v>
      </c>
      <c r="B176" s="1072" t="s">
        <v>2048</v>
      </c>
      <c r="C176" s="1074">
        <v>0</v>
      </c>
      <c r="D176" s="1074">
        <v>-20282.22</v>
      </c>
      <c r="E176" s="1074">
        <v>-20282.22</v>
      </c>
      <c r="F176" s="1072" t="s">
        <v>285</v>
      </c>
      <c r="G176" s="1072" t="s">
        <v>2048</v>
      </c>
      <c r="H176" s="1073"/>
      <c r="I176" s="1073"/>
      <c r="J176" s="1073"/>
      <c r="K176" s="1073"/>
      <c r="L176" s="153" t="str">
        <f t="shared" si="10"/>
        <v>4705</v>
      </c>
      <c r="M176" s="154" t="str">
        <f t="shared" si="11"/>
        <v>VTE - PIECE/ACC B.R. INTERNE VW</v>
      </c>
      <c r="N176" s="155">
        <f>+IF(OR($Q176=Parametres!$G$2,$Q176=Parametres!$G$3),I176,C176)</f>
        <v>0</v>
      </c>
      <c r="O176" s="155">
        <f>+IF(OR($Q176=Parametres!$G$2,$Q176=Parametres!$G$3),J176,D176)</f>
        <v>-20282.22</v>
      </c>
      <c r="P176" s="155">
        <f>+IF(OR($Q176=Parametres!$G$2,$Q176=Parametres!$G$3),K176,E176)</f>
        <v>-20282.22</v>
      </c>
      <c r="Q176" s="154" t="str">
        <f t="shared" si="12"/>
        <v>5-Ventes</v>
      </c>
      <c r="R176" s="153" t="str">
        <f t="shared" si="13"/>
        <v>4705</v>
      </c>
      <c r="S176" s="154">
        <f t="shared" si="14"/>
        <v>0</v>
      </c>
      <c r="T176" s="156" t="str">
        <f>+VLOOKUP($L176,Data_Validation!$A:$D,1,0)</f>
        <v>4705</v>
      </c>
      <c r="U176" s="156" t="str">
        <f>+VLOOKUP($L176,Data_Validation!$A:$D,3,0)</f>
        <v>Pièces</v>
      </c>
      <c r="V176" s="156" t="str">
        <f>+VLOOKUP($L176,Data_Validation!$A:$D,4,0)</f>
        <v>Ventes Internes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hidden="1" customHeight="1">
      <c r="A177" s="1072" t="s">
        <v>2542</v>
      </c>
      <c r="B177" s="1072" t="s">
        <v>2543</v>
      </c>
      <c r="C177" s="1073"/>
      <c r="D177" s="1073"/>
      <c r="E177" s="1073"/>
      <c r="F177" s="1072" t="s">
        <v>4</v>
      </c>
      <c r="G177" s="1072" t="s">
        <v>2048</v>
      </c>
      <c r="H177" s="1073"/>
      <c r="I177" s="1074">
        <v>0</v>
      </c>
      <c r="J177" s="1074">
        <v>-138</v>
      </c>
      <c r="K177" s="1074">
        <v>-138</v>
      </c>
      <c r="L177" s="153" t="str">
        <f t="shared" si="10"/>
        <v>4705@</v>
      </c>
      <c r="M177" s="154" t="str">
        <f t="shared" si="11"/>
        <v>PIECES-BON REPARATION - INTERN</v>
      </c>
      <c r="N177" s="155">
        <f>+IF(OR($Q177=Parametres!$G$2,$Q177=Parametres!$G$3),I177,C177)</f>
        <v>0</v>
      </c>
      <c r="O177" s="608">
        <f>+IF(OR($Q177=Parametres!$G$2,$Q177=Parametres!$G$3),J177,D177)</f>
        <v>-138</v>
      </c>
      <c r="P177" s="155">
        <f>+IF(OR($Q177=Parametres!$G$2,$Q177=Parametres!$G$3),K177,E177)</f>
        <v>-138</v>
      </c>
      <c r="Q177" s="154" t="str">
        <f t="shared" si="12"/>
        <v>10-Compte compteur</v>
      </c>
      <c r="R177" s="153" t="str">
        <f t="shared" si="13"/>
        <v>4705</v>
      </c>
      <c r="S177" s="154">
        <f t="shared" si="14"/>
        <v>0</v>
      </c>
      <c r="T177" s="156" t="str">
        <f>+VLOOKUP($L177,Data_Validation!$A:$D,1,0)</f>
        <v>4705@</v>
      </c>
      <c r="U177" s="156" t="str">
        <f>+VLOOKUP($L177,Data_Validation!$A:$D,3,0)</f>
        <v>Pièces</v>
      </c>
      <c r="V177" s="156" t="str">
        <f>+VLOOKUP($L177,Data_Validation!$A:$D,4,0)</f>
        <v>Ventes Internes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hidden="1" customHeight="1">
      <c r="A178" s="1072" t="s">
        <v>2150</v>
      </c>
      <c r="B178" s="1072" t="s">
        <v>2169</v>
      </c>
      <c r="C178" s="1074">
        <v>0</v>
      </c>
      <c r="D178" s="1074">
        <v>-551.51</v>
      </c>
      <c r="E178" s="1074">
        <v>-551.51</v>
      </c>
      <c r="F178" s="1072" t="s">
        <v>285</v>
      </c>
      <c r="G178" s="1072" t="s">
        <v>2169</v>
      </c>
      <c r="H178" s="1073"/>
      <c r="I178" s="1073"/>
      <c r="J178" s="1073"/>
      <c r="K178" s="1073"/>
      <c r="L178" s="153" t="str">
        <f t="shared" si="10"/>
        <v>4706</v>
      </c>
      <c r="M178" s="154" t="str">
        <f t="shared" si="11"/>
        <v>VTE - SHOP SUPPLY VW</v>
      </c>
      <c r="N178" s="155">
        <f>+IF(OR($Q178=Parametres!$G$2,$Q178=Parametres!$G$3),I178,C178)</f>
        <v>0</v>
      </c>
      <c r="O178" s="155">
        <f>+IF(OR($Q178=Parametres!$G$2,$Q178=Parametres!$G$3),J178,D178)</f>
        <v>-551.51</v>
      </c>
      <c r="P178" s="155">
        <f>+IF(OR($Q178=Parametres!$G$2,$Q178=Parametres!$G$3),K178,E178)</f>
        <v>-551.51</v>
      </c>
      <c r="Q178" s="154" t="str">
        <f t="shared" si="12"/>
        <v>5-Ventes</v>
      </c>
      <c r="R178" s="153" t="str">
        <f t="shared" si="13"/>
        <v>4706</v>
      </c>
      <c r="S178" s="154">
        <f t="shared" si="14"/>
        <v>0</v>
      </c>
      <c r="T178" s="156" t="str">
        <f>+VLOOKUP($L178,Data_Validation!$A:$D,1,0)</f>
        <v>4706</v>
      </c>
      <c r="U178" s="156" t="str">
        <f>+VLOOKUP($L178,Data_Validation!$A:$D,3,0)</f>
        <v>Service</v>
      </c>
      <c r="V178" s="156" t="str">
        <f>+VLOOKUP($L178,Data_Validation!$A:$D,4,0)</f>
        <v>M/O Interne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hidden="1" customHeight="1">
      <c r="A179" s="1072" t="s">
        <v>2114</v>
      </c>
      <c r="B179" s="1072" t="s">
        <v>2115</v>
      </c>
      <c r="C179" s="1074">
        <v>0</v>
      </c>
      <c r="D179" s="1074">
        <v>-3324.88</v>
      </c>
      <c r="E179" s="1074">
        <v>-3324.88</v>
      </c>
      <c r="F179" s="1072" t="s">
        <v>285</v>
      </c>
      <c r="G179" s="1072" t="s">
        <v>335</v>
      </c>
      <c r="H179" s="1073"/>
      <c r="I179" s="1073"/>
      <c r="J179" s="1073"/>
      <c r="K179" s="1073"/>
      <c r="L179" s="153" t="str">
        <f t="shared" si="10"/>
        <v>4711</v>
      </c>
      <c r="M179" s="154" t="str">
        <f t="shared" si="11"/>
        <v>VTE - AUTRE PIECE/ACC/CARR B.R. CLIENT</v>
      </c>
      <c r="N179" s="155">
        <f>+IF(OR($Q179=Parametres!$G$2,$Q179=Parametres!$G$3),I179,C179)</f>
        <v>0</v>
      </c>
      <c r="O179" s="155">
        <f>+IF(OR($Q179=Parametres!$G$2,$Q179=Parametres!$G$3),J179,D179)</f>
        <v>-3324.88</v>
      </c>
      <c r="P179" s="155">
        <f>+IF(OR($Q179=Parametres!$G$2,$Q179=Parametres!$G$3),K179,E179)</f>
        <v>-3324.88</v>
      </c>
      <c r="Q179" s="154" t="str">
        <f t="shared" si="12"/>
        <v>5-Ventes</v>
      </c>
      <c r="R179" s="153" t="str">
        <f t="shared" si="13"/>
        <v>84711</v>
      </c>
      <c r="S179" s="154">
        <f t="shared" si="14"/>
        <v>0</v>
      </c>
      <c r="T179" s="156" t="str">
        <f>+VLOOKUP($L179,Data_Validation!$A:$D,1,0)</f>
        <v>4711</v>
      </c>
      <c r="U179" s="156" t="str">
        <f>+VLOOKUP($L179,Data_Validation!$A:$D,3,0)</f>
        <v>Pièces</v>
      </c>
      <c r="V179" s="156" t="str">
        <f>+VLOOKUP($L179,Data_Validation!$A:$D,4,0)</f>
        <v>Pièces Ro Clients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hidden="1" customHeight="1">
      <c r="A180" s="1072" t="s">
        <v>2544</v>
      </c>
      <c r="B180" s="1072" t="s">
        <v>2545</v>
      </c>
      <c r="C180" s="1073"/>
      <c r="D180" s="1073"/>
      <c r="E180" s="1073"/>
      <c r="F180" s="1072" t="s">
        <v>4</v>
      </c>
      <c r="G180" s="1072" t="s">
        <v>335</v>
      </c>
      <c r="H180" s="1073"/>
      <c r="I180" s="1074">
        <v>0</v>
      </c>
      <c r="J180" s="1074">
        <v>-45</v>
      </c>
      <c r="K180" s="1074">
        <v>-45</v>
      </c>
      <c r="L180" s="153" t="str">
        <f t="shared" si="10"/>
        <v>4711@</v>
      </c>
      <c r="M180" s="154" t="str">
        <f t="shared" si="11"/>
        <v># DE VTE - P&amp;A B.T. CLIENT AUDI</v>
      </c>
      <c r="N180" s="155">
        <f>+IF(OR($Q180=Parametres!$G$2,$Q180=Parametres!$G$3),I180,C180)</f>
        <v>0</v>
      </c>
      <c r="O180" s="155">
        <f>+IF(OR($Q180=Parametres!$G$2,$Q180=Parametres!$G$3),J180,D180)</f>
        <v>-45</v>
      </c>
      <c r="P180" s="155">
        <f>+IF(OR($Q180=Parametres!$G$2,$Q180=Parametres!$G$3),K180,E180)</f>
        <v>-45</v>
      </c>
      <c r="Q180" s="154" t="str">
        <f t="shared" si="12"/>
        <v>10-Compte compteur</v>
      </c>
      <c r="R180" s="153" t="str">
        <f t="shared" si="13"/>
        <v>84711</v>
      </c>
      <c r="S180" s="154">
        <f t="shared" si="14"/>
        <v>0</v>
      </c>
      <c r="T180" s="156" t="str">
        <f>+VLOOKUP($L180,Data_Validation!$A:$D,1,0)</f>
        <v>4711@</v>
      </c>
      <c r="U180" s="156" t="str">
        <f>+VLOOKUP($L180,Data_Validation!$A:$D,3,0)</f>
        <v>Pièces</v>
      </c>
      <c r="V180" s="156" t="str">
        <f>+VLOOKUP($L180,Data_Validation!$A:$D,4,0)</f>
        <v>Pièces Ro Clients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hidden="1" customHeight="1">
      <c r="A181" s="1072" t="s">
        <v>2107</v>
      </c>
      <c r="B181" s="1072" t="s">
        <v>2108</v>
      </c>
      <c r="C181" s="1074">
        <v>0</v>
      </c>
      <c r="D181" s="1074">
        <v>-5959.54</v>
      </c>
      <c r="E181" s="1074">
        <v>-5959.54</v>
      </c>
      <c r="F181" s="1072" t="s">
        <v>285</v>
      </c>
      <c r="G181" s="1072" t="s">
        <v>2108</v>
      </c>
      <c r="H181" s="1073"/>
      <c r="I181" s="1073"/>
      <c r="J181" s="1073"/>
      <c r="K181" s="1073"/>
      <c r="L181" s="153" t="str">
        <f t="shared" si="10"/>
        <v>4731</v>
      </c>
      <c r="M181" s="154" t="str">
        <f t="shared" si="11"/>
        <v>VTE - PIECES-BON REPAR.-PEINT/DEBOS</v>
      </c>
      <c r="N181" s="155">
        <f>+IF(OR($Q181=Parametres!$G$2,$Q181=Parametres!$G$3),I181,C181)</f>
        <v>0</v>
      </c>
      <c r="O181" s="155">
        <f>+IF(OR($Q181=Parametres!$G$2,$Q181=Parametres!$G$3),J181,D181)</f>
        <v>-5959.54</v>
      </c>
      <c r="P181" s="155">
        <f>+IF(OR($Q181=Parametres!$G$2,$Q181=Parametres!$G$3),K181,E181)</f>
        <v>-5959.54</v>
      </c>
      <c r="Q181" s="154" t="str">
        <f t="shared" si="12"/>
        <v>5-Ventes</v>
      </c>
      <c r="R181" s="153" t="str">
        <f t="shared" si="13"/>
        <v>4731</v>
      </c>
      <c r="S181" s="154">
        <f t="shared" si="14"/>
        <v>0</v>
      </c>
      <c r="T181" s="156" t="str">
        <f>+VLOOKUP($L181,Data_Validation!$A:$D,1,0)</f>
        <v>4731</v>
      </c>
      <c r="U181" s="156" t="str">
        <f>+VLOOKUP($L181,Data_Validation!$A:$D,3,0)</f>
        <v>Pièces</v>
      </c>
      <c r="V181" s="156" t="str">
        <f>+VLOOKUP($L181,Data_Validation!$A:$D,4,0)</f>
        <v>Pièces Ro Carrosserie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hidden="1" customHeight="1">
      <c r="A182" s="1072" t="s">
        <v>2548</v>
      </c>
      <c r="B182" s="1072" t="s">
        <v>2549</v>
      </c>
      <c r="C182" s="1073"/>
      <c r="D182" s="1073"/>
      <c r="E182" s="1073"/>
      <c r="F182" s="1072" t="s">
        <v>4</v>
      </c>
      <c r="G182" s="1072" t="s">
        <v>2108</v>
      </c>
      <c r="H182" s="1073"/>
      <c r="I182" s="1074">
        <v>0</v>
      </c>
      <c r="J182" s="1074">
        <v>-8</v>
      </c>
      <c r="K182" s="1074">
        <v>-8</v>
      </c>
      <c r="L182" s="153" t="str">
        <f t="shared" si="10"/>
        <v>4731@</v>
      </c>
      <c r="M182" s="154" t="str">
        <f t="shared" si="11"/>
        <v>PIECES-BON REPAR. PEINT/DEBOS</v>
      </c>
      <c r="N182" s="155">
        <f>+IF(OR($Q182=Parametres!$G$2,$Q182=Parametres!$G$3),I182,C182)</f>
        <v>0</v>
      </c>
      <c r="O182" s="155">
        <f>+IF(OR($Q182=Parametres!$G$2,$Q182=Parametres!$G$3),J182,D182)</f>
        <v>-8</v>
      </c>
      <c r="P182" s="155">
        <f>+IF(OR($Q182=Parametres!$G$2,$Q182=Parametres!$G$3),K182,E182)</f>
        <v>-8</v>
      </c>
      <c r="Q182" s="154" t="str">
        <f t="shared" si="12"/>
        <v>10-Compte compteur</v>
      </c>
      <c r="R182" s="153" t="str">
        <f t="shared" si="13"/>
        <v>4731</v>
      </c>
      <c r="S182" s="154">
        <f t="shared" si="14"/>
        <v>0</v>
      </c>
      <c r="T182" s="156" t="str">
        <f>+VLOOKUP($L182,Data_Validation!$A:$D,1,0)</f>
        <v>4731@</v>
      </c>
      <c r="U182" s="156" t="str">
        <f>+VLOOKUP($L182,Data_Validation!$A:$D,3,0)</f>
        <v>Pièces</v>
      </c>
      <c r="V182" s="156" t="str">
        <f>+VLOOKUP($L182,Data_Validation!$A:$D,4,0)</f>
        <v>Pièces Ro Carrosserie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hidden="1" customHeight="1">
      <c r="A183" s="1072" t="s">
        <v>2090</v>
      </c>
      <c r="B183" s="1072" t="s">
        <v>2091</v>
      </c>
      <c r="C183" s="1074">
        <v>0</v>
      </c>
      <c r="D183" s="1074">
        <v>-51934.76</v>
      </c>
      <c r="E183" s="1074">
        <v>-51934.76</v>
      </c>
      <c r="F183" s="1072" t="s">
        <v>285</v>
      </c>
      <c r="G183" s="1072" t="s">
        <v>2091</v>
      </c>
      <c r="H183" s="1073"/>
      <c r="I183" s="1073"/>
      <c r="J183" s="1073"/>
      <c r="K183" s="1073"/>
      <c r="L183" s="153" t="str">
        <f t="shared" si="10"/>
        <v>4733</v>
      </c>
      <c r="M183" s="154" t="str">
        <f t="shared" si="11"/>
        <v>VTE - P&amp;A B.T. GARANTIE CAR.</v>
      </c>
      <c r="N183" s="155">
        <f>+IF(OR($Q183=Parametres!$G$2,$Q183=Parametres!$G$3),I183,C183)</f>
        <v>0</v>
      </c>
      <c r="O183" s="155">
        <f>+IF(OR($Q183=Parametres!$G$2,$Q183=Parametres!$G$3),J183,D183)</f>
        <v>-51934.76</v>
      </c>
      <c r="P183" s="155">
        <f>+IF(OR($Q183=Parametres!$G$2,$Q183=Parametres!$G$3),K183,E183)</f>
        <v>-51934.76</v>
      </c>
      <c r="Q183" s="154" t="str">
        <f t="shared" si="12"/>
        <v>5-Ventes</v>
      </c>
      <c r="R183" s="153" t="str">
        <f t="shared" si="13"/>
        <v>4733</v>
      </c>
      <c r="S183" s="154">
        <f t="shared" si="14"/>
        <v>0</v>
      </c>
      <c r="T183" s="156" t="str">
        <f>+VLOOKUP($L183,Data_Validation!$A:$D,1,0)</f>
        <v>4733</v>
      </c>
      <c r="U183" s="156" t="str">
        <f>+VLOOKUP($L183,Data_Validation!$A:$D,3,0)</f>
        <v>Pièces</v>
      </c>
      <c r="V183" s="156" t="str">
        <f>+VLOOKUP($L183,Data_Validation!$A:$D,4,0)</f>
        <v>Pièces Ro Carrosserie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hidden="1" customHeight="1">
      <c r="A184" s="1072" t="s">
        <v>2550</v>
      </c>
      <c r="B184" s="1072" t="s">
        <v>2551</v>
      </c>
      <c r="C184" s="1073"/>
      <c r="D184" s="1073"/>
      <c r="E184" s="1073"/>
      <c r="F184" s="1072" t="s">
        <v>4</v>
      </c>
      <c r="G184" s="1072" t="s">
        <v>2091</v>
      </c>
      <c r="H184" s="1073"/>
      <c r="I184" s="1074">
        <v>0</v>
      </c>
      <c r="J184" s="1074">
        <v>-30</v>
      </c>
      <c r="K184" s="1074">
        <v>-30</v>
      </c>
      <c r="L184" s="153" t="str">
        <f t="shared" si="10"/>
        <v>4733@</v>
      </c>
      <c r="M184" s="154" t="str">
        <f t="shared" si="11"/>
        <v># DE VTE - P&amp;A B.T. GARANTIE CARR.</v>
      </c>
      <c r="N184" s="155">
        <f>+IF(OR($Q184=Parametres!$G$2,$Q184=Parametres!$G$3),I184,C184)</f>
        <v>0</v>
      </c>
      <c r="O184" s="155">
        <f>+IF(OR($Q184=Parametres!$G$2,$Q184=Parametres!$G$3),J184,D184)</f>
        <v>-30</v>
      </c>
      <c r="P184" s="155">
        <f>+IF(OR($Q184=Parametres!$G$2,$Q184=Parametres!$G$3),K184,E184)</f>
        <v>-30</v>
      </c>
      <c r="Q184" s="154" t="str">
        <f t="shared" si="12"/>
        <v>10-Compte compteur</v>
      </c>
      <c r="R184" s="153" t="str">
        <f t="shared" si="13"/>
        <v>4733</v>
      </c>
      <c r="S184" s="154">
        <f t="shared" si="14"/>
        <v>0</v>
      </c>
      <c r="T184" s="156" t="str">
        <f>+VLOOKUP($L184,Data_Validation!$A:$D,1,0)</f>
        <v>4733@</v>
      </c>
      <c r="U184" s="156" t="str">
        <f>+VLOOKUP($L184,Data_Validation!$A:$D,3,0)</f>
        <v>Pièces</v>
      </c>
      <c r="V184" s="156" t="str">
        <f>+VLOOKUP($L184,Data_Validation!$A:$D,4,0)</f>
        <v>Pièces Ro Carrosserie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hidden="1" customHeight="1">
      <c r="A185" s="1072" t="s">
        <v>2165</v>
      </c>
      <c r="B185" s="1072" t="s">
        <v>2166</v>
      </c>
      <c r="C185" s="1074">
        <v>0</v>
      </c>
      <c r="D185" s="1074">
        <v>-31.5</v>
      </c>
      <c r="E185" s="1074">
        <v>-31.5</v>
      </c>
      <c r="F185" s="1072" t="s">
        <v>285</v>
      </c>
      <c r="G185" s="1072" t="s">
        <v>2166</v>
      </c>
      <c r="H185" s="1073"/>
      <c r="I185" s="1073"/>
      <c r="J185" s="1073"/>
      <c r="K185" s="1073"/>
      <c r="L185" s="153" t="str">
        <f t="shared" si="10"/>
        <v>4735</v>
      </c>
      <c r="M185" s="154" t="str">
        <f t="shared" si="11"/>
        <v>VTE - P&amp;A B.T. INTERNE CARROS.</v>
      </c>
      <c r="N185" s="155">
        <f>+IF(OR($Q185=Parametres!$G$2,$Q185=Parametres!$G$3),I185,C185)</f>
        <v>0</v>
      </c>
      <c r="O185" s="155">
        <f>+IF(OR($Q185=Parametres!$G$2,$Q185=Parametres!$G$3),J185,D185)</f>
        <v>-31.5</v>
      </c>
      <c r="P185" s="155">
        <f>+IF(OR($Q185=Parametres!$G$2,$Q185=Parametres!$G$3),K185,E185)</f>
        <v>-31.5</v>
      </c>
      <c r="Q185" s="154" t="str">
        <f t="shared" si="12"/>
        <v>5-Ventes</v>
      </c>
      <c r="R185" s="153" t="str">
        <f t="shared" si="13"/>
        <v>4735</v>
      </c>
      <c r="S185" s="154">
        <f t="shared" si="14"/>
        <v>0</v>
      </c>
      <c r="T185" s="156" t="str">
        <f>+VLOOKUP($L185,Data_Validation!$A:$D,1,0)</f>
        <v>4735</v>
      </c>
      <c r="U185" s="156" t="str">
        <f>+VLOOKUP($L185,Data_Validation!$A:$D,3,0)</f>
        <v>Pièces</v>
      </c>
      <c r="V185" s="156" t="str">
        <f>+VLOOKUP($L185,Data_Validation!$A:$D,4,0)</f>
        <v>Pièces Ro Carrosserie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hidden="1" customHeight="1">
      <c r="A186" s="1072" t="s">
        <v>2552</v>
      </c>
      <c r="B186" s="1072" t="s">
        <v>2553</v>
      </c>
      <c r="C186" s="1073"/>
      <c r="D186" s="1073"/>
      <c r="E186" s="1073"/>
      <c r="F186" s="1072" t="s">
        <v>4</v>
      </c>
      <c r="G186" s="1072" t="s">
        <v>2166</v>
      </c>
      <c r="H186" s="1073"/>
      <c r="I186" s="1074">
        <v>0</v>
      </c>
      <c r="J186" s="1074">
        <v>-1</v>
      </c>
      <c r="K186" s="1074">
        <v>-1</v>
      </c>
      <c r="L186" s="153" t="str">
        <f t="shared" si="10"/>
        <v>4735@</v>
      </c>
      <c r="M186" s="154" t="str">
        <f t="shared" si="11"/>
        <v># DE VTE - P&amp;A B.T. INTERNE CARROS.</v>
      </c>
      <c r="N186" s="155">
        <f>+IF(OR($Q186=Parametres!$G$2,$Q186=Parametres!$G$3),I186,C186)</f>
        <v>0</v>
      </c>
      <c r="O186" s="155">
        <f>+IF(OR($Q186=Parametres!$G$2,$Q186=Parametres!$G$3),J186,D186)</f>
        <v>-1</v>
      </c>
      <c r="P186" s="155">
        <f>+IF(OR($Q186=Parametres!$G$2,$Q186=Parametres!$G$3),K186,E186)</f>
        <v>-1</v>
      </c>
      <c r="Q186" s="154" t="str">
        <f t="shared" si="12"/>
        <v>10-Compte compteur</v>
      </c>
      <c r="R186" s="153" t="str">
        <f t="shared" si="13"/>
        <v>4735</v>
      </c>
      <c r="S186" s="154">
        <f t="shared" si="14"/>
        <v>0</v>
      </c>
      <c r="T186" s="156" t="str">
        <f>+VLOOKUP($L186,Data_Validation!$A:$D,1,0)</f>
        <v>4735@</v>
      </c>
      <c r="U186" s="156" t="str">
        <f>+VLOOKUP($L186,Data_Validation!$A:$D,3,0)</f>
        <v>Pièces</v>
      </c>
      <c r="V186" s="156" t="str">
        <f>+VLOOKUP($L186,Data_Validation!$A:$D,4,0)</f>
        <v>Pièces Ro Carrosserie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hidden="1" customHeight="1">
      <c r="A187" s="1072" t="s">
        <v>2082</v>
      </c>
      <c r="B187" s="1072" t="s">
        <v>2083</v>
      </c>
      <c r="C187" s="1074">
        <v>0</v>
      </c>
      <c r="D187" s="1074">
        <v>-10343.09</v>
      </c>
      <c r="E187" s="1074">
        <v>-10343.09</v>
      </c>
      <c r="F187" s="1072" t="s">
        <v>285</v>
      </c>
      <c r="G187" s="1072" t="s">
        <v>2083</v>
      </c>
      <c r="H187" s="1073"/>
      <c r="I187" s="1073"/>
      <c r="J187" s="1073"/>
      <c r="K187" s="1073"/>
      <c r="L187" s="153" t="str">
        <f t="shared" si="10"/>
        <v>4761</v>
      </c>
      <c r="M187" s="154" t="str">
        <f t="shared" si="11"/>
        <v>VTE - P&amp;A VW COMPTOIR - DETAIL</v>
      </c>
      <c r="N187" s="155">
        <f>+IF(OR($Q187=Parametres!$G$2,$Q187=Parametres!$G$3),I187,C187)</f>
        <v>0</v>
      </c>
      <c r="O187" s="155">
        <f>+IF(OR($Q187=Parametres!$G$2,$Q187=Parametres!$G$3),J187,D187)</f>
        <v>-10343.09</v>
      </c>
      <c r="P187" s="155">
        <f>+IF(OR($Q187=Parametres!$G$2,$Q187=Parametres!$G$3),K187,E187)</f>
        <v>-10343.09</v>
      </c>
      <c r="Q187" s="154" t="str">
        <f t="shared" si="12"/>
        <v>5-Ventes</v>
      </c>
      <c r="R187" s="153" t="str">
        <f t="shared" si="13"/>
        <v>4761</v>
      </c>
      <c r="S187" s="154">
        <f t="shared" si="14"/>
        <v>0</v>
      </c>
      <c r="T187" s="156" t="str">
        <f>+VLOOKUP($L187,Data_Validation!$A:$D,1,0)</f>
        <v>4761</v>
      </c>
      <c r="U187" s="156" t="str">
        <f>+VLOOKUP($L187,Data_Validation!$A:$D,3,0)</f>
        <v>Pièces</v>
      </c>
      <c r="V187" s="156" t="str">
        <f>+VLOOKUP($L187,Data_Validation!$A:$D,4,0)</f>
        <v>Ventes Détails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072" t="s">
        <v>2554</v>
      </c>
      <c r="B188" s="1072" t="s">
        <v>2555</v>
      </c>
      <c r="C188" s="1073"/>
      <c r="D188" s="1073"/>
      <c r="E188" s="1073"/>
      <c r="F188" s="1072" t="s">
        <v>4</v>
      </c>
      <c r="G188" s="1072" t="s">
        <v>2083</v>
      </c>
      <c r="H188" s="1073"/>
      <c r="I188" s="1074">
        <v>0</v>
      </c>
      <c r="J188" s="1074">
        <v>-151</v>
      </c>
      <c r="K188" s="1074">
        <v>-151</v>
      </c>
      <c r="L188" s="153" t="str">
        <f t="shared" si="10"/>
        <v>4761@</v>
      </c>
      <c r="M188" s="154" t="str">
        <f t="shared" si="11"/>
        <v>PIECES-COMPTOIR-DETAIL</v>
      </c>
      <c r="N188" s="155">
        <f>+IF(OR($Q188=Parametres!$G$2,$Q188=Parametres!$G$3),I188,C188)</f>
        <v>0</v>
      </c>
      <c r="O188" s="155">
        <f>+IF(OR($Q188=Parametres!$G$2,$Q188=Parametres!$G$3),J188,D188)</f>
        <v>-151</v>
      </c>
      <c r="P188" s="155">
        <f>+IF(OR($Q188=Parametres!$G$2,$Q188=Parametres!$G$3),K188,E188)</f>
        <v>-151</v>
      </c>
      <c r="Q188" s="154" t="str">
        <f t="shared" si="12"/>
        <v>10-Compte compteur</v>
      </c>
      <c r="R188" s="153" t="str">
        <f t="shared" si="13"/>
        <v>4761</v>
      </c>
      <c r="S188" s="154">
        <f t="shared" si="14"/>
        <v>0</v>
      </c>
      <c r="T188" s="156" t="str">
        <f>+VLOOKUP($L188,Data_Validation!$A:$D,1,0)</f>
        <v>4761@</v>
      </c>
      <c r="U188" s="156" t="str">
        <f>+VLOOKUP($L188,Data_Validation!$A:$D,3,0)</f>
        <v>Pièces</v>
      </c>
      <c r="V188" s="156" t="str">
        <f>+VLOOKUP($L188,Data_Validation!$A:$D,4,0)</f>
        <v>Ventes Détails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072" t="s">
        <v>2045</v>
      </c>
      <c r="B189" s="1072" t="s">
        <v>2046</v>
      </c>
      <c r="C189" s="1074">
        <v>0</v>
      </c>
      <c r="D189" s="1074">
        <v>-44671.41</v>
      </c>
      <c r="E189" s="1074">
        <v>-44671.41</v>
      </c>
      <c r="F189" s="1072" t="s">
        <v>285</v>
      </c>
      <c r="G189" s="1072" t="s">
        <v>2046</v>
      </c>
      <c r="H189" s="1073"/>
      <c r="I189" s="1073"/>
      <c r="J189" s="1073"/>
      <c r="K189" s="1073"/>
      <c r="L189" s="153" t="str">
        <f t="shared" si="10"/>
        <v>4763</v>
      </c>
      <c r="M189" s="154" t="str">
        <f t="shared" si="11"/>
        <v>VTE - P&amp;A VW COMPTOIR GROS - ECHANGE</v>
      </c>
      <c r="N189" s="155">
        <f>+IF(OR($Q189=Parametres!$G$2,$Q189=Parametres!$G$3),I189,C189)</f>
        <v>0</v>
      </c>
      <c r="O189" s="155">
        <f>+IF(OR($Q189=Parametres!$G$2,$Q189=Parametres!$G$3),J189,D189)</f>
        <v>-44671.41</v>
      </c>
      <c r="P189" s="155">
        <f>+IF(OR($Q189=Parametres!$G$2,$Q189=Parametres!$G$3),K189,E189)</f>
        <v>-44671.41</v>
      </c>
      <c r="Q189" s="154" t="str">
        <f t="shared" si="12"/>
        <v>5-Ventes</v>
      </c>
      <c r="R189" s="153" t="str">
        <f t="shared" si="13"/>
        <v>4763</v>
      </c>
      <c r="S189" s="154">
        <f t="shared" si="14"/>
        <v>0</v>
      </c>
      <c r="T189" s="156" t="str">
        <f>+VLOOKUP($L189,Data_Validation!$A:$D,1,0)</f>
        <v>4763</v>
      </c>
      <c r="U189" s="156" t="str">
        <f>+VLOOKUP($L189,Data_Validation!$A:$D,3,0)</f>
        <v>Pièces</v>
      </c>
      <c r="V189" s="156" t="str">
        <f>+VLOOKUP($L189,Data_Validation!$A:$D,4,0)</f>
        <v>Ventes de Gros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72" t="s">
        <v>2556</v>
      </c>
      <c r="B190" s="1072" t="s">
        <v>2557</v>
      </c>
      <c r="C190" s="1073"/>
      <c r="D190" s="1073"/>
      <c r="E190" s="1073"/>
      <c r="F190" s="1072" t="s">
        <v>4</v>
      </c>
      <c r="G190" s="1072" t="s">
        <v>2046</v>
      </c>
      <c r="H190" s="1073"/>
      <c r="I190" s="1074">
        <v>0</v>
      </c>
      <c r="J190" s="1074">
        <v>-182</v>
      </c>
      <c r="K190" s="1074">
        <v>-182</v>
      </c>
      <c r="L190" s="153" t="str">
        <f t="shared" si="10"/>
        <v>4763@</v>
      </c>
      <c r="M190" s="154" t="str">
        <f t="shared" si="11"/>
        <v>PIECES-COMPTOIR-COMM. GROS</v>
      </c>
      <c r="N190" s="155">
        <f>+IF(OR($Q190=Parametres!$G$2,$Q190=Parametres!$G$3),I190,C190)</f>
        <v>0</v>
      </c>
      <c r="O190" s="155">
        <f>+IF(OR($Q190=Parametres!$G$2,$Q190=Parametres!$G$3),J190,D190)</f>
        <v>-182</v>
      </c>
      <c r="P190" s="155">
        <f>+IF(OR($Q190=Parametres!$G$2,$Q190=Parametres!$G$3),K190,E190)</f>
        <v>-182</v>
      </c>
      <c r="Q190" s="154" t="str">
        <f t="shared" si="12"/>
        <v>10-Compte compteur</v>
      </c>
      <c r="R190" s="153" t="str">
        <f t="shared" si="13"/>
        <v>4763</v>
      </c>
      <c r="S190" s="154">
        <f t="shared" si="14"/>
        <v>0</v>
      </c>
      <c r="T190" s="156" t="str">
        <f>+VLOOKUP($L190,Data_Validation!$A:$D,1,0)</f>
        <v>4763@</v>
      </c>
      <c r="U190" s="156" t="str">
        <f>+VLOOKUP($L190,Data_Validation!$A:$D,3,0)</f>
        <v>Pièces</v>
      </c>
      <c r="V190" s="156" t="str">
        <f>+VLOOKUP($L190,Data_Validation!$A:$D,4,0)</f>
        <v>Ventes de Gros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72" t="s">
        <v>2034</v>
      </c>
      <c r="B191" s="1072" t="s">
        <v>2035</v>
      </c>
      <c r="C191" s="1074">
        <v>0</v>
      </c>
      <c r="D191" s="1074">
        <v>-14638.67</v>
      </c>
      <c r="E191" s="1074">
        <v>-14638.67</v>
      </c>
      <c r="F191" s="1072" t="s">
        <v>285</v>
      </c>
      <c r="G191" s="1072" t="s">
        <v>2035</v>
      </c>
      <c r="H191" s="1073"/>
      <c r="I191" s="1073"/>
      <c r="J191" s="1073"/>
      <c r="K191" s="1073"/>
      <c r="L191" s="153" t="str">
        <f t="shared" si="10"/>
        <v>4781</v>
      </c>
      <c r="M191" s="154" t="str">
        <f t="shared" si="11"/>
        <v>VENTES PNEUS</v>
      </c>
      <c r="N191" s="155">
        <f>+IF(OR($Q191=Parametres!$G$2,$Q191=Parametres!$G$3),I191,C191)</f>
        <v>0</v>
      </c>
      <c r="O191" s="155">
        <f>+IF(OR($Q191=Parametres!$G$2,$Q191=Parametres!$G$3),J191,D191)</f>
        <v>-14638.67</v>
      </c>
      <c r="P191" s="155">
        <f>+IF(OR($Q191=Parametres!$G$2,$Q191=Parametres!$G$3),K191,E191)</f>
        <v>-14638.67</v>
      </c>
      <c r="Q191" s="154" t="str">
        <f t="shared" si="12"/>
        <v>5-Ventes</v>
      </c>
      <c r="R191" s="153" t="str">
        <f t="shared" si="13"/>
        <v>4781</v>
      </c>
      <c r="S191" s="154">
        <f t="shared" si="14"/>
        <v>0</v>
      </c>
      <c r="T191" s="156" t="str">
        <f>+VLOOKUP($L191,Data_Validation!$A:$D,1,0)</f>
        <v>4781</v>
      </c>
      <c r="U191" s="156" t="str">
        <f>+VLOOKUP($L191,Data_Validation!$A:$D,3,0)</f>
        <v>Pièces</v>
      </c>
      <c r="V191" s="156" t="str">
        <f>+VLOOKUP($L191,Data_Validation!$A:$D,4,0)</f>
        <v>Ventes Pneus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72" t="s">
        <v>2034</v>
      </c>
      <c r="B192" s="1072" t="s">
        <v>2558</v>
      </c>
      <c r="C192" s="1073"/>
      <c r="D192" s="1073"/>
      <c r="E192" s="1073"/>
      <c r="F192" s="1072" t="s">
        <v>4</v>
      </c>
      <c r="G192" s="1072" t="s">
        <v>2035</v>
      </c>
      <c r="H192" s="1073"/>
      <c r="I192" s="1074">
        <v>0</v>
      </c>
      <c r="J192" s="1074">
        <v>-20</v>
      </c>
      <c r="K192" s="1074">
        <v>-20</v>
      </c>
      <c r="L192" s="153" t="str">
        <f t="shared" si="10"/>
        <v>4781@</v>
      </c>
      <c r="M192" s="154" t="str">
        <f t="shared" si="11"/>
        <v>VENTES PNEUS</v>
      </c>
      <c r="N192" s="155">
        <f>+IF(OR($Q192=Parametres!$G$2,$Q192=Parametres!$G$3),I192,C192)</f>
        <v>0</v>
      </c>
      <c r="O192" s="155">
        <f>+IF(OR($Q192=Parametres!$G$2,$Q192=Parametres!$G$3),J192,D192)</f>
        <v>-20</v>
      </c>
      <c r="P192" s="155">
        <f>+IF(OR($Q192=Parametres!$G$2,$Q192=Parametres!$G$3),K192,E192)</f>
        <v>-20</v>
      </c>
      <c r="Q192" s="154" t="str">
        <f t="shared" si="12"/>
        <v>10-Compte compteur</v>
      </c>
      <c r="R192" s="153" t="str">
        <f t="shared" si="13"/>
        <v>4781</v>
      </c>
      <c r="S192" s="154">
        <f t="shared" si="14"/>
        <v>0</v>
      </c>
      <c r="T192" s="156" t="str">
        <f>+VLOOKUP($L192,Data_Validation!$A:$D,1,0)</f>
        <v>4781@</v>
      </c>
      <c r="U192" s="156" t="str">
        <f>+VLOOKUP($L192,Data_Validation!$A:$D,3,0)</f>
        <v>Pièces</v>
      </c>
      <c r="V192" s="156" t="str">
        <f>+VLOOKUP($L192,Data_Validation!$A:$D,4,0)</f>
        <v>Ventes Pneus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72" t="s">
        <v>2840</v>
      </c>
      <c r="B193" s="1072" t="s">
        <v>2841</v>
      </c>
      <c r="C193" s="1074">
        <v>0</v>
      </c>
      <c r="D193" s="1074">
        <v>85163.14</v>
      </c>
      <c r="E193" s="1074">
        <v>85163.14</v>
      </c>
      <c r="F193" s="1072" t="s">
        <v>424</v>
      </c>
      <c r="G193" s="1072" t="s">
        <v>2026</v>
      </c>
      <c r="H193" s="1050"/>
      <c r="I193" s="1049"/>
      <c r="J193" s="1049"/>
      <c r="K193" s="1049"/>
      <c r="L193" s="153" t="str">
        <f t="shared" si="10"/>
        <v>5100</v>
      </c>
      <c r="M193" s="154" t="str">
        <f t="shared" si="11"/>
        <v>C/V - RACHAT DE BAIL</v>
      </c>
      <c r="N193" s="155">
        <f>+IF(OR($Q193=Parametres!$G$2,$Q193=Parametres!$G$3),I193,C193)</f>
        <v>0</v>
      </c>
      <c r="O193" s="155">
        <f>+IF(OR($Q193=Parametres!$G$2,$Q193=Parametres!$G$3),J193,D193)</f>
        <v>85163.14</v>
      </c>
      <c r="P193" s="155">
        <f>+IF(OR($Q193=Parametres!$G$2,$Q193=Parametres!$G$3),K193,E193)</f>
        <v>85163.14</v>
      </c>
      <c r="Q193" s="154" t="str">
        <f t="shared" si="12"/>
        <v>6-Coût des ventes</v>
      </c>
      <c r="R193" s="153" t="str">
        <f t="shared" si="13"/>
        <v>4100</v>
      </c>
      <c r="S193" s="154">
        <f t="shared" si="14"/>
        <v>0</v>
      </c>
      <c r="T193" s="156" t="str">
        <f>+VLOOKUP($L193,Data_Validation!$A:$D,1,0)</f>
        <v>5100</v>
      </c>
      <c r="U193" s="156" t="str">
        <f>+VLOOKUP($L193,Data_Validation!$A:$D,3,0)</f>
        <v>Véhicules neufs</v>
      </c>
      <c r="V193" s="156" t="str">
        <f>+VLOOKUP($L193,Data_Validation!$A:$D,4,0)</f>
        <v>Rachat bail</v>
      </c>
      <c r="W193" s="156" t="str">
        <f>+VLOOKUP($L193,Data_Validation!$A:$E,5,0)</f>
        <v>$</v>
      </c>
      <c r="X193" s="156">
        <f>+VLOOKUP($L193,Data_Validation!$A:$F,6,0)</f>
        <v>0</v>
      </c>
    </row>
    <row r="194" spans="1:24" ht="15.75" hidden="1" customHeight="1">
      <c r="A194" s="1072" t="s">
        <v>2842</v>
      </c>
      <c r="B194" s="1072" t="s">
        <v>2843</v>
      </c>
      <c r="C194" s="1074">
        <v>0</v>
      </c>
      <c r="D194" s="1074">
        <v>23330.06</v>
      </c>
      <c r="E194" s="1074">
        <v>23330.06</v>
      </c>
      <c r="F194" s="1072" t="s">
        <v>424</v>
      </c>
      <c r="G194" s="1072" t="s">
        <v>2019</v>
      </c>
      <c r="H194" s="1050"/>
      <c r="I194" s="1049"/>
      <c r="J194" s="1049"/>
      <c r="K194" s="1049"/>
      <c r="L194" s="153" t="str">
        <f t="shared" ref="L194:L257" si="15">+B194</f>
        <v>5107</v>
      </c>
      <c r="M194" s="154" t="str">
        <f t="shared" ref="M194:M257" si="16">+A194</f>
        <v>C/V - GOLF</v>
      </c>
      <c r="N194" s="155">
        <f>+IF(OR($Q194=Parametres!$G$2,$Q194=Parametres!$G$3),I194,C194)</f>
        <v>0</v>
      </c>
      <c r="O194" s="155">
        <f>+IF(OR($Q194=Parametres!$G$2,$Q194=Parametres!$G$3),J194,D194)</f>
        <v>23330.06</v>
      </c>
      <c r="P194" s="155">
        <f>+IF(OR($Q194=Parametres!$G$2,$Q194=Parametres!$G$3),K194,E194)</f>
        <v>23330.06</v>
      </c>
      <c r="Q194" s="154" t="str">
        <f t="shared" ref="Q194:Q257" si="17">+F194</f>
        <v>6-Coût des ventes</v>
      </c>
      <c r="R194" s="153" t="str">
        <f t="shared" ref="R194:R257" si="18">+G194</f>
        <v>4107</v>
      </c>
      <c r="S194" s="154">
        <f t="shared" ref="S194:S257" si="19">+H194</f>
        <v>0</v>
      </c>
      <c r="T194" s="156" t="str">
        <f>+VLOOKUP($L194,Data_Validation!$A:$D,1,0)</f>
        <v>5107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>
        <f>+VLOOKUP($L194,Data_Validation!$A:$F,6,0)</f>
        <v>0</v>
      </c>
    </row>
    <row r="195" spans="1:24" ht="15" hidden="1" customHeight="1">
      <c r="A195" s="1072" t="s">
        <v>2844</v>
      </c>
      <c r="B195" s="1072" t="s">
        <v>2845</v>
      </c>
      <c r="C195" s="1074">
        <v>0</v>
      </c>
      <c r="D195" s="1074">
        <v>137883.06</v>
      </c>
      <c r="E195" s="1074">
        <v>137883.06</v>
      </c>
      <c r="F195" s="1072" t="s">
        <v>424</v>
      </c>
      <c r="G195" s="1072" t="s">
        <v>2014</v>
      </c>
      <c r="H195" s="1050"/>
      <c r="I195" s="1049"/>
      <c r="J195" s="1049"/>
      <c r="K195" s="1049"/>
      <c r="L195" s="153" t="str">
        <f t="shared" si="15"/>
        <v>5111</v>
      </c>
      <c r="M195" s="154" t="str">
        <f t="shared" si="16"/>
        <v>C/V - JETTA</v>
      </c>
      <c r="N195" s="155">
        <f>+IF(OR($Q195=Parametres!$G$2,$Q195=Parametres!$G$3),I195,C195)</f>
        <v>0</v>
      </c>
      <c r="O195" s="155">
        <f>+IF(OR($Q195=Parametres!$G$2,$Q195=Parametres!$G$3),J195,D195)</f>
        <v>137883.06</v>
      </c>
      <c r="P195" s="155">
        <f>+IF(OR($Q195=Parametres!$G$2,$Q195=Parametres!$G$3),K195,E195)</f>
        <v>137883.06</v>
      </c>
      <c r="Q195" s="154" t="str">
        <f t="shared" si="17"/>
        <v>6-Coût des ventes</v>
      </c>
      <c r="R195" s="153" t="str">
        <f t="shared" si="18"/>
        <v>4111</v>
      </c>
      <c r="S195" s="154">
        <f t="shared" si="19"/>
        <v>0</v>
      </c>
      <c r="T195" s="156" t="str">
        <f>+VLOOKUP($L195,Data_Validation!$A:$D,1,0)</f>
        <v>5111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$</v>
      </c>
      <c r="X195" s="156">
        <f>+VLOOKUP($L195,Data_Validation!$A:$F,6,0)</f>
        <v>0</v>
      </c>
    </row>
    <row r="196" spans="1:24" ht="15" hidden="1" customHeight="1">
      <c r="A196" s="1072" t="s">
        <v>2850</v>
      </c>
      <c r="B196" s="1072" t="s">
        <v>2851</v>
      </c>
      <c r="C196" s="1074">
        <v>0</v>
      </c>
      <c r="D196" s="1074">
        <v>107480.85</v>
      </c>
      <c r="E196" s="1074">
        <v>107480.85</v>
      </c>
      <c r="F196" s="1072" t="s">
        <v>424</v>
      </c>
      <c r="G196" s="1072" t="s">
        <v>2003</v>
      </c>
      <c r="H196" s="1050"/>
      <c r="I196" s="1050"/>
      <c r="J196" s="1050"/>
      <c r="K196" s="1050"/>
      <c r="L196" s="153" t="str">
        <f t="shared" si="15"/>
        <v>5119</v>
      </c>
      <c r="M196" s="154" t="str">
        <f t="shared" si="16"/>
        <v>C/V - ATLAS</v>
      </c>
      <c r="N196" s="155">
        <f>+IF(OR($Q196=Parametres!$G$2,$Q196=Parametres!$G$3),I196,C196)</f>
        <v>0</v>
      </c>
      <c r="O196" s="608">
        <f>+IF(OR($Q196=Parametres!$G$2,$Q196=Parametres!$G$3),J196,D196)</f>
        <v>107480.85</v>
      </c>
      <c r="P196" s="155">
        <f>+IF(OR($Q196=Parametres!$G$2,$Q196=Parametres!$G$3),K196,E196)</f>
        <v>107480.85</v>
      </c>
      <c r="Q196" s="154" t="str">
        <f t="shared" si="17"/>
        <v>6-Coût des ventes</v>
      </c>
      <c r="R196" s="153" t="str">
        <f t="shared" si="18"/>
        <v>4119</v>
      </c>
      <c r="S196" s="154">
        <f t="shared" si="19"/>
        <v>0</v>
      </c>
      <c r="T196" s="156" t="str">
        <f>+VLOOKUP($L196,Data_Validation!$A:$D,1,0)</f>
        <v>5119</v>
      </c>
      <c r="U196" s="156" t="str">
        <f>+VLOOKUP($L196,Data_Validation!$A:$D,3,0)</f>
        <v>Véhicules neufs</v>
      </c>
      <c r="V196" s="156" t="str">
        <f>+VLOOKUP($L196,Data_Validation!$A:$D,4,0)</f>
        <v>Camions détail</v>
      </c>
      <c r="W196" s="156" t="str">
        <f>+VLOOKUP($L196,Data_Validation!$A:$E,5,0)</f>
        <v>$</v>
      </c>
      <c r="X196" s="156">
        <f>+VLOOKUP($L196,Data_Validation!$A:$F,6,0)</f>
        <v>0</v>
      </c>
    </row>
    <row r="197" spans="1:24" ht="15" hidden="1" customHeight="1">
      <c r="A197" s="1072" t="s">
        <v>2855</v>
      </c>
      <c r="B197" s="1072" t="s">
        <v>2856</v>
      </c>
      <c r="C197" s="1074">
        <v>0</v>
      </c>
      <c r="D197" s="1074">
        <v>414591.03</v>
      </c>
      <c r="E197" s="1074">
        <v>414591.03</v>
      </c>
      <c r="F197" s="1072" t="s">
        <v>424</v>
      </c>
      <c r="G197" s="1072" t="s">
        <v>1999</v>
      </c>
      <c r="H197" s="1050"/>
      <c r="I197" s="1049"/>
      <c r="J197" s="1049"/>
      <c r="K197" s="1049"/>
      <c r="L197" s="153" t="str">
        <f t="shared" si="15"/>
        <v>5131</v>
      </c>
      <c r="M197" s="154" t="str">
        <f t="shared" si="16"/>
        <v>C/V - TIGUAN LWB</v>
      </c>
      <c r="N197" s="155">
        <f>+IF(OR($Q197=Parametres!$G$2,$Q197=Parametres!$G$3),I197,C197)</f>
        <v>0</v>
      </c>
      <c r="O197" s="155">
        <f>+IF(OR($Q197=Parametres!$G$2,$Q197=Parametres!$G$3),J197,D197)</f>
        <v>414591.03</v>
      </c>
      <c r="P197" s="155">
        <f>+IF(OR($Q197=Parametres!$G$2,$Q197=Parametres!$G$3),K197,E197)</f>
        <v>414591.03</v>
      </c>
      <c r="Q197" s="154" t="str">
        <f t="shared" si="17"/>
        <v>6-Coût des ventes</v>
      </c>
      <c r="R197" s="153" t="str">
        <f t="shared" si="18"/>
        <v>4131</v>
      </c>
      <c r="S197" s="154">
        <f t="shared" si="19"/>
        <v>0</v>
      </c>
      <c r="T197" s="156" t="str">
        <f>+VLOOKUP($L197,Data_Validation!$A:$D,1,0)</f>
        <v>5131</v>
      </c>
      <c r="U197" s="156" t="str">
        <f>+VLOOKUP($L197,Data_Validation!$A:$D,3,0)</f>
        <v>Véhicules neufs</v>
      </c>
      <c r="V197" s="156" t="str">
        <f>+VLOOKUP($L197,Data_Validation!$A:$D,4,0)</f>
        <v>Camions détail</v>
      </c>
      <c r="W197" s="156" t="str">
        <f>+VLOOKUP($L197,Data_Validation!$A:$E,5,0)</f>
        <v>$</v>
      </c>
      <c r="X197" s="156">
        <f>+VLOOKUP($L197,Data_Validation!$A:$F,6,0)</f>
        <v>0</v>
      </c>
    </row>
    <row r="198" spans="1:24" ht="15" hidden="1" customHeight="1">
      <c r="A198" s="1072" t="s">
        <v>2838</v>
      </c>
      <c r="B198" s="1072" t="s">
        <v>2839</v>
      </c>
      <c r="C198" s="1074">
        <v>0</v>
      </c>
      <c r="D198" s="1074">
        <v>31811.41</v>
      </c>
      <c r="E198" s="1074">
        <v>31811.41</v>
      </c>
      <c r="F198" s="1072" t="s">
        <v>424</v>
      </c>
      <c r="G198" s="1072" t="s">
        <v>2506</v>
      </c>
      <c r="H198" s="150"/>
      <c r="I198" s="157"/>
      <c r="J198" s="157"/>
      <c r="K198" s="157"/>
      <c r="L198" s="153" t="str">
        <f t="shared" si="15"/>
        <v>5135</v>
      </c>
      <c r="M198" s="154" t="str">
        <f t="shared" si="16"/>
        <v>C/V - EGOLF</v>
      </c>
      <c r="N198" s="155">
        <f>+IF(OR($Q198=Parametres!$G$2,$Q198=Parametres!$G$3),I198,C198)</f>
        <v>0</v>
      </c>
      <c r="O198" s="155">
        <f>+IF(OR($Q198=Parametres!$G$2,$Q198=Parametres!$G$3),J198,D198)</f>
        <v>31811.41</v>
      </c>
      <c r="P198" s="155">
        <f>+IF(OR($Q198=Parametres!$G$2,$Q198=Parametres!$G$3),K198,E198)</f>
        <v>31811.41</v>
      </c>
      <c r="Q198" s="154" t="str">
        <f t="shared" si="17"/>
        <v>6-Coût des ventes</v>
      </c>
      <c r="R198" s="153" t="str">
        <f t="shared" si="18"/>
        <v>84135</v>
      </c>
      <c r="S198" s="154">
        <f t="shared" si="19"/>
        <v>0</v>
      </c>
      <c r="T198" s="156" t="str">
        <f>+VLOOKUP($L198,Data_Validation!$A:$D,1,0)</f>
        <v>5135</v>
      </c>
      <c r="U198" s="156" t="str">
        <f>+VLOOKUP($L198,Data_Validation!$A:$D,3,0)</f>
        <v>Véhicules neufs</v>
      </c>
      <c r="V198" s="156" t="str">
        <f>+VLOOKUP($L198,Data_Validation!$A:$D,4,0)</f>
        <v>Autos détail</v>
      </c>
      <c r="W198" s="156" t="str">
        <f>+VLOOKUP($L198,Data_Validation!$A:$E,5,0)</f>
        <v>$</v>
      </c>
      <c r="X198" s="156">
        <f>+VLOOKUP($L198,Data_Validation!$A:$F,6,0)</f>
        <v>0</v>
      </c>
    </row>
    <row r="199" spans="1:24" ht="15.75" hidden="1" customHeight="1">
      <c r="A199" s="1072" t="s">
        <v>2456</v>
      </c>
      <c r="B199" s="1072" t="s">
        <v>2457</v>
      </c>
      <c r="C199" s="1074">
        <v>0</v>
      </c>
      <c r="D199" s="1074">
        <v>67873.14</v>
      </c>
      <c r="E199" s="1074">
        <v>67873.14</v>
      </c>
      <c r="F199" s="1072" t="s">
        <v>424</v>
      </c>
      <c r="G199" s="1072" t="s">
        <v>2442</v>
      </c>
      <c r="H199" s="1050"/>
      <c r="I199" s="1049"/>
      <c r="J199" s="1049"/>
      <c r="K199" s="1049"/>
      <c r="L199" s="153" t="str">
        <f t="shared" si="15"/>
        <v>5137</v>
      </c>
      <c r="M199" s="154" t="str">
        <f t="shared" si="16"/>
        <v>C/V - VW FLOTTE/VENTE ENTR/EMPLOYE/VEH DEMONS</v>
      </c>
      <c r="N199" s="155">
        <f>+IF(OR($Q199=Parametres!$G$2,$Q199=Parametres!$G$3),I199,C199)</f>
        <v>0</v>
      </c>
      <c r="O199" s="155">
        <f>+IF(OR($Q199=Parametres!$G$2,$Q199=Parametres!$G$3),J199,D199)</f>
        <v>67873.14</v>
      </c>
      <c r="P199" s="155">
        <f>+IF(OR($Q199=Parametres!$G$2,$Q199=Parametres!$G$3),K199,E199)</f>
        <v>67873.14</v>
      </c>
      <c r="Q199" s="154" t="str">
        <f t="shared" si="17"/>
        <v>6-Coût des ventes</v>
      </c>
      <c r="R199" s="153" t="str">
        <f t="shared" si="18"/>
        <v>4137</v>
      </c>
      <c r="S199" s="154">
        <f t="shared" si="19"/>
        <v>0</v>
      </c>
      <c r="T199" s="156" t="str">
        <f>+VLOOKUP($L199,Data_Validation!$A:$D,1,0)</f>
        <v>5137</v>
      </c>
      <c r="U199" s="156" t="str">
        <f>+VLOOKUP($L199,Data_Validation!$A:$D,3,0)</f>
        <v>Véhicules neufs</v>
      </c>
      <c r="V199" s="156" t="str">
        <f>+VLOOKUP($L199,Data_Validation!$A:$D,4,0)</f>
        <v>Ex-Démos et courtoisies</v>
      </c>
      <c r="W199" s="156" t="str">
        <f>+VLOOKUP($L199,Data_Validation!$A:$E,5,0)</f>
        <v>$</v>
      </c>
      <c r="X199" s="156">
        <f>+VLOOKUP($L199,Data_Validation!$A:$F,6,0)</f>
        <v>0</v>
      </c>
    </row>
    <row r="200" spans="1:24" ht="15" hidden="1" customHeight="1">
      <c r="A200" s="1072" t="s">
        <v>2456</v>
      </c>
      <c r="B200" s="1072" t="s">
        <v>2849</v>
      </c>
      <c r="C200" s="1074">
        <v>0</v>
      </c>
      <c r="D200" s="1074">
        <v>85891.95</v>
      </c>
      <c r="E200" s="1074">
        <v>85891.95</v>
      </c>
      <c r="F200" s="1072" t="s">
        <v>424</v>
      </c>
      <c r="G200" s="1072" t="s">
        <v>2005</v>
      </c>
      <c r="H200" s="150"/>
      <c r="I200" s="157"/>
      <c r="J200" s="157"/>
      <c r="K200" s="157"/>
      <c r="L200" s="153" t="str">
        <f t="shared" si="15"/>
        <v>5139</v>
      </c>
      <c r="M200" s="154" t="str">
        <f t="shared" si="16"/>
        <v>C/V - VW FLOTTE/VENTE ENTR/EMPLOYE/VEH DEMONS</v>
      </c>
      <c r="N200" s="155">
        <f>+IF(OR($Q200=Parametres!$G$2,$Q200=Parametres!$G$3),I200,C200)</f>
        <v>0</v>
      </c>
      <c r="O200" s="608">
        <f>+IF(OR($Q200=Parametres!$G$2,$Q200=Parametres!$G$3),J200,D200)</f>
        <v>85891.95</v>
      </c>
      <c r="P200" s="155">
        <f>+IF(OR($Q200=Parametres!$G$2,$Q200=Parametres!$G$3),K200,E200)</f>
        <v>85891.95</v>
      </c>
      <c r="Q200" s="154" t="str">
        <f t="shared" si="17"/>
        <v>6-Coût des ventes</v>
      </c>
      <c r="R200" s="153" t="str">
        <f t="shared" si="18"/>
        <v>4139</v>
      </c>
      <c r="S200" s="154">
        <f t="shared" si="19"/>
        <v>0</v>
      </c>
      <c r="T200" s="156" t="str">
        <f>+VLOOKUP($L200,Data_Validation!$A:$D,1,0)</f>
        <v>5139</v>
      </c>
      <c r="U200" s="156" t="str">
        <f>+VLOOKUP($L200,Data_Validation!$A:$D,3,0)</f>
        <v>Véhicules neufs</v>
      </c>
      <c r="V200" s="156" t="str">
        <f>+VLOOKUP($L200,Data_Validation!$A:$D,4,0)</f>
        <v>Ex-Démos et courtoisies</v>
      </c>
      <c r="W200" s="156" t="str">
        <f>+VLOOKUP($L200,Data_Validation!$A:$E,5,0)</f>
        <v>$</v>
      </c>
      <c r="X200" s="156">
        <f>+VLOOKUP($L200,Data_Validation!$A:$F,6,0)</f>
        <v>0</v>
      </c>
    </row>
    <row r="201" spans="1:24" ht="15" hidden="1" customHeight="1">
      <c r="A201" s="1072" t="s">
        <v>2852</v>
      </c>
      <c r="B201" s="1072" t="s">
        <v>2853</v>
      </c>
      <c r="C201" s="1074">
        <v>0</v>
      </c>
      <c r="D201" s="1074">
        <v>267797.82</v>
      </c>
      <c r="E201" s="1074">
        <v>267797.82</v>
      </c>
      <c r="F201" s="1072" t="s">
        <v>424</v>
      </c>
      <c r="G201" s="1072" t="s">
        <v>2001</v>
      </c>
      <c r="H201" s="1050"/>
      <c r="I201" s="1049"/>
      <c r="J201" s="1049"/>
      <c r="K201" s="1049"/>
      <c r="L201" s="153" t="str">
        <f t="shared" si="15"/>
        <v>5201</v>
      </c>
      <c r="M201" s="154" t="str">
        <f t="shared" si="16"/>
        <v>C/V - VEH.USAGE VW DETAIL CERTIFIE</v>
      </c>
      <c r="N201" s="155">
        <f>+IF(OR($Q201=Parametres!$G$2,$Q201=Parametres!$G$3),I201,C201)</f>
        <v>0</v>
      </c>
      <c r="O201" s="155">
        <f>+IF(OR($Q201=Parametres!$G$2,$Q201=Parametres!$G$3),J201,D201)</f>
        <v>267797.82</v>
      </c>
      <c r="P201" s="155">
        <f>+IF(OR($Q201=Parametres!$G$2,$Q201=Parametres!$G$3),K201,E201)</f>
        <v>267797.82</v>
      </c>
      <c r="Q201" s="154" t="str">
        <f t="shared" si="17"/>
        <v>6-Coût des ventes</v>
      </c>
      <c r="R201" s="153" t="str">
        <f t="shared" si="18"/>
        <v>4201</v>
      </c>
      <c r="S201" s="154">
        <f t="shared" si="19"/>
        <v>0</v>
      </c>
      <c r="T201" s="156" t="str">
        <f>+VLOOKUP($L201,Data_Validation!$A:$D,1,0)</f>
        <v>5201</v>
      </c>
      <c r="U201" s="156" t="str">
        <f>+VLOOKUP($L201,Data_Validation!$A:$D,3,0)</f>
        <v>Véhicules usagés</v>
      </c>
      <c r="V201" s="156" t="str">
        <f>+VLOOKUP($L201,Data_Validation!$A:$D,4,0)</f>
        <v>Certifié</v>
      </c>
      <c r="W201" s="156" t="str">
        <f>+VLOOKUP($L201,Data_Validation!$A:$E,5,0)</f>
        <v>$</v>
      </c>
      <c r="X201" s="156">
        <f>+VLOOKUP($L201,Data_Validation!$A:$F,6,0)</f>
        <v>0</v>
      </c>
    </row>
    <row r="202" spans="1:24" ht="15" hidden="1" customHeight="1">
      <c r="A202" s="1072" t="s">
        <v>2830</v>
      </c>
      <c r="B202" s="1072" t="s">
        <v>2831</v>
      </c>
      <c r="C202" s="1074">
        <v>0</v>
      </c>
      <c r="D202" s="1074">
        <v>23249.22</v>
      </c>
      <c r="E202" s="1074">
        <v>23249.22</v>
      </c>
      <c r="F202" s="1072" t="s">
        <v>424</v>
      </c>
      <c r="G202" s="1072" t="s">
        <v>2001</v>
      </c>
      <c r="H202" s="150"/>
      <c r="I202" s="157"/>
      <c r="J202" s="157"/>
      <c r="K202" s="157"/>
      <c r="L202" s="153" t="str">
        <f t="shared" si="15"/>
        <v>5203</v>
      </c>
      <c r="M202" s="154" t="str">
        <f t="shared" si="16"/>
        <v>C/V - RECOND USAGE VW CERT.</v>
      </c>
      <c r="N202" s="155">
        <f>+IF(OR($Q202=Parametres!$G$2,$Q202=Parametres!$G$3),I202,C202)</f>
        <v>0</v>
      </c>
      <c r="O202" s="608">
        <f>+IF(OR($Q202=Parametres!$G$2,$Q202=Parametres!$G$3),J202,D202)</f>
        <v>23249.22</v>
      </c>
      <c r="P202" s="155">
        <f>+IF(OR($Q202=Parametres!$G$2,$Q202=Parametres!$G$3),K202,E202)</f>
        <v>23249.22</v>
      </c>
      <c r="Q202" s="154" t="str">
        <f t="shared" si="17"/>
        <v>6-Coût des ventes</v>
      </c>
      <c r="R202" s="153" t="str">
        <f t="shared" si="18"/>
        <v>4201</v>
      </c>
      <c r="S202" s="154">
        <f t="shared" si="19"/>
        <v>0</v>
      </c>
      <c r="T202" s="156" t="str">
        <f>+VLOOKUP($L202,Data_Validation!$A:$D,1,0)</f>
        <v>5203</v>
      </c>
      <c r="U202" s="156" t="str">
        <f>+VLOOKUP($L202,Data_Validation!$A:$D,3,0)</f>
        <v>Véhicules usagés</v>
      </c>
      <c r="V202" s="156" t="str">
        <f>+VLOOKUP($L202,Data_Validation!$A:$D,4,0)</f>
        <v>Certifié</v>
      </c>
      <c r="W202" s="156" t="str">
        <f>+VLOOKUP($L202,Data_Validation!$A:$E,5,0)</f>
        <v>$</v>
      </c>
      <c r="X202" s="156">
        <f>+VLOOKUP($L202,Data_Validation!$A:$F,6,0)</f>
        <v>0</v>
      </c>
    </row>
    <row r="203" spans="1:24" ht="15" hidden="1" customHeight="1">
      <c r="A203" s="1072" t="s">
        <v>2038</v>
      </c>
      <c r="B203" s="1072" t="s">
        <v>2827</v>
      </c>
      <c r="C203" s="1074">
        <v>0</v>
      </c>
      <c r="D203" s="1074">
        <v>28215</v>
      </c>
      <c r="E203" s="1074">
        <v>28215</v>
      </c>
      <c r="F203" s="1072" t="s">
        <v>424</v>
      </c>
      <c r="G203" s="1072" t="s">
        <v>2040</v>
      </c>
      <c r="H203" s="1050"/>
      <c r="I203" s="1049"/>
      <c r="J203" s="1049"/>
      <c r="K203" s="1049"/>
      <c r="L203" s="153" t="str">
        <f t="shared" si="15"/>
        <v>5285</v>
      </c>
      <c r="M203" s="154" t="str">
        <f t="shared" si="16"/>
        <v>VEH. D'OCC. AUTRE DETAIL</v>
      </c>
      <c r="N203" s="155">
        <f>+IF(OR($Q203=Parametres!$G$2,$Q203=Parametres!$G$3),I203,C203)</f>
        <v>0</v>
      </c>
      <c r="O203" s="155">
        <f>+IF(OR($Q203=Parametres!$G$2,$Q203=Parametres!$G$3),J203,D203)</f>
        <v>28215</v>
      </c>
      <c r="P203" s="155">
        <f>+IF(OR($Q203=Parametres!$G$2,$Q203=Parametres!$G$3),K203,E203)</f>
        <v>28215</v>
      </c>
      <c r="Q203" s="154" t="str">
        <f t="shared" si="17"/>
        <v>6-Coût des ventes</v>
      </c>
      <c r="R203" s="153" t="str">
        <f t="shared" si="18"/>
        <v>4261</v>
      </c>
      <c r="S203" s="154">
        <f t="shared" si="19"/>
        <v>0</v>
      </c>
      <c r="T203" s="156" t="str">
        <f>+VLOOKUP($L203,Data_Validation!$A:$D,1,0)</f>
        <v>5285</v>
      </c>
      <c r="U203" s="156" t="str">
        <f>+VLOOKUP($L203,Data_Validation!$A:$D,3,0)</f>
        <v>Véhicules usagés</v>
      </c>
      <c r="V203" s="156" t="str">
        <f>+VLOOKUP($L203,Data_Validation!$A:$D,4,0)</f>
        <v>Non Certifié</v>
      </c>
      <c r="W203" s="156" t="str">
        <f>+VLOOKUP($L203,Data_Validation!$A:$E,5,0)</f>
        <v>$</v>
      </c>
      <c r="X203" s="156">
        <f>+VLOOKUP($L203,Data_Validation!$A:$F,6,0)</f>
        <v>0</v>
      </c>
    </row>
    <row r="204" spans="1:24" ht="15" hidden="1" customHeight="1">
      <c r="A204" s="1072" t="s">
        <v>2006</v>
      </c>
      <c r="B204" s="1072" t="s">
        <v>2848</v>
      </c>
      <c r="C204" s="1074">
        <v>0</v>
      </c>
      <c r="D204" s="1074">
        <v>156974.20000000001</v>
      </c>
      <c r="E204" s="1074">
        <v>156974.20000000001</v>
      </c>
      <c r="F204" s="1072" t="s">
        <v>424</v>
      </c>
      <c r="G204" s="1072" t="s">
        <v>2008</v>
      </c>
      <c r="H204" s="150"/>
      <c r="I204" s="157"/>
      <c r="J204" s="157"/>
      <c r="K204" s="157"/>
      <c r="L204" s="153" t="str">
        <f t="shared" si="15"/>
        <v>5291</v>
      </c>
      <c r="M204" s="154" t="str">
        <f t="shared" si="16"/>
        <v>VEH. D'OCC. AU GROS</v>
      </c>
      <c r="N204" s="155">
        <f>+IF(OR($Q204=Parametres!$G$2,$Q204=Parametres!$G$3),I204,C204)</f>
        <v>0</v>
      </c>
      <c r="O204" s="155">
        <f>+IF(OR($Q204=Parametres!$G$2,$Q204=Parametres!$G$3),J204,D204)</f>
        <v>156974.20000000001</v>
      </c>
      <c r="P204" s="155">
        <f>+IF(OR($Q204=Parametres!$G$2,$Q204=Parametres!$G$3),K204,E204)</f>
        <v>156974.20000000001</v>
      </c>
      <c r="Q204" s="154" t="str">
        <f t="shared" si="17"/>
        <v>6-Coût des ventes</v>
      </c>
      <c r="R204" s="153" t="str">
        <f t="shared" si="18"/>
        <v>4281</v>
      </c>
      <c r="S204" s="154">
        <f t="shared" si="19"/>
        <v>0</v>
      </c>
      <c r="T204" s="156" t="str">
        <f>+VLOOKUP($L204,Data_Validation!$A:$D,1,0)</f>
        <v>5291</v>
      </c>
      <c r="U204" s="156" t="str">
        <f>+VLOOKUP($L204,Data_Validation!$A:$D,3,0)</f>
        <v>Véhicules usagés</v>
      </c>
      <c r="V204" s="156" t="str">
        <f>+VLOOKUP($L204,Data_Validation!$A:$D,4,0)</f>
        <v>Ventes au Gros</v>
      </c>
      <c r="W204" s="156" t="str">
        <f>+VLOOKUP($L204,Data_Validation!$A:$E,5,0)</f>
        <v>$</v>
      </c>
      <c r="X204" s="156">
        <f>+VLOOKUP($L204,Data_Validation!$A:$F,6,0)</f>
        <v>0</v>
      </c>
    </row>
    <row r="205" spans="1:24" ht="15" hidden="1" customHeight="1">
      <c r="A205" s="1072" t="s">
        <v>2828</v>
      </c>
      <c r="B205" s="1072" t="s">
        <v>2829</v>
      </c>
      <c r="C205" s="1074">
        <v>0</v>
      </c>
      <c r="D205" s="1074">
        <v>13246.39</v>
      </c>
      <c r="E205" s="1074">
        <v>13246.39</v>
      </c>
      <c r="F205" s="1072" t="s">
        <v>424</v>
      </c>
      <c r="G205" s="1072" t="s">
        <v>2012</v>
      </c>
      <c r="H205" s="1050"/>
      <c r="I205" s="1049"/>
      <c r="J205" s="1049"/>
      <c r="K205" s="1049"/>
      <c r="L205" s="153" t="str">
        <f t="shared" si="15"/>
        <v>5401</v>
      </c>
      <c r="M205" s="154" t="str">
        <f t="shared" si="16"/>
        <v>COUT M.O. MECANIQUE CLIENTS</v>
      </c>
      <c r="N205" s="155">
        <f>+IF(OR($Q205=Parametres!$G$2,$Q205=Parametres!$G$3),I205,C205)</f>
        <v>0</v>
      </c>
      <c r="O205" s="155">
        <f>+IF(OR($Q205=Parametres!$G$2,$Q205=Parametres!$G$3),J205,D205)</f>
        <v>13246.39</v>
      </c>
      <c r="P205" s="155">
        <f>+IF(OR($Q205=Parametres!$G$2,$Q205=Parametres!$G$3),K205,E205)</f>
        <v>13246.39</v>
      </c>
      <c r="Q205" s="154" t="str">
        <f t="shared" si="17"/>
        <v>6-Coût des ventes</v>
      </c>
      <c r="R205" s="153" t="str">
        <f t="shared" si="18"/>
        <v>4401</v>
      </c>
      <c r="S205" s="154">
        <f t="shared" si="19"/>
        <v>0</v>
      </c>
      <c r="T205" s="156" t="str">
        <f>+VLOOKUP($L205,Data_Validation!$A:$D,1,0)</f>
        <v>5401</v>
      </c>
      <c r="U205" s="156" t="str">
        <f>+VLOOKUP($L205,Data_Validation!$A:$D,3,0)</f>
        <v>Service</v>
      </c>
      <c r="V205" s="156" t="str">
        <f>+VLOOKUP($L205,Data_Validation!$A:$D,4,0)</f>
        <v>M/O Client</v>
      </c>
      <c r="W205" s="156" t="str">
        <f>+VLOOKUP($L205,Data_Validation!$A:$E,5,0)</f>
        <v>$</v>
      </c>
      <c r="X205" s="156">
        <f>+VLOOKUP($L205,Data_Validation!$A:$F,6,0)</f>
        <v>0</v>
      </c>
    </row>
    <row r="206" spans="1:24" ht="15.75" hidden="1" customHeight="1">
      <c r="A206" s="1072" t="s">
        <v>2791</v>
      </c>
      <c r="B206" s="1072" t="s">
        <v>2792</v>
      </c>
      <c r="C206" s="1074">
        <v>0</v>
      </c>
      <c r="D206" s="1074">
        <v>21251.47</v>
      </c>
      <c r="E206" s="1074">
        <v>21251.47</v>
      </c>
      <c r="F206" s="1072" t="s">
        <v>424</v>
      </c>
      <c r="G206" s="1072" t="s">
        <v>2042</v>
      </c>
      <c r="H206" s="150"/>
      <c r="I206" s="157"/>
      <c r="J206" s="157"/>
      <c r="K206" s="157"/>
      <c r="L206" s="153" t="str">
        <f t="shared" si="15"/>
        <v>5403</v>
      </c>
      <c r="M206" s="154" t="str">
        <f t="shared" si="16"/>
        <v>COUT MEC VENTE GARANTIE MANUF</v>
      </c>
      <c r="N206" s="155">
        <f>+IF(OR($Q206=Parametres!$G$2,$Q206=Parametres!$G$3),I206,C206)</f>
        <v>0</v>
      </c>
      <c r="O206" s="608">
        <f>+IF(OR($Q206=Parametres!$G$2,$Q206=Parametres!$G$3),J206,D206)</f>
        <v>21251.47</v>
      </c>
      <c r="P206" s="155">
        <f>+IF(OR($Q206=Parametres!$G$2,$Q206=Parametres!$G$3),K206,E206)</f>
        <v>21251.47</v>
      </c>
      <c r="Q206" s="154" t="str">
        <f t="shared" si="17"/>
        <v>6-Coût des ventes</v>
      </c>
      <c r="R206" s="153" t="str">
        <f t="shared" si="18"/>
        <v>4403</v>
      </c>
      <c r="S206" s="154">
        <f t="shared" si="19"/>
        <v>0</v>
      </c>
      <c r="T206" s="156" t="str">
        <f>+VLOOKUP($L206,Data_Validation!$A:$D,1,0)</f>
        <v>5403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$</v>
      </c>
      <c r="X206" s="156">
        <f>+VLOOKUP($L206,Data_Validation!$A:$F,6,0)</f>
        <v>0</v>
      </c>
    </row>
    <row r="207" spans="1:24" ht="15" hidden="1" customHeight="1">
      <c r="A207" s="1072" t="s">
        <v>2777</v>
      </c>
      <c r="B207" s="1072" t="s">
        <v>2778</v>
      </c>
      <c r="C207" s="1074">
        <v>0</v>
      </c>
      <c r="D207" s="1074">
        <v>8197.83</v>
      </c>
      <c r="E207" s="1074">
        <v>8197.83</v>
      </c>
      <c r="F207" s="1072" t="s">
        <v>424</v>
      </c>
      <c r="G207" s="1072" t="s">
        <v>2052</v>
      </c>
      <c r="H207" s="1050"/>
      <c r="I207" s="1049"/>
      <c r="J207" s="1049"/>
      <c r="K207" s="1049"/>
      <c r="L207" s="153" t="str">
        <f t="shared" si="15"/>
        <v>5405</v>
      </c>
      <c r="M207" s="154" t="str">
        <f t="shared" si="16"/>
        <v>C D V VENTES M OINTERNE</v>
      </c>
      <c r="N207" s="155">
        <f>+IF(OR($Q207=Parametres!$G$2,$Q207=Parametres!$G$3),I207,C207)</f>
        <v>0</v>
      </c>
      <c r="O207" s="155">
        <f>+IF(OR($Q207=Parametres!$G$2,$Q207=Parametres!$G$3),J207,D207)</f>
        <v>8197.83</v>
      </c>
      <c r="P207" s="155">
        <f>+IF(OR($Q207=Parametres!$G$2,$Q207=Parametres!$G$3),K207,E207)</f>
        <v>8197.83</v>
      </c>
      <c r="Q207" s="154" t="str">
        <f t="shared" si="17"/>
        <v>6-Coût des ventes</v>
      </c>
      <c r="R207" s="153" t="str">
        <f t="shared" si="18"/>
        <v>4405</v>
      </c>
      <c r="S207" s="154">
        <f t="shared" si="19"/>
        <v>0</v>
      </c>
      <c r="T207" s="156" t="str">
        <f>+VLOOKUP($L207,Data_Validation!$A:$D,1,0)</f>
        <v>5405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>
        <f>+VLOOKUP($L207,Data_Validation!$A:$F,6,0)</f>
        <v>0</v>
      </c>
    </row>
    <row r="208" spans="1:24" ht="15" hidden="1" customHeight="1">
      <c r="A208" s="1072" t="s">
        <v>2725</v>
      </c>
      <c r="B208" s="1072" t="s">
        <v>2726</v>
      </c>
      <c r="C208" s="1074">
        <v>0</v>
      </c>
      <c r="D208" s="1074">
        <v>868.59</v>
      </c>
      <c r="E208" s="1074">
        <v>868.59</v>
      </c>
      <c r="F208" s="1072" t="s">
        <v>424</v>
      </c>
      <c r="G208" s="1072" t="s">
        <v>2727</v>
      </c>
      <c r="H208" s="150"/>
      <c r="I208" s="157"/>
      <c r="J208" s="157"/>
      <c r="K208" s="157"/>
      <c r="L208" s="153" t="str">
        <f t="shared" si="15"/>
        <v>5416</v>
      </c>
      <c r="M208" s="154" t="str">
        <f t="shared" si="16"/>
        <v>C/V - TEMPS MORT M.O. SERVICE</v>
      </c>
      <c r="N208" s="155">
        <f>+IF(OR($Q208=Parametres!$G$2,$Q208=Parametres!$G$3),I208,C208)</f>
        <v>0</v>
      </c>
      <c r="O208" s="155">
        <f>+IF(OR($Q208=Parametres!$G$2,$Q208=Parametres!$G$3),J208,D208)</f>
        <v>868.59</v>
      </c>
      <c r="P208" s="155">
        <f>+IF(OR($Q208=Parametres!$G$2,$Q208=Parametres!$G$3),K208,E208)</f>
        <v>868.59</v>
      </c>
      <c r="Q208" s="154" t="str">
        <f t="shared" si="17"/>
        <v>6-Coût des ventes</v>
      </c>
      <c r="R208" s="153" t="str">
        <f t="shared" si="18"/>
        <v>4416</v>
      </c>
      <c r="S208" s="154">
        <f t="shared" si="19"/>
        <v>0</v>
      </c>
      <c r="T208" s="156" t="str">
        <f>+VLOOKUP($L208,Data_Validation!$A:$D,1,0)</f>
        <v>5416</v>
      </c>
      <c r="U208" s="156" t="str">
        <f>+VLOOKUP($L208,Data_Validation!$A:$D,3,0)</f>
        <v>Service</v>
      </c>
      <c r="V208" s="156" t="str">
        <f>+VLOOKUP($L208,Data_Validation!$A:$D,4,0)</f>
        <v>Ajustement M/O</v>
      </c>
      <c r="W208" s="156" t="str">
        <f>+VLOOKUP($L208,Data_Validation!$A:$E,5,0)</f>
        <v>$</v>
      </c>
      <c r="X208" s="156">
        <f>+VLOOKUP($L208,Data_Validation!$A:$F,6,0)</f>
        <v>0</v>
      </c>
    </row>
    <row r="209" spans="1:24" ht="15" hidden="1" customHeight="1">
      <c r="A209" s="1072" t="s">
        <v>2071</v>
      </c>
      <c r="B209" s="1072" t="s">
        <v>2802</v>
      </c>
      <c r="C209" s="1074">
        <v>0</v>
      </c>
      <c r="D209" s="1074">
        <v>8030.51</v>
      </c>
      <c r="E209" s="1074">
        <v>8030.51</v>
      </c>
      <c r="F209" s="1072" t="s">
        <v>424</v>
      </c>
      <c r="G209" s="1072" t="s">
        <v>2073</v>
      </c>
      <c r="H209" s="1050"/>
      <c r="I209" s="1049"/>
      <c r="J209" s="1049"/>
      <c r="K209" s="1049"/>
      <c r="L209" s="153" t="str">
        <f t="shared" si="15"/>
        <v>5451</v>
      </c>
      <c r="M209" s="154" t="str">
        <f t="shared" si="16"/>
        <v>CARBURANT/HUILE/GRAISSE</v>
      </c>
      <c r="N209" s="155">
        <f>+IF(OR($Q209=Parametres!$G$2,$Q209=Parametres!$G$3),I209,C209)</f>
        <v>0</v>
      </c>
      <c r="O209" s="155">
        <f>+IF(OR($Q209=Parametres!$G$2,$Q209=Parametres!$G$3),J209,D209)</f>
        <v>8030.51</v>
      </c>
      <c r="P209" s="155">
        <f>+IF(OR($Q209=Parametres!$G$2,$Q209=Parametres!$G$3),K209,E209)</f>
        <v>8030.51</v>
      </c>
      <c r="Q209" s="154" t="str">
        <f t="shared" si="17"/>
        <v>6-Coût des ventes</v>
      </c>
      <c r="R209" s="153" t="str">
        <f t="shared" si="18"/>
        <v>4782</v>
      </c>
      <c r="S209" s="154">
        <f t="shared" si="19"/>
        <v>0</v>
      </c>
      <c r="T209" s="156" t="str">
        <f>+VLOOKUP($L209,Data_Validation!$A:$D,1,0)</f>
        <v>5451</v>
      </c>
      <c r="U209" s="156" t="str">
        <f>+VLOOKUP($L209,Data_Validation!$A:$D,3,0)</f>
        <v>Pièces</v>
      </c>
      <c r="V209" s="156" t="str">
        <f>+VLOOKUP($L209,Data_Validation!$A:$D,4,0)</f>
        <v>Huiles et Graisse</v>
      </c>
      <c r="W209" s="156" t="str">
        <f>+VLOOKUP($L209,Data_Validation!$A:$E,5,0)</f>
        <v>$</v>
      </c>
      <c r="X209" s="156">
        <f>+VLOOKUP($L209,Data_Validation!$A:$F,6,0)</f>
        <v>0</v>
      </c>
    </row>
    <row r="210" spans="1:24" ht="15" hidden="1" customHeight="1">
      <c r="A210" s="1072" t="s">
        <v>2144</v>
      </c>
      <c r="B210" s="1072" t="s">
        <v>2713</v>
      </c>
      <c r="C210" s="1074">
        <v>0</v>
      </c>
      <c r="D210" s="1074">
        <v>484</v>
      </c>
      <c r="E210" s="1074">
        <v>484</v>
      </c>
      <c r="F210" s="1072" t="s">
        <v>424</v>
      </c>
      <c r="G210" s="1072" t="s">
        <v>2145</v>
      </c>
      <c r="H210" s="150"/>
      <c r="I210" s="157"/>
      <c r="J210" s="157"/>
      <c r="K210" s="157"/>
      <c r="L210" s="153" t="str">
        <f t="shared" si="15"/>
        <v>5491</v>
      </c>
      <c r="M210" s="154" t="str">
        <f t="shared" si="16"/>
        <v>REPARATION SOUS-LOC. - GENERAL</v>
      </c>
      <c r="N210" s="155">
        <f>+IF(OR($Q210=Parametres!$G$2,$Q210=Parametres!$G$3),I210,C210)</f>
        <v>0</v>
      </c>
      <c r="O210" s="155">
        <f>+IF(OR($Q210=Parametres!$G$2,$Q210=Parametres!$G$3),J210,D210)</f>
        <v>484</v>
      </c>
      <c r="P210" s="155">
        <f>+IF(OR($Q210=Parametres!$G$2,$Q210=Parametres!$G$3),K210,E210)</f>
        <v>484</v>
      </c>
      <c r="Q210" s="154" t="str">
        <f t="shared" si="17"/>
        <v>6-Coût des ventes</v>
      </c>
      <c r="R210" s="153" t="str">
        <f t="shared" si="18"/>
        <v>4491</v>
      </c>
      <c r="S210" s="154">
        <f t="shared" si="19"/>
        <v>0</v>
      </c>
      <c r="T210" s="156" t="str">
        <f>+VLOOKUP($L210,Data_Validation!$A:$D,1,0)</f>
        <v>5491</v>
      </c>
      <c r="U210" s="156" t="str">
        <f>+VLOOKUP($L210,Data_Validation!$A:$D,3,0)</f>
        <v>Service</v>
      </c>
      <c r="V210" s="156" t="str">
        <f>+VLOOKUP($L210,Data_Validation!$A:$D,4,0)</f>
        <v>Sous-traitement</v>
      </c>
      <c r="W210" s="156" t="str">
        <f>+VLOOKUP($L210,Data_Validation!$A:$E,5,0)</f>
        <v>$</v>
      </c>
      <c r="X210" s="156">
        <f>+VLOOKUP($L210,Data_Validation!$A:$F,6,0)</f>
        <v>0</v>
      </c>
    </row>
    <row r="211" spans="1:24" ht="15.75" hidden="1" customHeight="1">
      <c r="A211" s="1072" t="s">
        <v>2687</v>
      </c>
      <c r="B211" s="1072" t="s">
        <v>2688</v>
      </c>
      <c r="C211" s="1074">
        <v>0</v>
      </c>
      <c r="D211" s="1074">
        <v>808.96</v>
      </c>
      <c r="E211" s="1074">
        <v>808.96</v>
      </c>
      <c r="F211" s="1072" t="s">
        <v>424</v>
      </c>
      <c r="G211" s="1072" t="s">
        <v>2168</v>
      </c>
      <c r="H211" s="1050"/>
      <c r="I211" s="1049"/>
      <c r="J211" s="1049"/>
      <c r="K211" s="1049"/>
      <c r="L211" s="153" t="str">
        <f t="shared" si="15"/>
        <v>5493</v>
      </c>
      <c r="M211" s="154" t="str">
        <f t="shared" si="16"/>
        <v>C/V - SOUS-TRAITANCE GARANTIE</v>
      </c>
      <c r="N211" s="155">
        <f>+IF(OR($Q211=Parametres!$G$2,$Q211=Parametres!$G$3),I211,C211)</f>
        <v>0</v>
      </c>
      <c r="O211" s="155">
        <f>+IF(OR($Q211=Parametres!$G$2,$Q211=Parametres!$G$3),J211,D211)</f>
        <v>808.96</v>
      </c>
      <c r="P211" s="155">
        <f>+IF(OR($Q211=Parametres!$G$2,$Q211=Parametres!$G$3),K211,E211)</f>
        <v>808.96</v>
      </c>
      <c r="Q211" s="154" t="str">
        <f t="shared" si="17"/>
        <v>6-Coût des ventes</v>
      </c>
      <c r="R211" s="153" t="str">
        <f t="shared" si="18"/>
        <v>4493</v>
      </c>
      <c r="S211" s="154">
        <f t="shared" si="19"/>
        <v>0</v>
      </c>
      <c r="T211" s="156" t="str">
        <f>+VLOOKUP($L211,Data_Validation!$A:$D,1,0)</f>
        <v>5493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>
        <f>+VLOOKUP($L211,Data_Validation!$A:$F,6,0)</f>
        <v>0</v>
      </c>
    </row>
    <row r="212" spans="1:24" ht="15" hidden="1" customHeight="1">
      <c r="A212" s="1072" t="s">
        <v>2789</v>
      </c>
      <c r="B212" s="1072" t="s">
        <v>2790</v>
      </c>
      <c r="C212" s="1074">
        <v>0</v>
      </c>
      <c r="D212" s="1074">
        <v>5461.49</v>
      </c>
      <c r="E212" s="1074">
        <v>5461.49</v>
      </c>
      <c r="F212" s="1072" t="s">
        <v>424</v>
      </c>
      <c r="G212" s="1072" t="s">
        <v>2087</v>
      </c>
      <c r="H212" s="150"/>
      <c r="I212" s="157"/>
      <c r="J212" s="157"/>
      <c r="K212" s="157"/>
      <c r="L212" s="153" t="str">
        <f t="shared" si="15"/>
        <v>5495</v>
      </c>
      <c r="M212" s="154" t="str">
        <f t="shared" si="16"/>
        <v>C/V - SOUS-TRAITANCE INTERNE</v>
      </c>
      <c r="N212" s="155">
        <f>+IF(OR($Q212=Parametres!$G$2,$Q212=Parametres!$G$3),I212,C212)</f>
        <v>0</v>
      </c>
      <c r="O212" s="609">
        <f>+IF(OR($Q212=Parametres!$G$2,$Q212=Parametres!$G$3),J212,D212)</f>
        <v>5461.49</v>
      </c>
      <c r="P212" s="155">
        <f>+IF(OR($Q212=Parametres!$G$2,$Q212=Parametres!$G$3),K212,E212)</f>
        <v>5461.49</v>
      </c>
      <c r="Q212" s="154" t="str">
        <f t="shared" si="17"/>
        <v>6-Coût des ventes</v>
      </c>
      <c r="R212" s="153" t="str">
        <f t="shared" si="18"/>
        <v>4495</v>
      </c>
      <c r="S212" s="154">
        <f t="shared" si="19"/>
        <v>0</v>
      </c>
      <c r="T212" s="156" t="str">
        <f>+VLOOKUP($L212,Data_Validation!$A:$D,1,0)</f>
        <v>5495</v>
      </c>
      <c r="U212" s="156" t="str">
        <f>+VLOOKUP($L212,Data_Validation!$A:$D,3,0)</f>
        <v>Service</v>
      </c>
      <c r="V212" s="156" t="str">
        <f>+VLOOKUP($L212,Data_Validation!$A:$D,4,0)</f>
        <v>Sous-traitement</v>
      </c>
      <c r="W212" s="156" t="str">
        <f>+VLOOKUP($L212,Data_Validation!$A:$E,5,0)</f>
        <v>$</v>
      </c>
      <c r="X212" s="156">
        <f>+VLOOKUP($L212,Data_Validation!$A:$F,6,0)</f>
        <v>0</v>
      </c>
    </row>
    <row r="213" spans="1:24" ht="15" hidden="1" customHeight="1">
      <c r="A213" s="1072" t="s">
        <v>2798</v>
      </c>
      <c r="B213" s="1072" t="s">
        <v>2799</v>
      </c>
      <c r="C213" s="1074">
        <v>0</v>
      </c>
      <c r="D213" s="1074">
        <v>9347.7000000000007</v>
      </c>
      <c r="E213" s="1074">
        <v>9347.7000000000007</v>
      </c>
      <c r="F213" s="1072" t="s">
        <v>424</v>
      </c>
      <c r="G213" s="1072" t="s">
        <v>2070</v>
      </c>
      <c r="H213" s="1050"/>
      <c r="I213" s="1049"/>
      <c r="J213" s="1049"/>
      <c r="K213" s="1049"/>
      <c r="L213" s="153" t="str">
        <f t="shared" si="15"/>
        <v>5591</v>
      </c>
      <c r="M213" s="154" t="str">
        <f t="shared" si="16"/>
        <v>C/V - S-TRAIT. CARR.</v>
      </c>
      <c r="N213" s="155">
        <f>+IF(OR($Q213=Parametres!$G$2,$Q213=Parametres!$G$3),I213,C213)</f>
        <v>0</v>
      </c>
      <c r="O213" s="155">
        <f>+IF(OR($Q213=Parametres!$G$2,$Q213=Parametres!$G$3),J213,D213)</f>
        <v>9347.7000000000007</v>
      </c>
      <c r="P213" s="155">
        <f>+IF(OR($Q213=Parametres!$G$2,$Q213=Parametres!$G$3),K213,E213)</f>
        <v>9347.7000000000007</v>
      </c>
      <c r="Q213" s="154" t="str">
        <f t="shared" si="17"/>
        <v>6-Coût des ventes</v>
      </c>
      <c r="R213" s="153" t="str">
        <f t="shared" si="18"/>
        <v>4591</v>
      </c>
      <c r="S213" s="154">
        <f t="shared" si="19"/>
        <v>0</v>
      </c>
      <c r="T213" s="156" t="str">
        <f>+VLOOKUP($L213,Data_Validation!$A:$D,1,0)</f>
        <v>5591</v>
      </c>
      <c r="U213" s="156" t="str">
        <f>+VLOOKUP($L213,Data_Validation!$A:$D,3,0)</f>
        <v>Carrosserie</v>
      </c>
      <c r="V213" s="156" t="str">
        <f>+VLOOKUP($L213,Data_Validation!$A:$D,4,0)</f>
        <v>M/O Sous-traitement</v>
      </c>
      <c r="W213" s="156" t="str">
        <f>+VLOOKUP($L213,Data_Validation!$A:$E,5,0)</f>
        <v>$</v>
      </c>
      <c r="X213" s="156">
        <f>+VLOOKUP($L213,Data_Validation!$A:$F,6,0)</f>
        <v>0</v>
      </c>
    </row>
    <row r="214" spans="1:24" ht="15" hidden="1" customHeight="1">
      <c r="A214" s="1072" t="s">
        <v>2808</v>
      </c>
      <c r="B214" s="1072" t="s">
        <v>2809</v>
      </c>
      <c r="C214" s="1074">
        <v>0</v>
      </c>
      <c r="D214" s="1074">
        <v>73390.06</v>
      </c>
      <c r="E214" s="1074">
        <v>73390.06</v>
      </c>
      <c r="F214" s="1072" t="s">
        <v>424</v>
      </c>
      <c r="G214" s="1072" t="s">
        <v>2068</v>
      </c>
      <c r="H214" s="150"/>
      <c r="I214" s="157"/>
      <c r="J214" s="157"/>
      <c r="K214" s="157"/>
      <c r="L214" s="153" t="str">
        <f t="shared" si="15"/>
        <v>5593</v>
      </c>
      <c r="M214" s="154" t="str">
        <f t="shared" si="16"/>
        <v>C/V - S-TRAIT.GARANTIE CARROS.</v>
      </c>
      <c r="N214" s="155">
        <f>+IF(OR($Q214=Parametres!$G$2,$Q214=Parametres!$G$3),I214,C214)</f>
        <v>0</v>
      </c>
      <c r="O214" s="155">
        <f>+IF(OR($Q214=Parametres!$G$2,$Q214=Parametres!$G$3),J214,D214)</f>
        <v>73390.06</v>
      </c>
      <c r="P214" s="155">
        <f>+IF(OR($Q214=Parametres!$G$2,$Q214=Parametres!$G$3),K214,E214)</f>
        <v>73390.06</v>
      </c>
      <c r="Q214" s="154" t="str">
        <f t="shared" si="17"/>
        <v>6-Coût des ventes</v>
      </c>
      <c r="R214" s="153" t="str">
        <f t="shared" si="18"/>
        <v>4593</v>
      </c>
      <c r="S214" s="154">
        <f t="shared" si="19"/>
        <v>0</v>
      </c>
      <c r="T214" s="156" t="str">
        <f>+VLOOKUP($L214,Data_Validation!$A:$D,1,0)</f>
        <v>5593</v>
      </c>
      <c r="U214" s="156" t="str">
        <f>+VLOOKUP($L214,Data_Validation!$A:$D,3,0)</f>
        <v>Carrosserie</v>
      </c>
      <c r="V214" s="156" t="str">
        <f>+VLOOKUP($L214,Data_Validation!$A:$D,4,0)</f>
        <v>M/O Sous-traitement</v>
      </c>
      <c r="W214" s="156" t="str">
        <f>+VLOOKUP($L214,Data_Validation!$A:$E,5,0)</f>
        <v>$</v>
      </c>
      <c r="X214" s="156">
        <f>+VLOOKUP($L214,Data_Validation!$A:$F,6,0)</f>
        <v>0</v>
      </c>
    </row>
    <row r="215" spans="1:24" ht="15.75" hidden="1" customHeight="1">
      <c r="A215" s="1072" t="s">
        <v>2767</v>
      </c>
      <c r="B215" s="1072" t="s">
        <v>2768</v>
      </c>
      <c r="C215" s="1074">
        <v>0</v>
      </c>
      <c r="D215" s="1074">
        <v>1500.22</v>
      </c>
      <c r="E215" s="1074">
        <v>1500.22</v>
      </c>
      <c r="F215" s="1072" t="s">
        <v>424</v>
      </c>
      <c r="G215" s="1072" t="s">
        <v>2101</v>
      </c>
      <c r="H215" s="1050"/>
      <c r="I215" s="1049"/>
      <c r="J215" s="1049"/>
      <c r="K215" s="1049"/>
      <c r="L215" s="153" t="str">
        <f t="shared" si="15"/>
        <v>5595</v>
      </c>
      <c r="M215" s="154" t="str">
        <f t="shared" si="16"/>
        <v>C/V - S-TRAIT.INTERNE CARROS.</v>
      </c>
      <c r="N215" s="155">
        <f>+IF(OR($Q215=Parametres!$G$2,$Q215=Parametres!$G$3),I215,C215)</f>
        <v>0</v>
      </c>
      <c r="O215" s="155">
        <f>+IF(OR($Q215=Parametres!$G$2,$Q215=Parametres!$G$3),J215,D215)</f>
        <v>1500.22</v>
      </c>
      <c r="P215" s="155">
        <f>+IF(OR($Q215=Parametres!$G$2,$Q215=Parametres!$G$3),K215,E215)</f>
        <v>1500.22</v>
      </c>
      <c r="Q215" s="154" t="str">
        <f t="shared" si="17"/>
        <v>6-Coût des ventes</v>
      </c>
      <c r="R215" s="153" t="str">
        <f t="shared" si="18"/>
        <v>4595</v>
      </c>
      <c r="S215" s="154">
        <f t="shared" si="19"/>
        <v>0</v>
      </c>
      <c r="T215" s="156" t="str">
        <f>+VLOOKUP($L215,Data_Validation!$A:$D,1,0)</f>
        <v>5595</v>
      </c>
      <c r="U215" s="156" t="str">
        <f>+VLOOKUP($L215,Data_Validation!$A:$D,3,0)</f>
        <v>Carrosserie</v>
      </c>
      <c r="V215" s="156" t="str">
        <f>+VLOOKUP($L215,Data_Validation!$A:$D,4,0)</f>
        <v>M/O Sous-traitement</v>
      </c>
      <c r="W215" s="156" t="str">
        <f>+VLOOKUP($L215,Data_Validation!$A:$E,5,0)</f>
        <v>$</v>
      </c>
      <c r="X215" s="156">
        <f>+VLOOKUP($L215,Data_Validation!$A:$F,6,0)</f>
        <v>0</v>
      </c>
    </row>
    <row r="216" spans="1:24" ht="15" hidden="1" customHeight="1">
      <c r="A216" s="1072" t="s">
        <v>2832</v>
      </c>
      <c r="B216" s="1072" t="s">
        <v>2833</v>
      </c>
      <c r="C216" s="1074">
        <v>0</v>
      </c>
      <c r="D216" s="1074">
        <v>28855.16</v>
      </c>
      <c r="E216" s="1074">
        <v>28855.16</v>
      </c>
      <c r="F216" s="1072" t="s">
        <v>424</v>
      </c>
      <c r="G216" s="1072" t="s">
        <v>2024</v>
      </c>
      <c r="H216" s="150"/>
      <c r="I216" s="157"/>
      <c r="J216" s="157"/>
      <c r="K216" s="157"/>
      <c r="L216" s="153" t="str">
        <f t="shared" si="15"/>
        <v>5701</v>
      </c>
      <c r="M216" s="154" t="str">
        <f t="shared" si="16"/>
        <v>C/V - PIECE/ACC B.R. CLIENT VW</v>
      </c>
      <c r="N216" s="155">
        <f>+IF(OR($Q216=Parametres!$G$2,$Q216=Parametres!$G$3),I216,C216)</f>
        <v>0</v>
      </c>
      <c r="O216" s="608">
        <f>+IF(OR($Q216=Parametres!$G$2,$Q216=Parametres!$G$3),J216,D216)</f>
        <v>28855.16</v>
      </c>
      <c r="P216" s="155">
        <f>+IF(OR($Q216=Parametres!$G$2,$Q216=Parametres!$G$3),K216,E216)</f>
        <v>28855.16</v>
      </c>
      <c r="Q216" s="154" t="str">
        <f t="shared" si="17"/>
        <v>6-Coût des ventes</v>
      </c>
      <c r="R216" s="153" t="str">
        <f t="shared" si="18"/>
        <v>4701</v>
      </c>
      <c r="S216" s="154">
        <f t="shared" si="19"/>
        <v>0</v>
      </c>
      <c r="T216" s="156" t="str">
        <f>+VLOOKUP($L216,Data_Validation!$A:$D,1,0)</f>
        <v>5701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$</v>
      </c>
      <c r="X216" s="156">
        <f>+VLOOKUP($L216,Data_Validation!$A:$F,6,0)</f>
        <v>0</v>
      </c>
    </row>
    <row r="217" spans="1:24" ht="15" hidden="1" customHeight="1">
      <c r="A217" s="1072" t="s">
        <v>2658</v>
      </c>
      <c r="B217" s="1072" t="s">
        <v>2705</v>
      </c>
      <c r="C217" s="1074">
        <v>0</v>
      </c>
      <c r="D217" s="1074">
        <v>163.65</v>
      </c>
      <c r="E217" s="1074">
        <v>163.65</v>
      </c>
      <c r="F217" s="1072" t="s">
        <v>424</v>
      </c>
      <c r="G217" s="1072" t="s">
        <v>2151</v>
      </c>
      <c r="H217" s="1050"/>
      <c r="I217" s="1049"/>
      <c r="J217" s="1049"/>
      <c r="K217" s="1049"/>
      <c r="L217" s="153" t="str">
        <f t="shared" si="15"/>
        <v>5702</v>
      </c>
      <c r="M217" s="154" t="str">
        <f t="shared" si="16"/>
        <v>C/V - SHOP SUPPLY VW</v>
      </c>
      <c r="N217" s="155">
        <f>+IF(OR($Q217=Parametres!$G$2,$Q217=Parametres!$G$3),I217,C217)</f>
        <v>0</v>
      </c>
      <c r="O217" s="155">
        <f>+IF(OR($Q217=Parametres!$G$2,$Q217=Parametres!$G$3),J217,D217)</f>
        <v>163.65</v>
      </c>
      <c r="P217" s="155">
        <f>+IF(OR($Q217=Parametres!$G$2,$Q217=Parametres!$G$3),K217,E217)</f>
        <v>163.65</v>
      </c>
      <c r="Q217" s="154" t="str">
        <f t="shared" si="17"/>
        <v>6-Coût des ventes</v>
      </c>
      <c r="R217" s="153" t="str">
        <f t="shared" si="18"/>
        <v>4702</v>
      </c>
      <c r="S217" s="154">
        <f t="shared" si="19"/>
        <v>0</v>
      </c>
      <c r="T217" s="156" t="str">
        <f>+VLOOKUP($L217,Data_Validation!$A:$D,1,0)</f>
        <v>5702</v>
      </c>
      <c r="U217" s="156" t="str">
        <f>+VLOOKUP($L217,Data_Validation!$A:$D,3,0)</f>
        <v>Service</v>
      </c>
      <c r="V217" s="156" t="str">
        <f>+VLOOKUP($L217,Data_Validation!$A:$D,4,0)</f>
        <v>M/O Client</v>
      </c>
      <c r="W217" s="156" t="str">
        <f>+VLOOKUP($L217,Data_Validation!$A:$E,5,0)</f>
        <v>$</v>
      </c>
      <c r="X217" s="156">
        <f>+VLOOKUP($L217,Data_Validation!$A:$F,6,0)</f>
        <v>0</v>
      </c>
    </row>
    <row r="218" spans="1:24" ht="15" hidden="1" customHeight="1">
      <c r="A218" s="1072" t="s">
        <v>2814</v>
      </c>
      <c r="B218" s="1072" t="s">
        <v>2815</v>
      </c>
      <c r="C218" s="1074">
        <v>0</v>
      </c>
      <c r="D218" s="1074">
        <v>84643.48</v>
      </c>
      <c r="E218" s="1074">
        <v>84643.48</v>
      </c>
      <c r="F218" s="1072" t="s">
        <v>424</v>
      </c>
      <c r="G218" s="1072" t="s">
        <v>2044</v>
      </c>
      <c r="H218" s="150"/>
      <c r="I218" s="157"/>
      <c r="J218" s="157"/>
      <c r="K218" s="157"/>
      <c r="L218" s="153" t="str">
        <f t="shared" si="15"/>
        <v>5703</v>
      </c>
      <c r="M218" s="154" t="str">
        <f t="shared" si="16"/>
        <v>C/V - PIECE/ACC B.R. GARANTIE VW</v>
      </c>
      <c r="N218" s="155">
        <f>+IF(OR($Q218=Parametres!$G$2,$Q218=Parametres!$G$3),I218,C218)</f>
        <v>0</v>
      </c>
      <c r="O218" s="608">
        <f>+IF(OR($Q218=Parametres!$G$2,$Q218=Parametres!$G$3),J218,D218)</f>
        <v>84643.48</v>
      </c>
      <c r="P218" s="155">
        <f>+IF(OR($Q218=Parametres!$G$2,$Q218=Parametres!$G$3),K218,E218)</f>
        <v>84643.48</v>
      </c>
      <c r="Q218" s="154" t="str">
        <f t="shared" si="17"/>
        <v>6-Coût des ventes</v>
      </c>
      <c r="R218" s="153" t="str">
        <f t="shared" si="18"/>
        <v>4703</v>
      </c>
      <c r="S218" s="154">
        <f t="shared" si="19"/>
        <v>0</v>
      </c>
      <c r="T218" s="156" t="str">
        <f>+VLOOKUP($L218,Data_Validation!$A:$D,1,0)</f>
        <v>5703</v>
      </c>
      <c r="U218" s="156" t="str">
        <f>+VLOOKUP($L218,Data_Validation!$A:$D,3,0)</f>
        <v>Pièces</v>
      </c>
      <c r="V218" s="156" t="str">
        <f>+VLOOKUP($L218,Data_Validation!$A:$D,4,0)</f>
        <v>P/A Garantie</v>
      </c>
      <c r="W218" s="156" t="str">
        <f>+VLOOKUP($L218,Data_Validation!$A:$E,5,0)</f>
        <v>$</v>
      </c>
      <c r="X218" s="156">
        <f>+VLOOKUP($L218,Data_Validation!$A:$F,6,0)</f>
        <v>0</v>
      </c>
    </row>
    <row r="219" spans="1:24" ht="15.75" hidden="1" customHeight="1">
      <c r="A219" s="1072" t="s">
        <v>2811</v>
      </c>
      <c r="B219" s="1072" t="s">
        <v>2812</v>
      </c>
      <c r="C219" s="1074">
        <v>0</v>
      </c>
      <c r="D219" s="1074">
        <v>13055.54</v>
      </c>
      <c r="E219" s="1074">
        <v>13055.54</v>
      </c>
      <c r="F219" s="1072" t="s">
        <v>424</v>
      </c>
      <c r="G219" s="1072" t="s">
        <v>2048</v>
      </c>
      <c r="H219" s="1050"/>
      <c r="I219" s="1049"/>
      <c r="J219" s="1049"/>
      <c r="K219" s="1049"/>
      <c r="L219" s="153" t="str">
        <f t="shared" si="15"/>
        <v>5705</v>
      </c>
      <c r="M219" s="154" t="str">
        <f t="shared" si="16"/>
        <v>C/V - PIECE/ACC B.R. INTERNE VW</v>
      </c>
      <c r="N219" s="155">
        <f>+IF(OR($Q219=Parametres!$G$2,$Q219=Parametres!$G$3),I219,C219)</f>
        <v>0</v>
      </c>
      <c r="O219" s="608">
        <f>+IF(OR($Q219=Parametres!$G$2,$Q219=Parametres!$G$3),J219,D219)</f>
        <v>13055.54</v>
      </c>
      <c r="P219" s="155">
        <f>+IF(OR($Q219=Parametres!$G$2,$Q219=Parametres!$G$3),K219,E219)</f>
        <v>13055.54</v>
      </c>
      <c r="Q219" s="154" t="str">
        <f t="shared" si="17"/>
        <v>6-Coût des ventes</v>
      </c>
      <c r="R219" s="153" t="str">
        <f t="shared" si="18"/>
        <v>4705</v>
      </c>
      <c r="S219" s="154">
        <f t="shared" si="19"/>
        <v>0</v>
      </c>
      <c r="T219" s="156" t="str">
        <f>+VLOOKUP($L219,Data_Validation!$A:$D,1,0)</f>
        <v>5705</v>
      </c>
      <c r="U219" s="156" t="str">
        <f>+VLOOKUP($L219,Data_Validation!$A:$D,3,0)</f>
        <v>Pièces</v>
      </c>
      <c r="V219" s="156" t="str">
        <f>+VLOOKUP($L219,Data_Validation!$A:$D,4,0)</f>
        <v>Ventes Internes</v>
      </c>
      <c r="W219" s="156" t="str">
        <f>+VLOOKUP($L219,Data_Validation!$A:$E,5,0)</f>
        <v>$</v>
      </c>
      <c r="X219" s="156">
        <f>+VLOOKUP($L219,Data_Validation!$A:$F,6,0)</f>
        <v>0</v>
      </c>
    </row>
    <row r="220" spans="1:24" ht="15" hidden="1" customHeight="1">
      <c r="A220" s="1072" t="s">
        <v>2658</v>
      </c>
      <c r="B220" s="1072" t="s">
        <v>2659</v>
      </c>
      <c r="C220" s="1074">
        <v>0</v>
      </c>
      <c r="D220" s="1074">
        <v>412.83</v>
      </c>
      <c r="E220" s="1074">
        <v>412.83</v>
      </c>
      <c r="F220" s="1072" t="s">
        <v>424</v>
      </c>
      <c r="G220" s="1072" t="s">
        <v>2169</v>
      </c>
      <c r="H220" s="1050"/>
      <c r="I220" s="1050"/>
      <c r="J220" s="1050"/>
      <c r="K220" s="1050"/>
      <c r="L220" s="153" t="str">
        <f t="shared" si="15"/>
        <v>5706</v>
      </c>
      <c r="M220" s="154" t="str">
        <f t="shared" si="16"/>
        <v>C/V - SHOP SUPPLY VW</v>
      </c>
      <c r="N220" s="155">
        <f>+IF(OR($Q220=Parametres!$G$2,$Q220=Parametres!$G$3),I220,C220)</f>
        <v>0</v>
      </c>
      <c r="O220" s="608">
        <f>+IF(OR($Q220=Parametres!$G$2,$Q220=Parametres!$G$3),J220,D220)</f>
        <v>412.83</v>
      </c>
      <c r="P220" s="155">
        <f>+IF(OR($Q220=Parametres!$G$2,$Q220=Parametres!$G$3),K220,E220)</f>
        <v>412.83</v>
      </c>
      <c r="Q220" s="154" t="str">
        <f t="shared" si="17"/>
        <v>6-Coût des ventes</v>
      </c>
      <c r="R220" s="153" t="str">
        <f t="shared" si="18"/>
        <v>4706</v>
      </c>
      <c r="S220" s="154">
        <f t="shared" si="19"/>
        <v>0</v>
      </c>
      <c r="T220" s="156" t="str">
        <f>+VLOOKUP($L220,Data_Validation!$A:$D,1,0)</f>
        <v>5706</v>
      </c>
      <c r="U220" s="156" t="str">
        <f>+VLOOKUP($L220,Data_Validation!$A:$D,3,0)</f>
        <v>Service</v>
      </c>
      <c r="V220" s="156" t="str">
        <f>+VLOOKUP($L220,Data_Validation!$A:$D,4,0)</f>
        <v>M/O Interne</v>
      </c>
      <c r="W220" s="156" t="str">
        <f>+VLOOKUP($L220,Data_Validation!$A:$E,5,0)</f>
        <v>$</v>
      </c>
      <c r="X220" s="156">
        <f>+VLOOKUP($L220,Data_Validation!$A:$F,6,0)</f>
        <v>0</v>
      </c>
    </row>
    <row r="221" spans="1:24" ht="15" hidden="1" customHeight="1">
      <c r="A221" s="1072" t="s">
        <v>2460</v>
      </c>
      <c r="B221" s="1072" t="s">
        <v>2728</v>
      </c>
      <c r="C221" s="1074">
        <v>0</v>
      </c>
      <c r="D221" s="1074">
        <v>2428.9299999999998</v>
      </c>
      <c r="E221" s="1074">
        <v>2428.9299999999998</v>
      </c>
      <c r="F221" s="1072" t="s">
        <v>424</v>
      </c>
      <c r="G221" s="1072" t="s">
        <v>2115</v>
      </c>
      <c r="H221" s="1050"/>
      <c r="I221" s="1049"/>
      <c r="J221" s="1049"/>
      <c r="K221" s="1049"/>
      <c r="L221" s="153" t="str">
        <f t="shared" si="15"/>
        <v>5711</v>
      </c>
      <c r="M221" s="154" t="str">
        <f t="shared" si="16"/>
        <v>C/V - AUTRE PIECE/ACC/CARR B.R. CLIENT</v>
      </c>
      <c r="N221" s="155">
        <f>+IF(OR($Q221=Parametres!$G$2,$Q221=Parametres!$G$3),I221,C221)</f>
        <v>0</v>
      </c>
      <c r="O221" s="608">
        <f>+IF(OR($Q221=Parametres!$G$2,$Q221=Parametres!$G$3),J221,D221)</f>
        <v>2428.9299999999998</v>
      </c>
      <c r="P221" s="155">
        <f>+IF(OR($Q221=Parametres!$G$2,$Q221=Parametres!$G$3),K221,E221)</f>
        <v>2428.9299999999998</v>
      </c>
      <c r="Q221" s="154" t="str">
        <f t="shared" si="17"/>
        <v>6-Coût des ventes</v>
      </c>
      <c r="R221" s="153" t="str">
        <f t="shared" si="18"/>
        <v>4711</v>
      </c>
      <c r="S221" s="154">
        <f t="shared" si="19"/>
        <v>0</v>
      </c>
      <c r="T221" s="156" t="str">
        <f>+VLOOKUP($L221,Data_Validation!$A:$D,1,0)</f>
        <v>5711</v>
      </c>
      <c r="U221" s="156" t="str">
        <f>+VLOOKUP($L221,Data_Validation!$A:$D,3,0)</f>
        <v>Pièces</v>
      </c>
      <c r="V221" s="156" t="str">
        <f>+VLOOKUP($L221,Data_Validation!$A:$D,4,0)</f>
        <v>Pièces Ro Clients</v>
      </c>
      <c r="W221" s="156" t="str">
        <f>+VLOOKUP($L221,Data_Validation!$A:$E,5,0)</f>
        <v>$</v>
      </c>
      <c r="X221" s="156">
        <f>+VLOOKUP($L221,Data_Validation!$A:$F,6,0)</f>
        <v>0</v>
      </c>
    </row>
    <row r="222" spans="1:24" ht="15" hidden="1" customHeight="1">
      <c r="A222" s="1072" t="s">
        <v>2754</v>
      </c>
      <c r="B222" s="1072" t="s">
        <v>2755</v>
      </c>
      <c r="C222" s="1074">
        <v>0</v>
      </c>
      <c r="D222" s="1074">
        <v>4209.3</v>
      </c>
      <c r="E222" s="1074">
        <v>4209.3</v>
      </c>
      <c r="F222" s="1072" t="s">
        <v>424</v>
      </c>
      <c r="G222" s="1072" t="s">
        <v>2108</v>
      </c>
      <c r="H222" s="150"/>
      <c r="I222" s="157"/>
      <c r="J222" s="157"/>
      <c r="K222" s="157"/>
      <c r="L222" s="153" t="str">
        <f t="shared" si="15"/>
        <v>5731</v>
      </c>
      <c r="M222" s="154" t="str">
        <f t="shared" si="16"/>
        <v>C/V - PIECES-BON REPAR.-PEINT/DEBOS</v>
      </c>
      <c r="N222" s="155">
        <f>+IF(OR($Q222=Parametres!$G$2,$Q222=Parametres!$G$3),I222,C222)</f>
        <v>0</v>
      </c>
      <c r="O222" s="155">
        <f>+IF(OR($Q222=Parametres!$G$2,$Q222=Parametres!$G$3),J222,D222)</f>
        <v>4209.3</v>
      </c>
      <c r="P222" s="155">
        <f>+IF(OR($Q222=Parametres!$G$2,$Q222=Parametres!$G$3),K222,E222)</f>
        <v>4209.3</v>
      </c>
      <c r="Q222" s="154" t="str">
        <f t="shared" si="17"/>
        <v>6-Coût des ventes</v>
      </c>
      <c r="R222" s="153" t="str">
        <f t="shared" si="18"/>
        <v>4731</v>
      </c>
      <c r="S222" s="154">
        <f t="shared" si="19"/>
        <v>0</v>
      </c>
      <c r="T222" s="156" t="str">
        <f>+VLOOKUP($L222,Data_Validation!$A:$D,1,0)</f>
        <v>5731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$</v>
      </c>
      <c r="X222" s="156">
        <f>+VLOOKUP($L222,Data_Validation!$A:$F,6,0)</f>
        <v>0</v>
      </c>
    </row>
    <row r="223" spans="1:24" ht="15" hidden="1" customHeight="1">
      <c r="A223" s="1072" t="s">
        <v>2787</v>
      </c>
      <c r="B223" s="1072" t="s">
        <v>2788</v>
      </c>
      <c r="C223" s="1074">
        <v>0</v>
      </c>
      <c r="D223" s="1074">
        <v>39949.58</v>
      </c>
      <c r="E223" s="1074">
        <v>39949.58</v>
      </c>
      <c r="F223" s="1072" t="s">
        <v>424</v>
      </c>
      <c r="G223" s="1072" t="s">
        <v>2091</v>
      </c>
      <c r="H223" s="150"/>
      <c r="I223" s="157"/>
      <c r="J223" s="157"/>
      <c r="K223" s="157"/>
      <c r="L223" s="153" t="str">
        <f t="shared" si="15"/>
        <v>5733</v>
      </c>
      <c r="M223" s="154" t="str">
        <f t="shared" si="16"/>
        <v>C/V - P&amp;A B.T. GAR.CARR.VW</v>
      </c>
      <c r="N223" s="155">
        <f>+IF(OR($Q223=Parametres!$G$2,$Q223=Parametres!$G$3),I223,C223)</f>
        <v>0</v>
      </c>
      <c r="O223" s="608">
        <f>+IF(OR($Q223=Parametres!$G$2,$Q223=Parametres!$G$3),J223,D223)</f>
        <v>39949.58</v>
      </c>
      <c r="P223" s="155">
        <f>+IF(OR($Q223=Parametres!$G$2,$Q223=Parametres!$G$3),K223,E223)</f>
        <v>39949.58</v>
      </c>
      <c r="Q223" s="154" t="str">
        <f t="shared" si="17"/>
        <v>6-Coût des ventes</v>
      </c>
      <c r="R223" s="153" t="str">
        <f t="shared" si="18"/>
        <v>4733</v>
      </c>
      <c r="S223" s="154">
        <f t="shared" si="19"/>
        <v>0</v>
      </c>
      <c r="T223" s="156" t="str">
        <f>+VLOOKUP($L223,Data_Validation!$A:$D,1,0)</f>
        <v>5733</v>
      </c>
      <c r="U223" s="156" t="str">
        <f>+VLOOKUP($L223,Data_Validation!$A:$D,3,0)</f>
        <v>Pièces</v>
      </c>
      <c r="V223" s="156" t="str">
        <f>+VLOOKUP($L223,Data_Validation!$A:$D,4,0)</f>
        <v>Pièces Ro Carrosserie</v>
      </c>
      <c r="W223" s="156" t="str">
        <f>+VLOOKUP($L223,Data_Validation!$A:$E,5,0)</f>
        <v>$</v>
      </c>
      <c r="X223" s="156">
        <f>+VLOOKUP($L223,Data_Validation!$A:$F,6,0)</f>
        <v>0</v>
      </c>
    </row>
    <row r="224" spans="1:24" ht="15" hidden="1" customHeight="1">
      <c r="A224" s="1072" t="s">
        <v>2668</v>
      </c>
      <c r="B224" s="1072" t="s">
        <v>2669</v>
      </c>
      <c r="C224" s="1074">
        <v>0</v>
      </c>
      <c r="D224" s="1074">
        <v>17.28</v>
      </c>
      <c r="E224" s="1074">
        <v>17.28</v>
      </c>
      <c r="F224" s="1072" t="s">
        <v>424</v>
      </c>
      <c r="G224" s="1072" t="s">
        <v>2166</v>
      </c>
      <c r="H224" s="1050"/>
      <c r="I224" s="1049"/>
      <c r="J224" s="1049"/>
      <c r="K224" s="1049"/>
      <c r="L224" s="153" t="str">
        <f t="shared" si="15"/>
        <v>5735</v>
      </c>
      <c r="M224" s="154" t="str">
        <f t="shared" si="16"/>
        <v>C/V - P&amp;A B.T.INTERNE CARR.VW</v>
      </c>
      <c r="N224" s="155">
        <f>+IF(OR($Q224=Parametres!$G$2,$Q224=Parametres!$G$3),I224,C224)</f>
        <v>0</v>
      </c>
      <c r="O224" s="608">
        <f>+IF(OR($Q224=Parametres!$G$2,$Q224=Parametres!$G$3),J224,D224)</f>
        <v>17.28</v>
      </c>
      <c r="P224" s="155">
        <f>+IF(OR($Q224=Parametres!$G$2,$Q224=Parametres!$G$3),K224,E224)</f>
        <v>17.28</v>
      </c>
      <c r="Q224" s="154" t="str">
        <f t="shared" si="17"/>
        <v>6-Coût des ventes</v>
      </c>
      <c r="R224" s="153" t="str">
        <f t="shared" si="18"/>
        <v>4735</v>
      </c>
      <c r="S224" s="154">
        <f t="shared" si="19"/>
        <v>0</v>
      </c>
      <c r="T224" s="156" t="str">
        <f>+VLOOKUP($L224,Data_Validation!$A:$D,1,0)</f>
        <v>5735</v>
      </c>
      <c r="U224" s="156" t="str">
        <f>+VLOOKUP($L224,Data_Validation!$A:$D,3,0)</f>
        <v>Pièces</v>
      </c>
      <c r="V224" s="156" t="str">
        <f>+VLOOKUP($L224,Data_Validation!$A:$D,4,0)</f>
        <v>Pièces Ro Carrosserie</v>
      </c>
      <c r="W224" s="156" t="str">
        <f>+VLOOKUP($L224,Data_Validation!$A:$E,5,0)</f>
        <v>$</v>
      </c>
      <c r="X224" s="156">
        <f>+VLOOKUP($L224,Data_Validation!$A:$F,6,0)</f>
        <v>0</v>
      </c>
    </row>
    <row r="225" spans="1:24" ht="15.75" hidden="1" customHeight="1">
      <c r="A225" s="1072" t="s">
        <v>2794</v>
      </c>
      <c r="B225" s="1072" t="s">
        <v>2795</v>
      </c>
      <c r="C225" s="1074">
        <v>0</v>
      </c>
      <c r="D225" s="1074">
        <v>7075.3</v>
      </c>
      <c r="E225" s="1074">
        <v>7075.3</v>
      </c>
      <c r="F225" s="1072" t="s">
        <v>424</v>
      </c>
      <c r="G225" s="1072" t="s">
        <v>2083</v>
      </c>
      <c r="H225" s="150"/>
      <c r="I225" s="157"/>
      <c r="J225" s="157"/>
      <c r="K225" s="157"/>
      <c r="L225" s="153" t="str">
        <f t="shared" si="15"/>
        <v>5761</v>
      </c>
      <c r="M225" s="154" t="str">
        <f t="shared" si="16"/>
        <v>C/V - P&amp;A VW COMPTOIR - DETAIL</v>
      </c>
      <c r="N225" s="155">
        <f>+IF(OR($Q225=Parametres!$G$2,$Q225=Parametres!$G$3),I225,C225)</f>
        <v>0</v>
      </c>
      <c r="O225" s="608">
        <f>+IF(OR($Q225=Parametres!$G$2,$Q225=Parametres!$G$3),J225,D225)</f>
        <v>7075.3</v>
      </c>
      <c r="P225" s="155">
        <f>+IF(OR($Q225=Parametres!$G$2,$Q225=Parametres!$G$3),K225,E225)</f>
        <v>7075.3</v>
      </c>
      <c r="Q225" s="154" t="str">
        <f t="shared" si="17"/>
        <v>6-Coût des ventes</v>
      </c>
      <c r="R225" s="153" t="str">
        <f t="shared" si="18"/>
        <v>4761</v>
      </c>
      <c r="S225" s="154">
        <f t="shared" si="19"/>
        <v>0</v>
      </c>
      <c r="T225" s="156" t="str">
        <f>+VLOOKUP($L225,Data_Validation!$A:$D,1,0)</f>
        <v>5761</v>
      </c>
      <c r="U225" s="156" t="str">
        <f>+VLOOKUP($L225,Data_Validation!$A:$D,3,0)</f>
        <v>Pièces</v>
      </c>
      <c r="V225" s="156" t="str">
        <f>+VLOOKUP($L225,Data_Validation!$A:$D,4,0)</f>
        <v>Ventes Détails</v>
      </c>
      <c r="W225" s="156" t="str">
        <f>+VLOOKUP($L225,Data_Validation!$A:$E,5,0)</f>
        <v>$</v>
      </c>
      <c r="X225" s="156">
        <f>+VLOOKUP($L225,Data_Validation!$A:$F,6,0)</f>
        <v>0</v>
      </c>
    </row>
    <row r="226" spans="1:24" ht="15" hidden="1" customHeight="1">
      <c r="A226" s="1072" t="s">
        <v>2816</v>
      </c>
      <c r="B226" s="1072" t="s">
        <v>2817</v>
      </c>
      <c r="C226" s="1074">
        <v>0</v>
      </c>
      <c r="D226" s="1074">
        <v>36172.769999999997</v>
      </c>
      <c r="E226" s="1074">
        <v>36172.769999999997</v>
      </c>
      <c r="F226" s="1072" t="s">
        <v>424</v>
      </c>
      <c r="G226" s="1072" t="s">
        <v>2046</v>
      </c>
      <c r="H226" s="1050"/>
      <c r="I226" s="1049"/>
      <c r="J226" s="1049"/>
      <c r="K226" s="1049"/>
      <c r="L226" s="153" t="str">
        <f t="shared" si="15"/>
        <v>5763</v>
      </c>
      <c r="M226" s="154" t="str">
        <f t="shared" si="16"/>
        <v>C/V - P&amp;A VW COMPTOIR GROS - ECHANGE</v>
      </c>
      <c r="N226" s="155">
        <f>+IF(OR($Q226=Parametres!$G$2,$Q226=Parametres!$G$3),I226,C226)</f>
        <v>0</v>
      </c>
      <c r="O226" s="608">
        <f>+IF(OR($Q226=Parametres!$G$2,$Q226=Parametres!$G$3),J226,D226)</f>
        <v>36172.769999999997</v>
      </c>
      <c r="P226" s="155">
        <f>+IF(OR($Q226=Parametres!$G$2,$Q226=Parametres!$G$3),K226,E226)</f>
        <v>36172.769999999997</v>
      </c>
      <c r="Q226" s="154" t="str">
        <f t="shared" si="17"/>
        <v>6-Coût des ventes</v>
      </c>
      <c r="R226" s="153" t="str">
        <f t="shared" si="18"/>
        <v>4763</v>
      </c>
      <c r="S226" s="154">
        <f t="shared" si="19"/>
        <v>0</v>
      </c>
      <c r="T226" s="156" t="str">
        <f>+VLOOKUP($L226,Data_Validation!$A:$D,1,0)</f>
        <v>5763</v>
      </c>
      <c r="U226" s="156" t="str">
        <f>+VLOOKUP($L226,Data_Validation!$A:$D,3,0)</f>
        <v>Pièces</v>
      </c>
      <c r="V226" s="156" t="str">
        <f>+VLOOKUP($L226,Data_Validation!$A:$D,4,0)</f>
        <v>Ventes de Gros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hidden="1" customHeight="1">
      <c r="A227" s="1072" t="s">
        <v>2820</v>
      </c>
      <c r="B227" s="1072" t="s">
        <v>2821</v>
      </c>
      <c r="C227" s="1074">
        <v>0</v>
      </c>
      <c r="D227" s="1074">
        <v>11930.91</v>
      </c>
      <c r="E227" s="1074">
        <v>11930.91</v>
      </c>
      <c r="F227" s="1072" t="s">
        <v>424</v>
      </c>
      <c r="G227" s="1072" t="s">
        <v>2035</v>
      </c>
      <c r="H227" s="150"/>
      <c r="I227" s="157"/>
      <c r="J227" s="157"/>
      <c r="K227" s="157"/>
      <c r="L227" s="153" t="str">
        <f t="shared" si="15"/>
        <v>5781</v>
      </c>
      <c r="M227" s="154" t="str">
        <f t="shared" si="16"/>
        <v>COUT PNEUS</v>
      </c>
      <c r="N227" s="155">
        <f>+IF(OR($Q227=Parametres!$G$2,$Q227=Parametres!$G$3),I227,C227)</f>
        <v>0</v>
      </c>
      <c r="O227" s="155">
        <f>+IF(OR($Q227=Parametres!$G$2,$Q227=Parametres!$G$3),J227,D227)</f>
        <v>11930.91</v>
      </c>
      <c r="P227" s="155">
        <f>+IF(OR($Q227=Parametres!$G$2,$Q227=Parametres!$G$3),K227,E227)</f>
        <v>11930.91</v>
      </c>
      <c r="Q227" s="154" t="str">
        <f t="shared" si="17"/>
        <v>6-Coût des ventes</v>
      </c>
      <c r="R227" s="153" t="str">
        <f t="shared" si="18"/>
        <v>4781</v>
      </c>
      <c r="S227" s="154">
        <f t="shared" si="19"/>
        <v>0</v>
      </c>
      <c r="T227" s="156" t="str">
        <f>+VLOOKUP($L227,Data_Validation!$A:$D,1,0)</f>
        <v>5781</v>
      </c>
      <c r="U227" s="156" t="str">
        <f>+VLOOKUP($L227,Data_Validation!$A:$D,3,0)</f>
        <v>Pièces</v>
      </c>
      <c r="V227" s="156" t="str">
        <f>+VLOOKUP($L227,Data_Validation!$A:$D,4,0)</f>
        <v>Ventes Pneus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hidden="1" customHeight="1">
      <c r="A228" s="1072" t="s">
        <v>2135</v>
      </c>
      <c r="B228" s="1072" t="s">
        <v>2136</v>
      </c>
      <c r="C228" s="1074">
        <v>0</v>
      </c>
      <c r="D228" s="1074">
        <v>711.46</v>
      </c>
      <c r="E228" s="1074">
        <v>711.46</v>
      </c>
      <c r="F228" s="1072" t="s">
        <v>424</v>
      </c>
      <c r="G228" s="1072" t="s">
        <v>2137</v>
      </c>
      <c r="H228" s="150"/>
      <c r="I228" s="157"/>
      <c r="J228" s="157"/>
      <c r="K228" s="157"/>
      <c r="L228" s="153" t="str">
        <f t="shared" si="15"/>
        <v>5796</v>
      </c>
      <c r="M228" s="154" t="str">
        <f t="shared" si="16"/>
        <v>C/V - BONI / ESCPTE PI VW</v>
      </c>
      <c r="N228" s="155">
        <f>+IF(OR($Q228=Parametres!$G$2,$Q228=Parametres!$G$3),I228,C228)</f>
        <v>0</v>
      </c>
      <c r="O228" s="155">
        <f>+IF(OR($Q228=Parametres!$G$2,$Q228=Parametres!$G$3),J228,D228)</f>
        <v>711.46</v>
      </c>
      <c r="P228" s="155">
        <f>+IF(OR($Q228=Parametres!$G$2,$Q228=Parametres!$G$3),K228,E228)</f>
        <v>711.46</v>
      </c>
      <c r="Q228" s="154" t="str">
        <f t="shared" si="17"/>
        <v>6-Coût des ventes</v>
      </c>
      <c r="R228" s="153" t="str">
        <f t="shared" si="18"/>
        <v>5792</v>
      </c>
      <c r="S228" s="154">
        <f t="shared" si="19"/>
        <v>0</v>
      </c>
      <c r="T228" s="156" t="str">
        <f>+VLOOKUP($L228,Data_Validation!$A:$D,1,0)</f>
        <v>5796</v>
      </c>
      <c r="U228" s="156" t="str">
        <f>+VLOOKUP($L228,Data_Validation!$A:$D,3,0)</f>
        <v>Pièces</v>
      </c>
      <c r="V228" s="156" t="str">
        <f>+VLOOKUP($L228,Data_Validation!$A:$D,4,0)</f>
        <v>Escomptes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hidden="1" customHeight="1">
      <c r="A229" s="1072" t="s">
        <v>1523</v>
      </c>
      <c r="B229" s="1072" t="s">
        <v>2781</v>
      </c>
      <c r="C229" s="1074">
        <v>0</v>
      </c>
      <c r="D229" s="1074">
        <v>19537.41</v>
      </c>
      <c r="E229" s="1074">
        <v>19537.41</v>
      </c>
      <c r="F229" s="1072" t="s">
        <v>401</v>
      </c>
      <c r="G229" s="1072" t="s">
        <v>2781</v>
      </c>
      <c r="H229" s="1050"/>
      <c r="I229" s="1049"/>
      <c r="J229" s="1049"/>
      <c r="K229" s="1049"/>
      <c r="L229" s="153" t="str">
        <f t="shared" si="15"/>
        <v>6101</v>
      </c>
      <c r="M229" s="154" t="str">
        <f t="shared" si="16"/>
        <v>COMMISSION VENDEUR NEUFS</v>
      </c>
      <c r="N229" s="155">
        <f>+IF(OR($Q229=Parametres!$G$2,$Q229=Parametres!$G$3),I229,C229)</f>
        <v>0</v>
      </c>
      <c r="O229" s="608">
        <f>+IF(OR($Q229=Parametres!$G$2,$Q229=Parametres!$G$3),J229,D229)</f>
        <v>19537.41</v>
      </c>
      <c r="P229" s="155">
        <f>+IF(OR($Q229=Parametres!$G$2,$Q229=Parametres!$G$3),K229,E229)</f>
        <v>19537.41</v>
      </c>
      <c r="Q229" s="154" t="str">
        <f t="shared" si="17"/>
        <v>7-Dépenses</v>
      </c>
      <c r="R229" s="153" t="str">
        <f t="shared" si="18"/>
        <v>6101</v>
      </c>
      <c r="S229" s="154">
        <f t="shared" si="19"/>
        <v>0</v>
      </c>
      <c r="T229" s="156" t="str">
        <f>+VLOOKUP($L229,Data_Validation!$A:$D,1,0)</f>
        <v>6101</v>
      </c>
      <c r="U229" s="156" t="str">
        <f>+VLOOKUP($L229,Data_Validation!$A:$D,3,0)</f>
        <v>Véhicules neufs</v>
      </c>
      <c r="V229" s="156" t="str">
        <f>+VLOOKUP($L229,Data_Validation!$A:$D,4,0)</f>
        <v>Comm. vendeurs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hidden="1" customHeight="1">
      <c r="A230" s="1072" t="s">
        <v>1442</v>
      </c>
      <c r="B230" s="1072" t="s">
        <v>2770</v>
      </c>
      <c r="C230" s="1074">
        <v>0</v>
      </c>
      <c r="D230" s="1074">
        <v>4892.97</v>
      </c>
      <c r="E230" s="1074">
        <v>4892.97</v>
      </c>
      <c r="F230" s="1072" t="s">
        <v>401</v>
      </c>
      <c r="G230" s="1072" t="s">
        <v>2770</v>
      </c>
      <c r="H230" s="150"/>
      <c r="I230" s="151"/>
      <c r="J230" s="151"/>
      <c r="K230" s="151"/>
      <c r="L230" s="153" t="str">
        <f t="shared" si="15"/>
        <v>6102</v>
      </c>
      <c r="M230" s="154" t="str">
        <f t="shared" si="16"/>
        <v>RENUMERATION F &amp; I</v>
      </c>
      <c r="N230" s="155">
        <f>+IF(OR($Q230=Parametres!$G$2,$Q230=Parametres!$G$3),I230,C230)</f>
        <v>0</v>
      </c>
      <c r="O230" s="155">
        <f>+IF(OR($Q230=Parametres!$G$2,$Q230=Parametres!$G$3),J230,D230)</f>
        <v>4892.97</v>
      </c>
      <c r="P230" s="155">
        <f>+IF(OR($Q230=Parametres!$G$2,$Q230=Parametres!$G$3),K230,E230)</f>
        <v>4892.97</v>
      </c>
      <c r="Q230" s="154" t="str">
        <f t="shared" si="17"/>
        <v>7-Dépenses</v>
      </c>
      <c r="R230" s="153" t="str">
        <f t="shared" si="18"/>
        <v>6102</v>
      </c>
      <c r="S230" s="154">
        <f t="shared" si="19"/>
        <v>0</v>
      </c>
      <c r="T230" s="156" t="str">
        <f>+VLOOKUP($L230,Data_Validation!$A:$D,1,0)</f>
        <v>6102</v>
      </c>
      <c r="U230" s="156" t="str">
        <f>+VLOOKUP($L230,Data_Validation!$A:$D,3,0)</f>
        <v>Véhicules neufs</v>
      </c>
      <c r="V230" s="156" t="str">
        <f>+VLOOKUP($L230,Data_Validation!$A:$D,4,0)</f>
        <v>Comm. F&amp;I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hidden="1" customHeight="1">
      <c r="A231" s="1072" t="s">
        <v>399</v>
      </c>
      <c r="B231" s="1072" t="s">
        <v>2706</v>
      </c>
      <c r="C231" s="1074">
        <v>0</v>
      </c>
      <c r="D231" s="1074">
        <v>423.91</v>
      </c>
      <c r="E231" s="1074">
        <v>423.91</v>
      </c>
      <c r="F231" s="1072" t="s">
        <v>401</v>
      </c>
      <c r="G231" s="1072" t="s">
        <v>2706</v>
      </c>
      <c r="H231" s="1050"/>
      <c r="I231" s="1049"/>
      <c r="J231" s="1049"/>
      <c r="K231" s="1049"/>
      <c r="L231" s="153" t="str">
        <f t="shared" si="15"/>
        <v>6103</v>
      </c>
      <c r="M231" s="154" t="str">
        <f t="shared" si="16"/>
        <v>RELAT. A LA CLIENTELE &amp; AJUST.</v>
      </c>
      <c r="N231" s="155">
        <f>+IF(OR($Q231=Parametres!$G$2,$Q231=Parametres!$G$3),I231,C231)</f>
        <v>0</v>
      </c>
      <c r="O231" s="608">
        <f>+IF(OR($Q231=Parametres!$G$2,$Q231=Parametres!$G$3),J231,D231)</f>
        <v>423.91</v>
      </c>
      <c r="P231" s="155">
        <f>+IF(OR($Q231=Parametres!$G$2,$Q231=Parametres!$G$3),K231,E231)</f>
        <v>423.91</v>
      </c>
      <c r="Q231" s="154" t="str">
        <f t="shared" si="17"/>
        <v>7-Dépenses</v>
      </c>
      <c r="R231" s="153" t="str">
        <f t="shared" si="18"/>
        <v>6103</v>
      </c>
      <c r="S231" s="154">
        <f t="shared" si="19"/>
        <v>0</v>
      </c>
      <c r="T231" s="156" t="str">
        <f>+VLOOKUP($L231,Data_Validation!$A:$D,1,0)</f>
        <v>6103</v>
      </c>
      <c r="U231" s="156" t="str">
        <f>+VLOOKUP($L231,Data_Validation!$A:$D,3,0)</f>
        <v>Véhicules neufs</v>
      </c>
      <c r="V231" s="156" t="str">
        <f>+VLOOKUP($L231,Data_Validation!$A:$D,4,0)</f>
        <v>Service gratuit 1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hidden="1" customHeight="1">
      <c r="A232" s="1072" t="s">
        <v>2757</v>
      </c>
      <c r="B232" s="1072" t="s">
        <v>2759</v>
      </c>
      <c r="C232" s="1074">
        <v>0</v>
      </c>
      <c r="D232" s="1074">
        <v>169.95</v>
      </c>
      <c r="E232" s="1074">
        <v>169.95</v>
      </c>
      <c r="F232" s="1072" t="s">
        <v>401</v>
      </c>
      <c r="G232" s="1072" t="s">
        <v>2759</v>
      </c>
      <c r="H232" s="150"/>
      <c r="I232" s="157"/>
      <c r="J232" s="157"/>
      <c r="K232" s="157"/>
      <c r="L232" s="153" t="str">
        <f t="shared" si="15"/>
        <v>6106</v>
      </c>
      <c r="M232" s="154" t="str">
        <f t="shared" si="16"/>
        <v>ENTRETIEN DES STOCKS</v>
      </c>
      <c r="N232" s="155">
        <f>+IF(OR($Q232=Parametres!$G$2,$Q232=Parametres!$G$3),I232,C232)</f>
        <v>0</v>
      </c>
      <c r="O232" s="155">
        <f>+IF(OR($Q232=Parametres!$G$2,$Q232=Parametres!$G$3),J232,D232)</f>
        <v>169.95</v>
      </c>
      <c r="P232" s="155">
        <f>+IF(OR($Q232=Parametres!$G$2,$Q232=Parametres!$G$3),K232,E232)</f>
        <v>169.95</v>
      </c>
      <c r="Q232" s="154" t="str">
        <f t="shared" si="17"/>
        <v>7-Dépenses</v>
      </c>
      <c r="R232" s="153" t="str">
        <f t="shared" si="18"/>
        <v>6106</v>
      </c>
      <c r="S232" s="154">
        <f t="shared" si="19"/>
        <v>0</v>
      </c>
      <c r="T232" s="156" t="str">
        <f>+VLOOKUP($L232,Data_Validation!$A:$D,1,0)</f>
        <v>6106</v>
      </c>
      <c r="U232" s="156" t="str">
        <f>+VLOOKUP($L232,Data_Validation!$A:$D,3,0)</f>
        <v>Véhicules neufs</v>
      </c>
      <c r="V232" s="156" t="str">
        <f>+VLOOKUP($L232,Data_Validation!$A:$D,4,0)</f>
        <v>Entretien stock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hidden="1" customHeight="1">
      <c r="A233" s="1072" t="s">
        <v>938</v>
      </c>
      <c r="B233" s="1072" t="s">
        <v>2612</v>
      </c>
      <c r="C233" s="1074">
        <v>0</v>
      </c>
      <c r="D233" s="1074">
        <v>11535.44</v>
      </c>
      <c r="E233" s="1074">
        <v>11535.44</v>
      </c>
      <c r="F233" s="1072" t="s">
        <v>401</v>
      </c>
      <c r="G233" s="1072" t="s">
        <v>2612</v>
      </c>
      <c r="H233" s="1050"/>
      <c r="I233" s="1049"/>
      <c r="J233" s="1049"/>
      <c r="K233" s="1049"/>
      <c r="L233" s="153" t="str">
        <f t="shared" si="15"/>
        <v>6107</v>
      </c>
      <c r="M233" s="154" t="str">
        <f t="shared" si="16"/>
        <v>INTERET-PLAN DE FINANCEMENT</v>
      </c>
      <c r="N233" s="155">
        <f>+IF(OR($Q233=Parametres!$G$2,$Q233=Parametres!$G$3),I233,C233)</f>
        <v>0</v>
      </c>
      <c r="O233" s="608">
        <f>+IF(OR($Q233=Parametres!$G$2,$Q233=Parametres!$G$3),J233,D233)</f>
        <v>11535.44</v>
      </c>
      <c r="P233" s="155">
        <f>+IF(OR($Q233=Parametres!$G$2,$Q233=Parametres!$G$3),K233,E233)</f>
        <v>11535.44</v>
      </c>
      <c r="Q233" s="154" t="str">
        <f t="shared" si="17"/>
        <v>7-Dépenses</v>
      </c>
      <c r="R233" s="153" t="str">
        <f t="shared" si="18"/>
        <v>6107</v>
      </c>
      <c r="S233" s="154">
        <f t="shared" si="19"/>
        <v>0</v>
      </c>
      <c r="T233" s="156" t="str">
        <f>+VLOOKUP($L233,Data_Validation!$A:$D,1,0)</f>
        <v>6107</v>
      </c>
      <c r="U233" s="156" t="str">
        <f>+VLOOKUP($L233,Data_Validation!$A:$D,3,0)</f>
        <v>Véhicules neufs</v>
      </c>
      <c r="V233" s="156" t="str">
        <f>+VLOOKUP($L233,Data_Validation!$A:$D,4,0)</f>
        <v>Intérêt de gros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hidden="1" customHeight="1">
      <c r="A234" s="1072" t="s">
        <v>1407</v>
      </c>
      <c r="B234" s="1072" t="s">
        <v>2696</v>
      </c>
      <c r="C234" s="1074">
        <v>0</v>
      </c>
      <c r="D234" s="1074">
        <v>4798.3</v>
      </c>
      <c r="E234" s="1074">
        <v>4798.3</v>
      </c>
      <c r="F234" s="1072" t="s">
        <v>401</v>
      </c>
      <c r="G234" s="1072" t="s">
        <v>2696</v>
      </c>
      <c r="H234" s="150"/>
      <c r="I234" s="157"/>
      <c r="J234" s="157"/>
      <c r="K234" s="157"/>
      <c r="L234" s="153" t="str">
        <f t="shared" si="15"/>
        <v>6108</v>
      </c>
      <c r="M234" s="154" t="str">
        <f t="shared" si="16"/>
        <v>FRAIS DE LIVRAISON</v>
      </c>
      <c r="N234" s="155">
        <f>+IF(OR($Q234=Parametres!$G$2,$Q234=Parametres!$G$3),I234,C234)</f>
        <v>0</v>
      </c>
      <c r="O234" s="609">
        <f>+IF(OR($Q234=Parametres!$G$2,$Q234=Parametres!$G$3),J234,D234)</f>
        <v>4798.3</v>
      </c>
      <c r="P234" s="155">
        <f>+IF(OR($Q234=Parametres!$G$2,$Q234=Parametres!$G$3),K234,E234)</f>
        <v>4798.3</v>
      </c>
      <c r="Q234" s="154" t="str">
        <f t="shared" si="17"/>
        <v>7-Dépenses</v>
      </c>
      <c r="R234" s="153" t="str">
        <f t="shared" si="18"/>
        <v>6108</v>
      </c>
      <c r="S234" s="154">
        <f t="shared" si="19"/>
        <v>0</v>
      </c>
      <c r="T234" s="156" t="str">
        <f>+VLOOKUP($L234,Data_Validation!$A:$D,1,0)</f>
        <v>6108</v>
      </c>
      <c r="U234" s="156" t="str">
        <f>+VLOOKUP($L234,Data_Validation!$A:$D,3,0)</f>
        <v>Véhicules neufs</v>
      </c>
      <c r="V234" s="156" t="str">
        <f>+VLOOKUP($L234,Data_Validation!$A:$D,4,0)</f>
        <v>Frais de livraison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hidden="1" customHeight="1">
      <c r="A235" s="1072" t="s">
        <v>1374</v>
      </c>
      <c r="B235" s="1072" t="s">
        <v>2113</v>
      </c>
      <c r="C235" s="1074">
        <v>0</v>
      </c>
      <c r="D235" s="1074">
        <v>9580.1</v>
      </c>
      <c r="E235" s="1074">
        <v>9580.1</v>
      </c>
      <c r="F235" s="1072" t="s">
        <v>401</v>
      </c>
      <c r="G235" s="1072" t="s">
        <v>2113</v>
      </c>
      <c r="H235" s="1050"/>
      <c r="I235" s="1049"/>
      <c r="J235" s="1049"/>
      <c r="K235" s="1049"/>
      <c r="L235" s="153" t="str">
        <f t="shared" si="15"/>
        <v>6114</v>
      </c>
      <c r="M235" s="154" t="str">
        <f t="shared" si="16"/>
        <v>PUBLICITE</v>
      </c>
      <c r="N235" s="155">
        <f>+IF(OR($Q235=Parametres!$G$2,$Q235=Parametres!$G$3),I235,C235)</f>
        <v>0</v>
      </c>
      <c r="O235" s="608">
        <f>+IF(OR($Q235=Parametres!$G$2,$Q235=Parametres!$G$3),J235,D235)</f>
        <v>9580.1</v>
      </c>
      <c r="P235" s="155">
        <f>+IF(OR($Q235=Parametres!$G$2,$Q235=Parametres!$G$3),K235,E235)</f>
        <v>9580.1</v>
      </c>
      <c r="Q235" s="154" t="str">
        <f t="shared" si="17"/>
        <v>7-Dépenses</v>
      </c>
      <c r="R235" s="153" t="str">
        <f t="shared" si="18"/>
        <v>6114</v>
      </c>
      <c r="S235" s="154">
        <f t="shared" si="19"/>
        <v>0</v>
      </c>
      <c r="T235" s="156" t="str">
        <f>+VLOOKUP($L235,Data_Validation!$A:$D,1,0)</f>
        <v>6114</v>
      </c>
      <c r="U235" s="156" t="str">
        <f>+VLOOKUP($L235,Data_Validation!$A:$D,3,0)</f>
        <v>Véhicules neufs</v>
      </c>
      <c r="V235" s="156" t="str">
        <f>+VLOOKUP($L235,Data_Validation!$A:$D,4,0)</f>
        <v>Publicité 1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hidden="1" customHeight="1">
      <c r="A236" s="1072" t="s">
        <v>2111</v>
      </c>
      <c r="B236" s="1072" t="s">
        <v>2112</v>
      </c>
      <c r="C236" s="1074">
        <v>0</v>
      </c>
      <c r="D236" s="1074">
        <v>-2200</v>
      </c>
      <c r="E236" s="1074">
        <v>-2200</v>
      </c>
      <c r="F236" s="1072" t="s">
        <v>401</v>
      </c>
      <c r="G236" s="1072" t="s">
        <v>2113</v>
      </c>
      <c r="H236" s="150"/>
      <c r="I236" s="157"/>
      <c r="J236" s="157"/>
      <c r="K236" s="157"/>
      <c r="L236" s="153" t="str">
        <f t="shared" si="15"/>
        <v>6115</v>
      </c>
      <c r="M236" s="154" t="str">
        <f t="shared" si="16"/>
        <v>CREDIT PUBLICITE NEUF</v>
      </c>
      <c r="N236" s="155">
        <f>+IF(OR($Q236=Parametres!$G$2,$Q236=Parametres!$G$3),I236,C236)</f>
        <v>0</v>
      </c>
      <c r="O236" s="155">
        <f>+IF(OR($Q236=Parametres!$G$2,$Q236=Parametres!$G$3),J236,D236)</f>
        <v>-2200</v>
      </c>
      <c r="P236" s="155">
        <f>+IF(OR($Q236=Parametres!$G$2,$Q236=Parametres!$G$3),K236,E236)</f>
        <v>-2200</v>
      </c>
      <c r="Q236" s="154" t="str">
        <f t="shared" si="17"/>
        <v>7-Dépenses</v>
      </c>
      <c r="R236" s="153" t="str">
        <f t="shared" si="18"/>
        <v>6114</v>
      </c>
      <c r="S236" s="154">
        <f t="shared" si="19"/>
        <v>0</v>
      </c>
      <c r="T236" s="156" t="str">
        <f>+VLOOKUP($L236,Data_Validation!$A:$D,1,0)</f>
        <v>6115</v>
      </c>
      <c r="U236" s="156" t="str">
        <f>+VLOOKUP($L236,Data_Validation!$A:$D,3,0)</f>
        <v>Véhicules neufs</v>
      </c>
      <c r="V236" s="156" t="str">
        <f>+VLOOKUP($L236,Data_Validation!$A:$D,4,0)</f>
        <v>Publicité 1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hidden="1" customHeight="1">
      <c r="A237" s="1072" t="s">
        <v>1259</v>
      </c>
      <c r="B237" s="1072" t="s">
        <v>2648</v>
      </c>
      <c r="C237" s="1074">
        <v>0</v>
      </c>
      <c r="D237" s="1074">
        <v>933.33</v>
      </c>
      <c r="E237" s="1074">
        <v>933.33</v>
      </c>
      <c r="F237" s="1072" t="s">
        <v>401</v>
      </c>
      <c r="G237" s="1072" t="s">
        <v>2648</v>
      </c>
      <c r="H237" s="1050"/>
      <c r="I237" s="1049"/>
      <c r="J237" s="1049"/>
      <c r="K237" s="1049"/>
      <c r="L237" s="153" t="str">
        <f t="shared" si="15"/>
        <v>6121</v>
      </c>
      <c r="M237" s="154" t="str">
        <f t="shared" si="16"/>
        <v>SALAIRES - PROPRIETAIRES</v>
      </c>
      <c r="N237" s="155">
        <f>+IF(OR($Q237=Parametres!$G$2,$Q237=Parametres!$G$3),I237,C237)</f>
        <v>0</v>
      </c>
      <c r="O237" s="608">
        <f>+IF(OR($Q237=Parametres!$G$2,$Q237=Parametres!$G$3),J237,D237)</f>
        <v>933.33</v>
      </c>
      <c r="P237" s="155">
        <f>+IF(OR($Q237=Parametres!$G$2,$Q237=Parametres!$G$3),K237,E237)</f>
        <v>933.33</v>
      </c>
      <c r="Q237" s="154" t="str">
        <f t="shared" si="17"/>
        <v>7-Dépenses</v>
      </c>
      <c r="R237" s="153" t="str">
        <f t="shared" si="18"/>
        <v>6121</v>
      </c>
      <c r="S237" s="154">
        <f t="shared" si="19"/>
        <v>0</v>
      </c>
      <c r="T237" s="156" t="str">
        <f>+VLOOKUP($L237,Data_Validation!$A:$D,1,0)</f>
        <v>6121</v>
      </c>
      <c r="U237" s="156" t="str">
        <f>+VLOOKUP($L237,Data_Validation!$A:$D,3,0)</f>
        <v>Véhicules neufs</v>
      </c>
      <c r="V237" s="156" t="str">
        <f>+VLOOKUP($L237,Data_Validation!$A:$D,4,0)</f>
        <v>Salaires propriétaire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hidden="1" customHeight="1">
      <c r="A238" s="1072" t="s">
        <v>2624</v>
      </c>
      <c r="B238" s="1072" t="s">
        <v>2626</v>
      </c>
      <c r="C238" s="1074">
        <v>0</v>
      </c>
      <c r="D238" s="1074">
        <v>6384.14</v>
      </c>
      <c r="E238" s="1074">
        <v>6384.14</v>
      </c>
      <c r="F238" s="1072" t="s">
        <v>401</v>
      </c>
      <c r="G238" s="1072" t="s">
        <v>2626</v>
      </c>
      <c r="H238" s="150"/>
      <c r="I238" s="157"/>
      <c r="J238" s="157"/>
      <c r="K238" s="157"/>
      <c r="L238" s="153" t="str">
        <f t="shared" si="15"/>
        <v>6122</v>
      </c>
      <c r="M238" s="154" t="str">
        <f t="shared" si="16"/>
        <v>SAL SUPERVISION / GERANT</v>
      </c>
      <c r="N238" s="155">
        <f>+IF(OR($Q238=Parametres!$G$2,$Q238=Parametres!$G$3),I238,C238)</f>
        <v>0</v>
      </c>
      <c r="O238" s="609">
        <f>+IF(OR($Q238=Parametres!$G$2,$Q238=Parametres!$G$3),J238,D238)</f>
        <v>6384.14</v>
      </c>
      <c r="P238" s="155">
        <f>+IF(OR($Q238=Parametres!$G$2,$Q238=Parametres!$G$3),K238,E238)</f>
        <v>6384.14</v>
      </c>
      <c r="Q238" s="154" t="str">
        <f t="shared" si="17"/>
        <v>7-Dépenses</v>
      </c>
      <c r="R238" s="153" t="str">
        <f t="shared" si="18"/>
        <v>6122</v>
      </c>
      <c r="S238" s="154">
        <f t="shared" si="19"/>
        <v>0</v>
      </c>
      <c r="T238" s="156" t="str">
        <f>+VLOOKUP($L238,Data_Validation!$A:$D,1,0)</f>
        <v>6122</v>
      </c>
      <c r="U238" s="156" t="str">
        <f>+VLOOKUP($L238,Data_Validation!$A:$D,3,0)</f>
        <v>Véhicules neufs</v>
      </c>
      <c r="V238" s="156" t="str">
        <f>+VLOOKUP($L238,Data_Validation!$A:$D,4,0)</f>
        <v>Salaires cadres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hidden="1" customHeight="1">
      <c r="A239" s="1072" t="s">
        <v>1342</v>
      </c>
      <c r="B239" s="1072" t="s">
        <v>2679</v>
      </c>
      <c r="C239" s="1074">
        <v>0</v>
      </c>
      <c r="D239" s="1074">
        <v>5390.92</v>
      </c>
      <c r="E239" s="1074">
        <v>5390.92</v>
      </c>
      <c r="F239" s="1072" t="s">
        <v>401</v>
      </c>
      <c r="G239" s="1072" t="s">
        <v>2679</v>
      </c>
      <c r="H239" s="1050"/>
      <c r="I239" s="1049"/>
      <c r="J239" s="1049"/>
      <c r="K239" s="1049"/>
      <c r="L239" s="153" t="str">
        <f t="shared" si="15"/>
        <v>6123</v>
      </c>
      <c r="M239" s="154" t="str">
        <f t="shared" si="16"/>
        <v>SAL. &amp; RENUM. - CLERICAL</v>
      </c>
      <c r="N239" s="155">
        <f>+IF(OR($Q239=Parametres!$G$2,$Q239=Parametres!$G$3),I239,C239)</f>
        <v>0</v>
      </c>
      <c r="O239" s="608">
        <f>+IF(OR($Q239=Parametres!$G$2,$Q239=Parametres!$G$3),J239,D239)</f>
        <v>5390.92</v>
      </c>
      <c r="P239" s="155">
        <f>+IF(OR($Q239=Parametres!$G$2,$Q239=Parametres!$G$3),K239,E239)</f>
        <v>5390.92</v>
      </c>
      <c r="Q239" s="154" t="str">
        <f t="shared" si="17"/>
        <v>7-Dépenses</v>
      </c>
      <c r="R239" s="153" t="str">
        <f t="shared" si="18"/>
        <v>6123</v>
      </c>
      <c r="S239" s="154">
        <f t="shared" si="19"/>
        <v>0</v>
      </c>
      <c r="T239" s="156" t="str">
        <f>+VLOOKUP($L239,Data_Validation!$A:$D,1,0)</f>
        <v>6123</v>
      </c>
      <c r="U239" s="156" t="str">
        <f>+VLOOKUP($L239,Data_Validation!$A:$D,3,0)</f>
        <v>Véhicules neufs</v>
      </c>
      <c r="V239" s="156" t="str">
        <f>+VLOOKUP($L239,Data_Validation!$A:$D,4,0)</f>
        <v>Salaires commis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hidden="1" customHeight="1">
      <c r="A240" s="1072" t="s">
        <v>1249</v>
      </c>
      <c r="B240" s="1072" t="s">
        <v>2735</v>
      </c>
      <c r="C240" s="1074">
        <v>0</v>
      </c>
      <c r="D240" s="1074">
        <v>4197.1099999999997</v>
      </c>
      <c r="E240" s="1074">
        <v>4197.1099999999997</v>
      </c>
      <c r="F240" s="1072" t="s">
        <v>401</v>
      </c>
      <c r="G240" s="1072" t="s">
        <v>2735</v>
      </c>
      <c r="H240" s="150"/>
      <c r="I240" s="157"/>
      <c r="J240" s="157"/>
      <c r="K240" s="157"/>
      <c r="L240" s="153" t="str">
        <f t="shared" si="15"/>
        <v>6124</v>
      </c>
      <c r="M240" s="154" t="str">
        <f t="shared" si="16"/>
        <v>SALAIRES &amp; RENUM. - AUTRES</v>
      </c>
      <c r="N240" s="155">
        <f>+IF(OR($Q240=Parametres!$G$2,$Q240=Parametres!$G$3),I240,C240)</f>
        <v>0</v>
      </c>
      <c r="O240" s="608">
        <f>+IF(OR($Q240=Parametres!$G$2,$Q240=Parametres!$G$3),J240,D240)</f>
        <v>4197.1099999999997</v>
      </c>
      <c r="P240" s="155">
        <f>+IF(OR($Q240=Parametres!$G$2,$Q240=Parametres!$G$3),K240,E240)</f>
        <v>4197.1099999999997</v>
      </c>
      <c r="Q240" s="154" t="str">
        <f t="shared" si="17"/>
        <v>7-Dépenses</v>
      </c>
      <c r="R240" s="153" t="str">
        <f t="shared" si="18"/>
        <v>6124</v>
      </c>
      <c r="S240" s="154">
        <f t="shared" si="19"/>
        <v>0</v>
      </c>
      <c r="T240" s="156" t="str">
        <f>+VLOOKUP($L240,Data_Validation!$A:$D,1,0)</f>
        <v>6124</v>
      </c>
      <c r="U240" s="156" t="str">
        <f>+VLOOKUP($L240,Data_Validation!$A:$D,3,0)</f>
        <v>Véhicules neufs</v>
      </c>
      <c r="V240" s="156" t="str">
        <f>+VLOOKUP($L240,Data_Validation!$A:$D,4,0)</f>
        <v>Salaires autres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72" t="s">
        <v>1445</v>
      </c>
      <c r="B241" s="1072" t="s">
        <v>2641</v>
      </c>
      <c r="C241" s="1074">
        <v>0</v>
      </c>
      <c r="D241" s="1074">
        <v>7394.06</v>
      </c>
      <c r="E241" s="1074">
        <v>7394.06</v>
      </c>
      <c r="F241" s="1072" t="s">
        <v>401</v>
      </c>
      <c r="G241" s="1072" t="s">
        <v>2641</v>
      </c>
      <c r="H241" s="1050"/>
      <c r="I241" s="1049"/>
      <c r="J241" s="1049"/>
      <c r="K241" s="1049"/>
      <c r="L241" s="153" t="str">
        <f t="shared" si="15"/>
        <v>6129</v>
      </c>
      <c r="M241" s="154" t="str">
        <f t="shared" si="16"/>
        <v>ABS., VACANCE &amp; SAL. JOURS FER</v>
      </c>
      <c r="N241" s="155">
        <f>+IF(OR($Q241=Parametres!$G$2,$Q241=Parametres!$G$3),I241,C241)</f>
        <v>0</v>
      </c>
      <c r="O241" s="608">
        <f>+IF(OR($Q241=Parametres!$G$2,$Q241=Parametres!$G$3),J241,D241)</f>
        <v>7394.06</v>
      </c>
      <c r="P241" s="155">
        <f>+IF(OR($Q241=Parametres!$G$2,$Q241=Parametres!$G$3),K241,E241)</f>
        <v>7394.06</v>
      </c>
      <c r="Q241" s="154" t="str">
        <f t="shared" si="17"/>
        <v>7-Dépenses</v>
      </c>
      <c r="R241" s="153" t="str">
        <f t="shared" si="18"/>
        <v>6129</v>
      </c>
      <c r="S241" s="154">
        <f t="shared" si="19"/>
        <v>0</v>
      </c>
      <c r="T241" s="156" t="str">
        <f>+VLOOKUP($L241,Data_Validation!$A:$D,1,0)</f>
        <v>6129</v>
      </c>
      <c r="U241" s="156" t="str">
        <f>+VLOOKUP($L241,Data_Validation!$A:$D,3,0)</f>
        <v>Véhicules neufs</v>
      </c>
      <c r="V241" s="156" t="str">
        <f>+VLOOKUP($L241,Data_Validation!$A:$D,4,0)</f>
        <v>Salaires en absences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72" t="s">
        <v>1283</v>
      </c>
      <c r="B242" s="1072" t="s">
        <v>2685</v>
      </c>
      <c r="C242" s="1074">
        <v>0</v>
      </c>
      <c r="D242" s="1074">
        <v>14260.56</v>
      </c>
      <c r="E242" s="1074">
        <v>14260.56</v>
      </c>
      <c r="F242" s="1072" t="s">
        <v>401</v>
      </c>
      <c r="G242" s="1072" t="s">
        <v>2685</v>
      </c>
      <c r="H242" s="150"/>
      <c r="I242" s="157"/>
      <c r="J242" s="157"/>
      <c r="K242" s="157"/>
      <c r="L242" s="153" t="str">
        <f t="shared" si="15"/>
        <v>6132</v>
      </c>
      <c r="M242" s="154" t="str">
        <f t="shared" si="16"/>
        <v>RRQ RAMQ AC</v>
      </c>
      <c r="N242" s="155">
        <f>+IF(OR($Q242=Parametres!$G$2,$Q242=Parametres!$G$3),I242,C242)</f>
        <v>0</v>
      </c>
      <c r="O242" s="608">
        <f>+IF(OR($Q242=Parametres!$G$2,$Q242=Parametres!$G$3),J242,D242)</f>
        <v>14260.56</v>
      </c>
      <c r="P242" s="155">
        <f>+IF(OR($Q242=Parametres!$G$2,$Q242=Parametres!$G$3),K242,E242)</f>
        <v>14260.56</v>
      </c>
      <c r="Q242" s="154" t="str">
        <f t="shared" si="17"/>
        <v>7-Dépenses</v>
      </c>
      <c r="R242" s="153" t="str">
        <f t="shared" si="18"/>
        <v>6132</v>
      </c>
      <c r="S242" s="154">
        <f t="shared" si="19"/>
        <v>0</v>
      </c>
      <c r="T242" s="156" t="str">
        <f>+VLOOKUP($L242,Data_Validation!$A:$D,1,0)</f>
        <v>6132</v>
      </c>
      <c r="U242" s="156" t="str">
        <f>+VLOOKUP($L242,Data_Validation!$A:$D,3,0)</f>
        <v>Véhicules neufs</v>
      </c>
      <c r="V242" s="156" t="str">
        <f>+VLOOKUP($L242,Data_Validation!$A:$D,4,0)</f>
        <v>Déduction à la source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72" t="s">
        <v>1414</v>
      </c>
      <c r="B243" s="1072" t="s">
        <v>2694</v>
      </c>
      <c r="C243" s="1074">
        <v>0</v>
      </c>
      <c r="D243" s="1074">
        <v>5856</v>
      </c>
      <c r="E243" s="1074">
        <v>5856</v>
      </c>
      <c r="F243" s="1072" t="s">
        <v>401</v>
      </c>
      <c r="G243" s="1072" t="s">
        <v>2694</v>
      </c>
      <c r="H243" s="1050"/>
      <c r="I243" s="1049"/>
      <c r="J243" s="1049"/>
      <c r="K243" s="1049"/>
      <c r="L243" s="153" t="str">
        <f t="shared" si="15"/>
        <v>6139</v>
      </c>
      <c r="M243" s="154" t="str">
        <f t="shared" si="16"/>
        <v>ASSURANCE GROUPS</v>
      </c>
      <c r="N243" s="155">
        <f>+IF(OR($Q243=Parametres!$G$2,$Q243=Parametres!$G$3),I243,C243)</f>
        <v>0</v>
      </c>
      <c r="O243" s="608">
        <f>+IF(OR($Q243=Parametres!$G$2,$Q243=Parametres!$G$3),J243,D243)</f>
        <v>5856</v>
      </c>
      <c r="P243" s="155">
        <f>+IF(OR($Q243=Parametres!$G$2,$Q243=Parametres!$G$3),K243,E243)</f>
        <v>5856</v>
      </c>
      <c r="Q243" s="154" t="str">
        <f t="shared" si="17"/>
        <v>7-Dépenses</v>
      </c>
      <c r="R243" s="153" t="str">
        <f t="shared" si="18"/>
        <v>6139</v>
      </c>
      <c r="S243" s="154">
        <f t="shared" si="19"/>
        <v>0</v>
      </c>
      <c r="T243" s="156" t="str">
        <f>+VLOOKUP($L243,Data_Validation!$A:$D,1,0)</f>
        <v>6139</v>
      </c>
      <c r="U243" s="156" t="str">
        <f>+VLOOKUP($L243,Data_Validation!$A:$D,3,0)</f>
        <v>Véhicules neufs</v>
      </c>
      <c r="V243" s="156" t="str">
        <f>+VLOOKUP($L243,Data_Validation!$A:$D,4,0)</f>
        <v>Bénéfices marginaux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72" t="s">
        <v>934</v>
      </c>
      <c r="B244" s="1072" t="s">
        <v>2561</v>
      </c>
      <c r="C244" s="1074">
        <v>0</v>
      </c>
      <c r="D244" s="1074">
        <v>523.33000000000004</v>
      </c>
      <c r="E244" s="1074">
        <v>523.33000000000004</v>
      </c>
      <c r="F244" s="1072" t="s">
        <v>401</v>
      </c>
      <c r="G244" s="1072" t="s">
        <v>2561</v>
      </c>
      <c r="H244" s="150"/>
      <c r="I244" s="157"/>
      <c r="J244" s="157"/>
      <c r="K244" s="157"/>
      <c r="L244" s="153" t="str">
        <f t="shared" si="15"/>
        <v>6144</v>
      </c>
      <c r="M244" s="154" t="str">
        <f t="shared" si="16"/>
        <v>FORMATION</v>
      </c>
      <c r="N244" s="155">
        <f>+IF(OR($Q244=Parametres!$G$2,$Q244=Parametres!$G$3),I244,C244)</f>
        <v>0</v>
      </c>
      <c r="O244" s="155">
        <f>+IF(OR($Q244=Parametres!$G$2,$Q244=Parametres!$G$3),J244,D244)</f>
        <v>523.33000000000004</v>
      </c>
      <c r="P244" s="155">
        <f>+IF(OR($Q244=Parametres!$G$2,$Q244=Parametres!$G$3),K244,E244)</f>
        <v>523.33000000000004</v>
      </c>
      <c r="Q244" s="154" t="str">
        <f t="shared" si="17"/>
        <v>7-Dépenses</v>
      </c>
      <c r="R244" s="153" t="str">
        <f t="shared" si="18"/>
        <v>6144</v>
      </c>
      <c r="S244" s="154">
        <f t="shared" si="19"/>
        <v>0</v>
      </c>
      <c r="T244" s="156" t="str">
        <f>+VLOOKUP($L244,Data_Validation!$A:$D,1,0)</f>
        <v>6144</v>
      </c>
      <c r="U244" s="156" t="str">
        <f>+VLOOKUP($L244,Data_Validation!$A:$D,3,0)</f>
        <v>Véhicules neufs</v>
      </c>
      <c r="V244" s="156" t="str">
        <f>+VLOOKUP($L244,Data_Validation!$A:$D,4,0)</f>
        <v>Formation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72" t="s">
        <v>1186</v>
      </c>
      <c r="B245" s="1072" t="s">
        <v>2632</v>
      </c>
      <c r="C245" s="1074">
        <v>0</v>
      </c>
      <c r="D245" s="1074">
        <v>5359.43</v>
      </c>
      <c r="E245" s="1074">
        <v>5359.43</v>
      </c>
      <c r="F245" s="1072" t="s">
        <v>401</v>
      </c>
      <c r="G245" s="1072" t="s">
        <v>2632</v>
      </c>
      <c r="H245" s="1050"/>
      <c r="I245" s="1049"/>
      <c r="J245" s="1049"/>
      <c r="K245" s="1049"/>
      <c r="L245" s="153" t="str">
        <f t="shared" si="15"/>
        <v>6145</v>
      </c>
      <c r="M245" s="154" t="str">
        <f t="shared" si="16"/>
        <v>VEHICULE DE COMPAGNIE - DEPENS</v>
      </c>
      <c r="N245" s="155">
        <f>+IF(OR($Q245=Parametres!$G$2,$Q245=Parametres!$G$3),I245,C245)</f>
        <v>0</v>
      </c>
      <c r="O245" s="155">
        <f>+IF(OR($Q245=Parametres!$G$2,$Q245=Parametres!$G$3),J245,D245)</f>
        <v>5359.43</v>
      </c>
      <c r="P245" s="155">
        <f>+IF(OR($Q245=Parametres!$G$2,$Q245=Parametres!$G$3),K245,E245)</f>
        <v>5359.43</v>
      </c>
      <c r="Q245" s="154" t="str">
        <f t="shared" si="17"/>
        <v>7-Dépenses</v>
      </c>
      <c r="R245" s="153" t="str">
        <f t="shared" si="18"/>
        <v>6145</v>
      </c>
      <c r="S245" s="154">
        <f t="shared" si="19"/>
        <v>0</v>
      </c>
      <c r="T245" s="156" t="str">
        <f>+VLOOKUP($L245,Data_Validation!$A:$D,1,0)</f>
        <v>6145</v>
      </c>
      <c r="U245" s="156" t="str">
        <f>+VLOOKUP($L245,Data_Validation!$A:$D,3,0)</f>
        <v>Véhicules neufs</v>
      </c>
      <c r="V245" s="156" t="str">
        <f>+VLOOKUP($L245,Data_Validation!$A:$D,4,0)</f>
        <v>Frais véhicules de cie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72" t="s">
        <v>1180</v>
      </c>
      <c r="B246" s="1072" t="s">
        <v>2581</v>
      </c>
      <c r="C246" s="1074">
        <v>0</v>
      </c>
      <c r="D246" s="1074">
        <v>65.22</v>
      </c>
      <c r="E246" s="1074">
        <v>65.22</v>
      </c>
      <c r="F246" s="1072" t="s">
        <v>401</v>
      </c>
      <c r="G246" s="1072" t="s">
        <v>2581</v>
      </c>
      <c r="H246" s="1050"/>
      <c r="I246" s="1049"/>
      <c r="J246" s="1049"/>
      <c r="K246" s="1049"/>
      <c r="L246" s="153" t="str">
        <f t="shared" si="15"/>
        <v>6147</v>
      </c>
      <c r="M246" s="154" t="str">
        <f t="shared" si="16"/>
        <v>FRET/EXPRESS/TRANS. PAR CAMION</v>
      </c>
      <c r="N246" s="155">
        <f>+IF(OR($Q246=Parametres!$G$2,$Q246=Parametres!$G$3),I246,C246)</f>
        <v>0</v>
      </c>
      <c r="O246" s="155">
        <f>+IF(OR($Q246=Parametres!$G$2,$Q246=Parametres!$G$3),J246,D246)</f>
        <v>65.22</v>
      </c>
      <c r="P246" s="155">
        <f>+IF(OR($Q246=Parametres!$G$2,$Q246=Parametres!$G$3),K246,E246)</f>
        <v>65.22</v>
      </c>
      <c r="Q246" s="154" t="str">
        <f t="shared" si="17"/>
        <v>7-Dépenses</v>
      </c>
      <c r="R246" s="153" t="str">
        <f t="shared" si="18"/>
        <v>6147</v>
      </c>
      <c r="S246" s="154">
        <f t="shared" si="19"/>
        <v>0</v>
      </c>
      <c r="T246" s="156" t="str">
        <f>+VLOOKUP($L246,Data_Validation!$A:$D,1,0)</f>
        <v>6147</v>
      </c>
      <c r="U246" s="156" t="str">
        <f>+VLOOKUP($L246,Data_Validation!$A:$D,3,0)</f>
        <v>Véhicules neufs</v>
      </c>
      <c r="V246" s="156" t="str">
        <f>+VLOOKUP($L246,Data_Validation!$A:$D,4,0)</f>
        <v>Frais postaux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72" t="s">
        <v>1286</v>
      </c>
      <c r="B247" s="1072" t="s">
        <v>2702</v>
      </c>
      <c r="C247" s="1074">
        <v>0</v>
      </c>
      <c r="D247" s="1074">
        <v>5798.14</v>
      </c>
      <c r="E247" s="1074">
        <v>5798.14</v>
      </c>
      <c r="F247" s="1072" t="s">
        <v>401</v>
      </c>
      <c r="G247" s="1072" t="s">
        <v>2702</v>
      </c>
      <c r="H247" s="150"/>
      <c r="I247" s="157"/>
      <c r="J247" s="157"/>
      <c r="K247" s="157"/>
      <c r="L247" s="153" t="str">
        <f t="shared" si="15"/>
        <v>6151</v>
      </c>
      <c r="M247" s="154" t="str">
        <f t="shared" si="16"/>
        <v>DEP. DU TRAITEMENT DES DONNEES</v>
      </c>
      <c r="N247" s="155">
        <f>+IF(OR($Q247=Parametres!$G$2,$Q247=Parametres!$G$3),I247,C247)</f>
        <v>0</v>
      </c>
      <c r="O247" s="155">
        <f>+IF(OR($Q247=Parametres!$G$2,$Q247=Parametres!$G$3),J247,D247)</f>
        <v>5798.14</v>
      </c>
      <c r="P247" s="155">
        <f>+IF(OR($Q247=Parametres!$G$2,$Q247=Parametres!$G$3),K247,E247)</f>
        <v>5798.14</v>
      </c>
      <c r="Q247" s="154" t="str">
        <f t="shared" si="17"/>
        <v>7-Dépenses</v>
      </c>
      <c r="R247" s="153" t="str">
        <f t="shared" si="18"/>
        <v>6151</v>
      </c>
      <c r="S247" s="154">
        <f t="shared" si="19"/>
        <v>0</v>
      </c>
      <c r="T247" s="156" t="str">
        <f>+VLOOKUP($L247,Data_Validation!$A:$D,1,0)</f>
        <v>6151</v>
      </c>
      <c r="U247" s="156" t="str">
        <f>+VLOOKUP($L247,Data_Validation!$A:$D,3,0)</f>
        <v>Véhicules neufs</v>
      </c>
      <c r="V247" s="156" t="str">
        <f>+VLOOKUP($L247,Data_Validation!$A:$D,4,0)</f>
        <v>Informatique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72" t="s">
        <v>1206</v>
      </c>
      <c r="B248" s="1072" t="s">
        <v>2588</v>
      </c>
      <c r="C248" s="1074">
        <v>0</v>
      </c>
      <c r="D248" s="1074">
        <v>248.87</v>
      </c>
      <c r="E248" s="1074">
        <v>248.87</v>
      </c>
      <c r="F248" s="1072" t="s">
        <v>401</v>
      </c>
      <c r="G248" s="1072" t="s">
        <v>2588</v>
      </c>
      <c r="H248" s="150"/>
      <c r="I248" s="151"/>
      <c r="J248" s="151"/>
      <c r="K248" s="151"/>
      <c r="L248" s="153" t="str">
        <f t="shared" si="15"/>
        <v>6152</v>
      </c>
      <c r="M248" s="154" t="str">
        <f t="shared" si="16"/>
        <v>PAPETERIE</v>
      </c>
      <c r="N248" s="155">
        <f>+IF(OR($Q248=Parametres!$G$2,$Q248=Parametres!$G$3),I248,C248)</f>
        <v>0</v>
      </c>
      <c r="O248" s="155">
        <f>+IF(OR($Q248=Parametres!$G$2,$Q248=Parametres!$G$3),J248,D248)</f>
        <v>248.87</v>
      </c>
      <c r="P248" s="155">
        <f>+IF(OR($Q248=Parametres!$G$2,$Q248=Parametres!$G$3),K248,E248)</f>
        <v>248.87</v>
      </c>
      <c r="Q248" s="154" t="str">
        <f t="shared" si="17"/>
        <v>7-Dépenses</v>
      </c>
      <c r="R248" s="153" t="str">
        <f t="shared" si="18"/>
        <v>6152</v>
      </c>
      <c r="S248" s="154">
        <f t="shared" si="19"/>
        <v>0</v>
      </c>
      <c r="T248" s="156" t="str">
        <f>+VLOOKUP($L248,Data_Validation!$A:$D,1,0)</f>
        <v>6152</v>
      </c>
      <c r="U248" s="156" t="str">
        <f>+VLOOKUP($L248,Data_Validation!$A:$D,3,0)</f>
        <v>Véhicules neufs</v>
      </c>
      <c r="V248" s="156" t="str">
        <f>+VLOOKUP($L248,Data_Validation!$A:$D,4,0)</f>
        <v>Papeterie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72" t="s">
        <v>1154</v>
      </c>
      <c r="B249" s="1072" t="s">
        <v>2592</v>
      </c>
      <c r="C249" s="1074">
        <v>0</v>
      </c>
      <c r="D249" s="1074">
        <v>456.53</v>
      </c>
      <c r="E249" s="1074">
        <v>456.53</v>
      </c>
      <c r="F249" s="1072" t="s">
        <v>401</v>
      </c>
      <c r="G249" s="1072" t="s">
        <v>2592</v>
      </c>
      <c r="H249" s="150"/>
      <c r="I249" s="151"/>
      <c r="J249" s="151"/>
      <c r="K249" s="151"/>
      <c r="L249" s="153" t="str">
        <f t="shared" si="15"/>
        <v>6153</v>
      </c>
      <c r="M249" s="154" t="str">
        <f t="shared" si="16"/>
        <v>TELEPHONE ET TELEX</v>
      </c>
      <c r="N249" s="155">
        <f>+IF(OR($Q249=Parametres!$G$2,$Q249=Parametres!$G$3),I249,C249)</f>
        <v>0</v>
      </c>
      <c r="O249" s="155">
        <f>+IF(OR($Q249=Parametres!$G$2,$Q249=Parametres!$G$3),J249,D249)</f>
        <v>456.53</v>
      </c>
      <c r="P249" s="155">
        <f>+IF(OR($Q249=Parametres!$G$2,$Q249=Parametres!$G$3),K249,E249)</f>
        <v>456.53</v>
      </c>
      <c r="Q249" s="154" t="str">
        <f t="shared" si="17"/>
        <v>7-Dépenses</v>
      </c>
      <c r="R249" s="153" t="str">
        <f t="shared" si="18"/>
        <v>6153</v>
      </c>
      <c r="S249" s="154">
        <f t="shared" si="19"/>
        <v>0</v>
      </c>
      <c r="T249" s="156" t="str">
        <f>+VLOOKUP($L249,Data_Validation!$A:$D,1,0)</f>
        <v>6153</v>
      </c>
      <c r="U249" s="156" t="str">
        <f>+VLOOKUP($L249,Data_Validation!$A:$D,3,0)</f>
        <v>Véhicules neufs</v>
      </c>
      <c r="V249" s="156" t="str">
        <f>+VLOOKUP($L249,Data_Validation!$A:$D,4,0)</f>
        <v>Téléphone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72" t="s">
        <v>1237</v>
      </c>
      <c r="B250" s="1072" t="s">
        <v>2637</v>
      </c>
      <c r="C250" s="1074">
        <v>0</v>
      </c>
      <c r="D250" s="1074">
        <v>252.3</v>
      </c>
      <c r="E250" s="1074">
        <v>252.3</v>
      </c>
      <c r="F250" s="1072" t="s">
        <v>401</v>
      </c>
      <c r="G250" s="1072" t="s">
        <v>2637</v>
      </c>
      <c r="H250" s="150"/>
      <c r="I250" s="157"/>
      <c r="J250" s="157"/>
      <c r="K250" s="157"/>
      <c r="L250" s="153" t="str">
        <f t="shared" si="15"/>
        <v>6155</v>
      </c>
      <c r="M250" s="154" t="str">
        <f t="shared" si="16"/>
        <v>DEPENSES DIVERS</v>
      </c>
      <c r="N250" s="155">
        <f>+IF(OR($Q250=Parametres!$G$2,$Q250=Parametres!$G$3),I250,C250)</f>
        <v>0</v>
      </c>
      <c r="O250" s="155">
        <f>+IF(OR($Q250=Parametres!$G$2,$Q250=Parametres!$G$3),J250,D250)</f>
        <v>252.3</v>
      </c>
      <c r="P250" s="155">
        <f>+IF(OR($Q250=Parametres!$G$2,$Q250=Parametres!$G$3),K250,E250)</f>
        <v>252.3</v>
      </c>
      <c r="Q250" s="154" t="str">
        <f t="shared" si="17"/>
        <v>7-Dépenses</v>
      </c>
      <c r="R250" s="153" t="str">
        <f t="shared" si="18"/>
        <v>6155</v>
      </c>
      <c r="S250" s="154">
        <f t="shared" si="19"/>
        <v>0</v>
      </c>
      <c r="T250" s="156" t="str">
        <f>+VLOOKUP($L250,Data_Validation!$A:$D,1,0)</f>
        <v>6155</v>
      </c>
      <c r="U250" s="156" t="str">
        <f>+VLOOKUP($L250,Data_Validation!$A:$D,3,0)</f>
        <v>Véhicules neufs</v>
      </c>
      <c r="V250" s="156" t="str">
        <f>+VLOOKUP($L250,Data_Validation!$A:$D,4,0)</f>
        <v>Divers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72" t="s">
        <v>1315</v>
      </c>
      <c r="B251" s="1072" t="s">
        <v>2470</v>
      </c>
      <c r="C251" s="1074">
        <v>0</v>
      </c>
      <c r="D251" s="1074">
        <v>98.29</v>
      </c>
      <c r="E251" s="1074">
        <v>98.29</v>
      </c>
      <c r="F251" s="1072" t="s">
        <v>401</v>
      </c>
      <c r="G251" s="1072" t="s">
        <v>2470</v>
      </c>
      <c r="H251" s="150"/>
      <c r="I251" s="151"/>
      <c r="J251" s="151"/>
      <c r="K251" s="151"/>
      <c r="L251" s="153" t="str">
        <f t="shared" si="15"/>
        <v>6156</v>
      </c>
      <c r="M251" s="154" t="str">
        <f t="shared" si="16"/>
        <v>FRAIS REPRESENTATION - NEUF</v>
      </c>
      <c r="N251" s="155">
        <f>+IF(OR($Q251=Parametres!$G$2,$Q251=Parametres!$G$3),I251,C251)</f>
        <v>0</v>
      </c>
      <c r="O251" s="155">
        <f>+IF(OR($Q251=Parametres!$G$2,$Q251=Parametres!$G$3),J251,D251)</f>
        <v>98.29</v>
      </c>
      <c r="P251" s="155">
        <f>+IF(OR($Q251=Parametres!$G$2,$Q251=Parametres!$G$3),K251,E251)</f>
        <v>98.29</v>
      </c>
      <c r="Q251" s="154" t="str">
        <f t="shared" si="17"/>
        <v>7-Dépenses</v>
      </c>
      <c r="R251" s="153" t="str">
        <f t="shared" si="18"/>
        <v>6156</v>
      </c>
      <c r="S251" s="154">
        <f t="shared" si="19"/>
        <v>0</v>
      </c>
      <c r="T251" s="156" t="str">
        <f>+VLOOKUP($L251,Data_Validation!$A:$D,1,0)</f>
        <v>6156</v>
      </c>
      <c r="U251" s="156" t="str">
        <f>+VLOOKUP($L251,Data_Validation!$A:$D,3,0)</f>
        <v>Véhicules neufs</v>
      </c>
      <c r="V251" s="156" t="str">
        <f>+VLOOKUP($L251,Data_Validation!$A:$D,4,0)</f>
        <v>Frais de déplacement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72" t="s">
        <v>1308</v>
      </c>
      <c r="B252" s="1072" t="s">
        <v>2662</v>
      </c>
      <c r="C252" s="1074">
        <v>0</v>
      </c>
      <c r="D252" s="1074">
        <v>6042.08</v>
      </c>
      <c r="E252" s="1074">
        <v>6042.08</v>
      </c>
      <c r="F252" s="1072" t="s">
        <v>401</v>
      </c>
      <c r="G252" s="1072" t="s">
        <v>2662</v>
      </c>
      <c r="H252" s="1050"/>
      <c r="I252" s="1049"/>
      <c r="J252" s="1049"/>
      <c r="K252" s="1049"/>
      <c r="L252" s="153" t="str">
        <f t="shared" si="15"/>
        <v>6159</v>
      </c>
      <c r="M252" s="154" t="str">
        <f t="shared" si="16"/>
        <v>SERVICE EXTERIEUR</v>
      </c>
      <c r="N252" s="155">
        <f>+IF(OR($Q252=Parametres!$G$2,$Q252=Parametres!$G$3),I252,C252)</f>
        <v>0</v>
      </c>
      <c r="O252" s="155">
        <f>+IF(OR($Q252=Parametres!$G$2,$Q252=Parametres!$G$3),J252,D252)</f>
        <v>6042.08</v>
      </c>
      <c r="P252" s="155">
        <f>+IF(OR($Q252=Parametres!$G$2,$Q252=Parametres!$G$3),K252,E252)</f>
        <v>6042.08</v>
      </c>
      <c r="Q252" s="154" t="str">
        <f t="shared" si="17"/>
        <v>7-Dépenses</v>
      </c>
      <c r="R252" s="153" t="str">
        <f t="shared" si="18"/>
        <v>6159</v>
      </c>
      <c r="S252" s="154">
        <f t="shared" si="19"/>
        <v>0</v>
      </c>
      <c r="T252" s="156" t="str">
        <f>+VLOOKUP($L252,Data_Validation!$A:$D,1,0)</f>
        <v>6159</v>
      </c>
      <c r="U252" s="156" t="str">
        <f>+VLOOKUP($L252,Data_Validation!$A:$D,3,0)</f>
        <v>Véhicules neufs</v>
      </c>
      <c r="V252" s="156" t="str">
        <f>+VLOOKUP($L252,Data_Validation!$A:$D,4,0)</f>
        <v>Services extérieurs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72" t="s">
        <v>1333</v>
      </c>
      <c r="B253" s="1072" t="s">
        <v>2653</v>
      </c>
      <c r="C253" s="1074">
        <v>0</v>
      </c>
      <c r="D253" s="1074">
        <v>2933.44</v>
      </c>
      <c r="E253" s="1074">
        <v>2933.44</v>
      </c>
      <c r="F253" s="1072" t="s">
        <v>401</v>
      </c>
      <c r="G253" s="1072" t="s">
        <v>2653</v>
      </c>
      <c r="H253" s="150"/>
      <c r="I253" s="157"/>
      <c r="J253" s="157"/>
      <c r="K253" s="157"/>
      <c r="L253" s="153" t="str">
        <f t="shared" si="15"/>
        <v>6161</v>
      </c>
      <c r="M253" s="154" t="str">
        <f t="shared" si="16"/>
        <v>DEPRECIATION EQUIP. &amp; FIXTURES</v>
      </c>
      <c r="N253" s="155">
        <f>+IF(OR($Q253=Parametres!$G$2,$Q253=Parametres!$G$3),I253,C253)</f>
        <v>0</v>
      </c>
      <c r="O253" s="155">
        <f>+IF(OR($Q253=Parametres!$G$2,$Q253=Parametres!$G$3),J253,D253)</f>
        <v>2933.44</v>
      </c>
      <c r="P253" s="155">
        <f>+IF(OR($Q253=Parametres!$G$2,$Q253=Parametres!$G$3),K253,E253)</f>
        <v>2933.44</v>
      </c>
      <c r="Q253" s="154" t="str">
        <f t="shared" si="17"/>
        <v>7-Dépenses</v>
      </c>
      <c r="R253" s="153" t="str">
        <f t="shared" si="18"/>
        <v>6161</v>
      </c>
      <c r="S253" s="154">
        <f t="shared" si="19"/>
        <v>0</v>
      </c>
      <c r="T253" s="156" t="str">
        <f>+VLOOKUP($L253,Data_Validation!$A:$D,1,0)</f>
        <v>6161</v>
      </c>
      <c r="U253" s="156" t="str">
        <f>+VLOOKUP($L253,Data_Validation!$A:$D,3,0)</f>
        <v>Véhicules neufs</v>
      </c>
      <c r="V253" s="156" t="str">
        <f>+VLOOKUP($L253,Data_Validation!$A:$D,4,0)</f>
        <v>Amortissement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72" t="s">
        <v>1332</v>
      </c>
      <c r="B254" s="1072" t="s">
        <v>2604</v>
      </c>
      <c r="C254" s="1074">
        <v>0</v>
      </c>
      <c r="D254" s="1074">
        <v>542.64</v>
      </c>
      <c r="E254" s="1074">
        <v>542.64</v>
      </c>
      <c r="F254" s="1072" t="s">
        <v>401</v>
      </c>
      <c r="G254" s="1072" t="s">
        <v>2604</v>
      </c>
      <c r="H254" s="150"/>
      <c r="I254" s="151"/>
      <c r="J254" s="151"/>
      <c r="K254" s="151"/>
      <c r="L254" s="153" t="str">
        <f t="shared" si="15"/>
        <v>6181</v>
      </c>
      <c r="M254" s="154" t="str">
        <f t="shared" si="16"/>
        <v>ELECTRICITE CHAUFFAGE</v>
      </c>
      <c r="N254" s="155">
        <f>+IF(OR($Q254=Parametres!$G$2,$Q254=Parametres!$G$3),I254,C254)</f>
        <v>0</v>
      </c>
      <c r="O254" s="155">
        <f>+IF(OR($Q254=Parametres!$G$2,$Q254=Parametres!$G$3),J254,D254)</f>
        <v>542.64</v>
      </c>
      <c r="P254" s="155">
        <f>+IF(OR($Q254=Parametres!$G$2,$Q254=Parametres!$G$3),K254,E254)</f>
        <v>542.64</v>
      </c>
      <c r="Q254" s="154" t="str">
        <f t="shared" si="17"/>
        <v>7-Dépenses</v>
      </c>
      <c r="R254" s="153" t="str">
        <f t="shared" si="18"/>
        <v>6181</v>
      </c>
      <c r="S254" s="154">
        <f t="shared" si="19"/>
        <v>0</v>
      </c>
      <c r="T254" s="156" t="str">
        <f>+VLOOKUP($L254,Data_Validation!$A:$D,1,0)</f>
        <v>6181</v>
      </c>
      <c r="U254" s="156" t="str">
        <f>+VLOOKUP($L254,Data_Validation!$A:$D,3,0)</f>
        <v>Véhicules neufs</v>
      </c>
      <c r="V254" s="156" t="str">
        <f>+VLOOKUP($L254,Data_Validation!$A:$D,4,0)</f>
        <v>Chauffage, éclairage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72" t="s">
        <v>1469</v>
      </c>
      <c r="B255" s="1072" t="s">
        <v>2709</v>
      </c>
      <c r="C255" s="1074">
        <v>0</v>
      </c>
      <c r="D255" s="1074">
        <v>8320</v>
      </c>
      <c r="E255" s="1074">
        <v>8320</v>
      </c>
      <c r="F255" s="1072" t="s">
        <v>401</v>
      </c>
      <c r="G255" s="1072" t="s">
        <v>2709</v>
      </c>
      <c r="H255" s="150"/>
      <c r="I255" s="151"/>
      <c r="J255" s="151"/>
      <c r="K255" s="151"/>
      <c r="L255" s="153" t="str">
        <f t="shared" si="15"/>
        <v>6182</v>
      </c>
      <c r="M255" s="154" t="str">
        <f t="shared" si="16"/>
        <v>LOYER NEUFS</v>
      </c>
      <c r="N255" s="155">
        <f>+IF(OR($Q255=Parametres!$G$2,$Q255=Parametres!$G$3),I255,C255)</f>
        <v>0</v>
      </c>
      <c r="O255" s="155">
        <f>+IF(OR($Q255=Parametres!$G$2,$Q255=Parametres!$G$3),J255,D255)</f>
        <v>8320</v>
      </c>
      <c r="P255" s="155">
        <f>+IF(OR($Q255=Parametres!$G$2,$Q255=Parametres!$G$3),K255,E255)</f>
        <v>8320</v>
      </c>
      <c r="Q255" s="154" t="str">
        <f t="shared" si="17"/>
        <v>7-Dépenses</v>
      </c>
      <c r="R255" s="153" t="str">
        <f t="shared" si="18"/>
        <v>6182</v>
      </c>
      <c r="S255" s="154">
        <f t="shared" si="19"/>
        <v>0</v>
      </c>
      <c r="T255" s="156" t="str">
        <f>+VLOOKUP($L255,Data_Validation!$A:$D,1,0)</f>
        <v>6182</v>
      </c>
      <c r="U255" s="156" t="str">
        <f>+VLOOKUP($L255,Data_Validation!$A:$D,3,0)</f>
        <v>Véhicules neufs</v>
      </c>
      <c r="V255" s="156" t="str">
        <f>+VLOOKUP($L255,Data_Validation!$A:$D,4,0)</f>
        <v>Loyer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72" t="s">
        <v>1366</v>
      </c>
      <c r="B256" s="1072" t="s">
        <v>2594</v>
      </c>
      <c r="C256" s="1074">
        <v>0</v>
      </c>
      <c r="D256" s="1074">
        <v>1186.5999999999999</v>
      </c>
      <c r="E256" s="1074">
        <v>1186.5999999999999</v>
      </c>
      <c r="F256" s="1072" t="s">
        <v>401</v>
      </c>
      <c r="G256" s="1072" t="s">
        <v>2594</v>
      </c>
      <c r="H256" s="150"/>
      <c r="I256" s="157"/>
      <c r="J256" s="157"/>
      <c r="K256" s="157"/>
      <c r="L256" s="153" t="str">
        <f t="shared" si="15"/>
        <v>6186</v>
      </c>
      <c r="M256" s="154" t="str">
        <f t="shared" si="16"/>
        <v>ASSURANCE BATIMENT</v>
      </c>
      <c r="N256" s="155">
        <f>+IF(OR($Q256=Parametres!$G$2,$Q256=Parametres!$G$3),I256,C256)</f>
        <v>0</v>
      </c>
      <c r="O256" s="155">
        <f>+IF(OR($Q256=Parametres!$G$2,$Q256=Parametres!$G$3),J256,D256)</f>
        <v>1186.5999999999999</v>
      </c>
      <c r="P256" s="155">
        <f>+IF(OR($Q256=Parametres!$G$2,$Q256=Parametres!$G$3),K256,E256)</f>
        <v>1186.5999999999999</v>
      </c>
      <c r="Q256" s="154" t="str">
        <f t="shared" si="17"/>
        <v>7-Dépenses</v>
      </c>
      <c r="R256" s="153" t="str">
        <f t="shared" si="18"/>
        <v>6186</v>
      </c>
      <c r="S256" s="154">
        <f t="shared" si="19"/>
        <v>0</v>
      </c>
      <c r="T256" s="156" t="str">
        <f>+VLOOKUP($L256,Data_Validation!$A:$D,1,0)</f>
        <v>6186</v>
      </c>
      <c r="U256" s="156" t="str">
        <f>+VLOOKUP($L256,Data_Validation!$A:$D,3,0)</f>
        <v>Véhicules neufs</v>
      </c>
      <c r="V256" s="156" t="str">
        <f>+VLOOKUP($L256,Data_Validation!$A:$D,4,0)</f>
        <v>Assurances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72" t="s">
        <v>1362</v>
      </c>
      <c r="B257" s="1072" t="s">
        <v>2614</v>
      </c>
      <c r="C257" s="1074">
        <v>0</v>
      </c>
      <c r="D257" s="1074">
        <v>1539.2</v>
      </c>
      <c r="E257" s="1074">
        <v>1539.2</v>
      </c>
      <c r="F257" s="1072" t="s">
        <v>401</v>
      </c>
      <c r="G257" s="1072" t="s">
        <v>2614</v>
      </c>
      <c r="H257" s="1050"/>
      <c r="I257" s="1049"/>
      <c r="J257" s="1049"/>
      <c r="K257" s="1049"/>
      <c r="L257" s="153" t="str">
        <f t="shared" si="15"/>
        <v>6187</v>
      </c>
      <c r="M257" s="154" t="str">
        <f t="shared" si="16"/>
        <v>TAXE SUR PROPRIETE</v>
      </c>
      <c r="N257" s="155">
        <f>+IF(OR($Q257=Parametres!$G$2,$Q257=Parametres!$G$3),I257,C257)</f>
        <v>0</v>
      </c>
      <c r="O257" s="155">
        <f>+IF(OR($Q257=Parametres!$G$2,$Q257=Parametres!$G$3),J257,D257)</f>
        <v>1539.2</v>
      </c>
      <c r="P257" s="155">
        <f>+IF(OR($Q257=Parametres!$G$2,$Q257=Parametres!$G$3),K257,E257)</f>
        <v>1539.2</v>
      </c>
      <c r="Q257" s="154" t="str">
        <f t="shared" si="17"/>
        <v>7-Dépenses</v>
      </c>
      <c r="R257" s="153" t="str">
        <f t="shared" si="18"/>
        <v>6187</v>
      </c>
      <c r="S257" s="154">
        <f t="shared" si="19"/>
        <v>0</v>
      </c>
      <c r="T257" s="156" t="str">
        <f>+VLOOKUP($L257,Data_Validation!$A:$D,1,0)</f>
        <v>6187</v>
      </c>
      <c r="U257" s="156" t="str">
        <f>+VLOOKUP($L257,Data_Validation!$A:$D,3,0)</f>
        <v>Véhicules neufs</v>
      </c>
      <c r="V257" s="156" t="str">
        <f>+VLOOKUP($L257,Data_Validation!$A:$D,4,0)</f>
        <v>Taxes foncières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72" t="s">
        <v>1296</v>
      </c>
      <c r="B258" s="1072" t="s">
        <v>2597</v>
      </c>
      <c r="C258" s="1074">
        <v>0</v>
      </c>
      <c r="D258" s="1074">
        <v>1024</v>
      </c>
      <c r="E258" s="1074">
        <v>1024</v>
      </c>
      <c r="F258" s="1072" t="s">
        <v>401</v>
      </c>
      <c r="G258" s="1072" t="s">
        <v>2597</v>
      </c>
      <c r="H258" s="150"/>
      <c r="I258" s="157"/>
      <c r="J258" s="157"/>
      <c r="K258" s="157"/>
      <c r="L258" s="153" t="str">
        <f t="shared" ref="L258:L321" si="20">+B258</f>
        <v>6193</v>
      </c>
      <c r="M258" s="154" t="str">
        <f t="shared" ref="M258:M321" si="21">+A258</f>
        <v>TAXES AUTRES PERMIS LICENCE</v>
      </c>
      <c r="N258" s="155">
        <f>+IF(OR($Q258=Parametres!$G$2,$Q258=Parametres!$G$3),I258,C258)</f>
        <v>0</v>
      </c>
      <c r="O258" s="155">
        <f>+IF(OR($Q258=Parametres!$G$2,$Q258=Parametres!$G$3),J258,D258)</f>
        <v>1024</v>
      </c>
      <c r="P258" s="155">
        <f>+IF(OR($Q258=Parametres!$G$2,$Q258=Parametres!$G$3),K258,E258)</f>
        <v>1024</v>
      </c>
      <c r="Q258" s="154" t="str">
        <f t="shared" ref="Q258:Q321" si="22">+F258</f>
        <v>7-Dépenses</v>
      </c>
      <c r="R258" s="153" t="str">
        <f t="shared" ref="R258:R321" si="23">+G258</f>
        <v>6193</v>
      </c>
      <c r="S258" s="154">
        <f t="shared" ref="S258:S321" si="24">+H258</f>
        <v>0</v>
      </c>
      <c r="T258" s="156" t="str">
        <f>+VLOOKUP($L258,Data_Validation!$A:$D,1,0)</f>
        <v>6193</v>
      </c>
      <c r="U258" s="156" t="str">
        <f>+VLOOKUP($L258,Data_Validation!$A:$D,3,0)</f>
        <v>Véhicules neufs</v>
      </c>
      <c r="V258" s="156" t="str">
        <f>+VLOOKUP($L258,Data_Validation!$A:$D,4,0)</f>
        <v>Taxes d`affaires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72" t="s">
        <v>1395</v>
      </c>
      <c r="B259" s="1072" t="s">
        <v>2635</v>
      </c>
      <c r="C259" s="1074">
        <v>0</v>
      </c>
      <c r="D259" s="1074">
        <v>1989.47</v>
      </c>
      <c r="E259" s="1074">
        <v>1989.47</v>
      </c>
      <c r="F259" s="1072" t="s">
        <v>401</v>
      </c>
      <c r="G259" s="1072" t="s">
        <v>2635</v>
      </c>
      <c r="H259" s="150"/>
      <c r="I259" s="157"/>
      <c r="J259" s="157"/>
      <c r="K259" s="157"/>
      <c r="L259" s="153" t="str">
        <f t="shared" si="20"/>
        <v>6194</v>
      </c>
      <c r="M259" s="154" t="str">
        <f t="shared" si="21"/>
        <v>HONORAIRES PROFESSIONNELS</v>
      </c>
      <c r="N259" s="155">
        <f>+IF(OR($Q259=Parametres!$G$2,$Q259=Parametres!$G$3),I259,C259)</f>
        <v>0</v>
      </c>
      <c r="O259" s="155">
        <f>+IF(OR($Q259=Parametres!$G$2,$Q259=Parametres!$G$3),J259,D259)</f>
        <v>1989.47</v>
      </c>
      <c r="P259" s="155">
        <f>+IF(OR($Q259=Parametres!$G$2,$Q259=Parametres!$G$3),K259,E259)</f>
        <v>1989.47</v>
      </c>
      <c r="Q259" s="154" t="str">
        <f t="shared" si="22"/>
        <v>7-Dépenses</v>
      </c>
      <c r="R259" s="153" t="str">
        <f t="shared" si="23"/>
        <v>6194</v>
      </c>
      <c r="S259" s="154">
        <f t="shared" si="24"/>
        <v>0</v>
      </c>
      <c r="T259" s="156" t="str">
        <f>+VLOOKUP($L259,Data_Validation!$A:$D,1,0)</f>
        <v>6194</v>
      </c>
      <c r="U259" s="156" t="str">
        <f>+VLOOKUP($L259,Data_Validation!$A:$D,3,0)</f>
        <v>Véhicules neufs</v>
      </c>
      <c r="V259" s="156" t="str">
        <f>+VLOOKUP($L259,Data_Validation!$A:$D,4,0)</f>
        <v>Honoraires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72" t="s">
        <v>1483</v>
      </c>
      <c r="B260" s="1072" t="s">
        <v>2780</v>
      </c>
      <c r="C260" s="1074">
        <v>0</v>
      </c>
      <c r="D260" s="1074">
        <v>7775.77</v>
      </c>
      <c r="E260" s="1074">
        <v>7775.77</v>
      </c>
      <c r="F260" s="1072" t="s">
        <v>401</v>
      </c>
      <c r="G260" s="1072" t="s">
        <v>2781</v>
      </c>
      <c r="H260" s="150"/>
      <c r="I260" s="157"/>
      <c r="J260" s="157"/>
      <c r="K260" s="157"/>
      <c r="L260" s="153" t="str">
        <f t="shared" si="20"/>
        <v>6201</v>
      </c>
      <c r="M260" s="154" t="str">
        <f t="shared" si="21"/>
        <v>COMMISSION USAGES</v>
      </c>
      <c r="N260" s="155">
        <f>+IF(OR($Q260=Parametres!$G$2,$Q260=Parametres!$G$3),I260,C260)</f>
        <v>0</v>
      </c>
      <c r="O260" s="155">
        <f>+IF(OR($Q260=Parametres!$G$2,$Q260=Parametres!$G$3),J260,D260)</f>
        <v>7775.77</v>
      </c>
      <c r="P260" s="155">
        <f>+IF(OR($Q260=Parametres!$G$2,$Q260=Parametres!$G$3),K260,E260)</f>
        <v>7775.77</v>
      </c>
      <c r="Q260" s="154" t="str">
        <f t="shared" si="22"/>
        <v>7-Dépenses</v>
      </c>
      <c r="R260" s="153" t="str">
        <f t="shared" si="23"/>
        <v>6101</v>
      </c>
      <c r="S260" s="154">
        <f t="shared" si="24"/>
        <v>0</v>
      </c>
      <c r="T260" s="156" t="str">
        <f>+VLOOKUP($L260,Data_Validation!$A:$D,1,0)</f>
        <v>6201</v>
      </c>
      <c r="U260" s="156" t="str">
        <f>+VLOOKUP($L260,Data_Validation!$A:$D,3,0)</f>
        <v>Véhicules usagés</v>
      </c>
      <c r="V260" s="156" t="str">
        <f>+VLOOKUP($L260,Data_Validation!$A:$D,4,0)</f>
        <v>Comm. vendeurs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72" t="s">
        <v>1442</v>
      </c>
      <c r="B261" s="1072" t="s">
        <v>2769</v>
      </c>
      <c r="C261" s="1074">
        <v>0</v>
      </c>
      <c r="D261" s="1074">
        <v>7393.7</v>
      </c>
      <c r="E261" s="1074">
        <v>7393.7</v>
      </c>
      <c r="F261" s="1072" t="s">
        <v>401</v>
      </c>
      <c r="G261" s="1072" t="s">
        <v>2770</v>
      </c>
      <c r="H261" s="150"/>
      <c r="I261" s="151"/>
      <c r="J261" s="151"/>
      <c r="K261" s="151"/>
      <c r="L261" s="153" t="str">
        <f t="shared" si="20"/>
        <v>6202</v>
      </c>
      <c r="M261" s="154" t="str">
        <f t="shared" si="21"/>
        <v>RENUMERATION F &amp; I</v>
      </c>
      <c r="N261" s="155">
        <f>+IF(OR($Q261=Parametres!$G$2,$Q261=Parametres!$G$3),I261,C261)</f>
        <v>0</v>
      </c>
      <c r="O261" s="155">
        <f>+IF(OR($Q261=Parametres!$G$2,$Q261=Parametres!$G$3),J261,D261)</f>
        <v>7393.7</v>
      </c>
      <c r="P261" s="155">
        <f>+IF(OR($Q261=Parametres!$G$2,$Q261=Parametres!$G$3),K261,E261)</f>
        <v>7393.7</v>
      </c>
      <c r="Q261" s="154" t="str">
        <f t="shared" si="22"/>
        <v>7-Dépenses</v>
      </c>
      <c r="R261" s="153" t="str">
        <f t="shared" si="23"/>
        <v>6102</v>
      </c>
      <c r="S261" s="154">
        <f t="shared" si="24"/>
        <v>0</v>
      </c>
      <c r="T261" s="156" t="str">
        <f>+VLOOKUP($L261,Data_Validation!$A:$D,1,0)</f>
        <v>6202</v>
      </c>
      <c r="U261" s="156" t="str">
        <f>+VLOOKUP($L261,Data_Validation!$A:$D,3,0)</f>
        <v>Véhicules usagés</v>
      </c>
      <c r="V261" s="156" t="str">
        <f>+VLOOKUP($L261,Data_Validation!$A:$D,4,0)</f>
        <v>Comm. F&amp;I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72" t="s">
        <v>1230</v>
      </c>
      <c r="B262" s="1072" t="s">
        <v>2751</v>
      </c>
      <c r="C262" s="1074">
        <v>0</v>
      </c>
      <c r="D262" s="1074">
        <v>2025.93</v>
      </c>
      <c r="E262" s="1074">
        <v>2025.93</v>
      </c>
      <c r="F262" s="1072" t="s">
        <v>401</v>
      </c>
      <c r="G262" s="1072" t="s">
        <v>2706</v>
      </c>
      <c r="H262" s="150"/>
      <c r="I262" s="157"/>
      <c r="J262" s="157"/>
      <c r="K262" s="157"/>
      <c r="L262" s="153" t="str">
        <f t="shared" si="20"/>
        <v>6203</v>
      </c>
      <c r="M262" s="154" t="str">
        <f t="shared" si="21"/>
        <v>RELAT. A LA CLIENTELLE &amp; AJUST</v>
      </c>
      <c r="N262" s="155">
        <f>+IF(OR($Q262=Parametres!$G$2,$Q262=Parametres!$G$3),I262,C262)</f>
        <v>0</v>
      </c>
      <c r="O262" s="155">
        <f>+IF(OR($Q262=Parametres!$G$2,$Q262=Parametres!$G$3),J262,D262)</f>
        <v>2025.93</v>
      </c>
      <c r="P262" s="155">
        <f>+IF(OR($Q262=Parametres!$G$2,$Q262=Parametres!$G$3),K262,E262)</f>
        <v>2025.93</v>
      </c>
      <c r="Q262" s="154" t="str">
        <f t="shared" si="22"/>
        <v>7-Dépenses</v>
      </c>
      <c r="R262" s="153" t="str">
        <f t="shared" si="23"/>
        <v>6103</v>
      </c>
      <c r="S262" s="154">
        <f t="shared" si="24"/>
        <v>0</v>
      </c>
      <c r="T262" s="156" t="str">
        <f>+VLOOKUP($L262,Data_Validation!$A:$D,1,0)</f>
        <v>6203</v>
      </c>
      <c r="U262" s="156" t="str">
        <f>+VLOOKUP($L262,Data_Validation!$A:$D,3,0)</f>
        <v>Véhicules usagés</v>
      </c>
      <c r="V262" s="156" t="str">
        <f>+VLOOKUP($L262,Data_Validation!$A:$D,4,0)</f>
        <v>Service gratuit 1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72" t="s">
        <v>2757</v>
      </c>
      <c r="B263" s="1072" t="s">
        <v>2758</v>
      </c>
      <c r="C263" s="1074">
        <v>0</v>
      </c>
      <c r="D263" s="1074">
        <v>1915</v>
      </c>
      <c r="E263" s="1074">
        <v>1915</v>
      </c>
      <c r="F263" s="1072" t="s">
        <v>401</v>
      </c>
      <c r="G263" s="1072" t="s">
        <v>2759</v>
      </c>
      <c r="H263" s="1050"/>
      <c r="I263" s="1049"/>
      <c r="J263" s="1049"/>
      <c r="K263" s="1049"/>
      <c r="L263" s="153" t="str">
        <f t="shared" si="20"/>
        <v>6206</v>
      </c>
      <c r="M263" s="154" t="str">
        <f t="shared" si="21"/>
        <v>ENTRETIEN DES STOCKS</v>
      </c>
      <c r="N263" s="155">
        <f>+IF(OR($Q263=Parametres!$G$2,$Q263=Parametres!$G$3),I263,C263)</f>
        <v>0</v>
      </c>
      <c r="O263" s="155">
        <f>+IF(OR($Q263=Parametres!$G$2,$Q263=Parametres!$G$3),J263,D263)</f>
        <v>1915</v>
      </c>
      <c r="P263" s="155">
        <f>+IF(OR($Q263=Parametres!$G$2,$Q263=Parametres!$G$3),K263,E263)</f>
        <v>1915</v>
      </c>
      <c r="Q263" s="154" t="str">
        <f t="shared" si="22"/>
        <v>7-Dépenses</v>
      </c>
      <c r="R263" s="153" t="str">
        <f t="shared" si="23"/>
        <v>6106</v>
      </c>
      <c r="S263" s="154">
        <f t="shared" si="24"/>
        <v>0</v>
      </c>
      <c r="T263" s="156" t="str">
        <f>+VLOOKUP($L263,Data_Validation!$A:$D,1,0)</f>
        <v>6206</v>
      </c>
      <c r="U263" s="156" t="str">
        <f>+VLOOKUP($L263,Data_Validation!$A:$D,3,0)</f>
        <v>Véhicules usagés</v>
      </c>
      <c r="V263" s="156" t="str">
        <f>+VLOOKUP($L263,Data_Validation!$A:$D,4,0)</f>
        <v>Entretien stock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72" t="s">
        <v>938</v>
      </c>
      <c r="B264" s="1072" t="s">
        <v>2611</v>
      </c>
      <c r="C264" s="1074">
        <v>0</v>
      </c>
      <c r="D264" s="1074">
        <v>529.13</v>
      </c>
      <c r="E264" s="1074">
        <v>529.13</v>
      </c>
      <c r="F264" s="1072" t="s">
        <v>401</v>
      </c>
      <c r="G264" s="1072" t="s">
        <v>2612</v>
      </c>
      <c r="H264" s="1050"/>
      <c r="I264" s="1049"/>
      <c r="J264" s="1049"/>
      <c r="K264" s="1049"/>
      <c r="L264" s="153" t="str">
        <f t="shared" si="20"/>
        <v>6207</v>
      </c>
      <c r="M264" s="154" t="str">
        <f t="shared" si="21"/>
        <v>INTERET-PLAN DE FINANCEMENT</v>
      </c>
      <c r="N264" s="155">
        <f>+IF(OR($Q264=Parametres!$G$2,$Q264=Parametres!$G$3),I264,C264)</f>
        <v>0</v>
      </c>
      <c r="O264" s="155">
        <f>+IF(OR($Q264=Parametres!$G$2,$Q264=Parametres!$G$3),J264,D264)</f>
        <v>529.13</v>
      </c>
      <c r="P264" s="155">
        <f>+IF(OR($Q264=Parametres!$G$2,$Q264=Parametres!$G$3),K264,E264)</f>
        <v>529.13</v>
      </c>
      <c r="Q264" s="154" t="str">
        <f t="shared" si="22"/>
        <v>7-Dépenses</v>
      </c>
      <c r="R264" s="153" t="str">
        <f t="shared" si="23"/>
        <v>6107</v>
      </c>
      <c r="S264" s="154">
        <f t="shared" si="24"/>
        <v>0</v>
      </c>
      <c r="T264" s="156" t="str">
        <f>+VLOOKUP($L264,Data_Validation!$A:$D,1,0)</f>
        <v>6207</v>
      </c>
      <c r="U264" s="156" t="str">
        <f>+VLOOKUP($L264,Data_Validation!$A:$D,3,0)</f>
        <v>Véhicules usagés</v>
      </c>
      <c r="V264" s="156" t="str">
        <f>+VLOOKUP($L264,Data_Validation!$A:$D,4,0)</f>
        <v>Intérêt de gros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72" t="s">
        <v>1407</v>
      </c>
      <c r="B265" s="1072" t="s">
        <v>2695</v>
      </c>
      <c r="C265" s="1074">
        <v>0</v>
      </c>
      <c r="D265" s="1074">
        <v>554.42999999999995</v>
      </c>
      <c r="E265" s="1074">
        <v>554.42999999999995</v>
      </c>
      <c r="F265" s="1072" t="s">
        <v>401</v>
      </c>
      <c r="G265" s="1072" t="s">
        <v>2696</v>
      </c>
      <c r="H265" s="1050"/>
      <c r="I265" s="1049"/>
      <c r="J265" s="1049"/>
      <c r="K265" s="1049"/>
      <c r="L265" s="153" t="str">
        <f t="shared" si="20"/>
        <v>6208</v>
      </c>
      <c r="M265" s="154" t="str">
        <f t="shared" si="21"/>
        <v>FRAIS DE LIVRAISON</v>
      </c>
      <c r="N265" s="155">
        <f>+IF(OR($Q265=Parametres!$G$2,$Q265=Parametres!$G$3),I265,C265)</f>
        <v>0</v>
      </c>
      <c r="O265" s="155">
        <f>+IF(OR($Q265=Parametres!$G$2,$Q265=Parametres!$G$3),J265,D265)</f>
        <v>554.42999999999995</v>
      </c>
      <c r="P265" s="155">
        <f>+IF(OR($Q265=Parametres!$G$2,$Q265=Parametres!$G$3),K265,E265)</f>
        <v>554.42999999999995</v>
      </c>
      <c r="Q265" s="154" t="str">
        <f t="shared" si="22"/>
        <v>7-Dépenses</v>
      </c>
      <c r="R265" s="153" t="str">
        <f t="shared" si="23"/>
        <v>6108</v>
      </c>
      <c r="S265" s="154">
        <f t="shared" si="24"/>
        <v>0</v>
      </c>
      <c r="T265" s="156" t="str">
        <f>+VLOOKUP($L265,Data_Validation!$A:$D,1,0)</f>
        <v>6208</v>
      </c>
      <c r="U265" s="156" t="str">
        <f>+VLOOKUP($L265,Data_Validation!$A:$D,3,0)</f>
        <v>Véhicules usagés</v>
      </c>
      <c r="V265" s="156" t="str">
        <f>+VLOOKUP($L265,Data_Validation!$A:$D,4,0)</f>
        <v>Frais de livraison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72" t="s">
        <v>1374</v>
      </c>
      <c r="B266" s="1072" t="s">
        <v>2774</v>
      </c>
      <c r="C266" s="1074">
        <v>0</v>
      </c>
      <c r="D266" s="1074">
        <v>4219.5200000000004</v>
      </c>
      <c r="E266" s="1074">
        <v>4219.5200000000004</v>
      </c>
      <c r="F266" s="1072" t="s">
        <v>401</v>
      </c>
      <c r="G266" s="1072" t="s">
        <v>2113</v>
      </c>
      <c r="H266" s="150"/>
      <c r="I266" s="157"/>
      <c r="J266" s="157"/>
      <c r="K266" s="157"/>
      <c r="L266" s="153" t="str">
        <f t="shared" si="20"/>
        <v>6214</v>
      </c>
      <c r="M266" s="154" t="str">
        <f t="shared" si="21"/>
        <v>PUBLICITE</v>
      </c>
      <c r="N266" s="155">
        <f>+IF(OR($Q266=Parametres!$G$2,$Q266=Parametres!$G$3),I266,C266)</f>
        <v>0</v>
      </c>
      <c r="O266" s="155">
        <f>+IF(OR($Q266=Parametres!$G$2,$Q266=Parametres!$G$3),J266,D266)</f>
        <v>4219.5200000000004</v>
      </c>
      <c r="P266" s="155">
        <f>+IF(OR($Q266=Parametres!$G$2,$Q266=Parametres!$G$3),K266,E266)</f>
        <v>4219.5200000000004</v>
      </c>
      <c r="Q266" s="154" t="str">
        <f t="shared" si="22"/>
        <v>7-Dépenses</v>
      </c>
      <c r="R266" s="153" t="str">
        <f t="shared" si="23"/>
        <v>6114</v>
      </c>
      <c r="S266" s="154">
        <f t="shared" si="24"/>
        <v>0</v>
      </c>
      <c r="T266" s="156" t="str">
        <f>+VLOOKUP($L266,Data_Validation!$A:$D,1,0)</f>
        <v>6214</v>
      </c>
      <c r="U266" s="156" t="str">
        <f>+VLOOKUP($L266,Data_Validation!$A:$D,3,0)</f>
        <v>Véhicules usagés</v>
      </c>
      <c r="V266" s="156" t="str">
        <f>+VLOOKUP($L266,Data_Validation!$A:$D,4,0)</f>
        <v>Publicité 1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72" t="s">
        <v>2148</v>
      </c>
      <c r="B267" s="1072" t="s">
        <v>2149</v>
      </c>
      <c r="C267" s="1074">
        <v>0</v>
      </c>
      <c r="D267" s="1074">
        <v>-1400</v>
      </c>
      <c r="E267" s="1074">
        <v>-1400</v>
      </c>
      <c r="F267" s="1072" t="s">
        <v>401</v>
      </c>
      <c r="G267" s="1072" t="s">
        <v>2113</v>
      </c>
      <c r="H267" s="150"/>
      <c r="I267" s="157"/>
      <c r="J267" s="157"/>
      <c r="K267" s="157"/>
      <c r="L267" s="153" t="str">
        <f t="shared" si="20"/>
        <v>6215</v>
      </c>
      <c r="M267" s="154" t="str">
        <f t="shared" si="21"/>
        <v>CREDIT PUBLICITE USAGES</v>
      </c>
      <c r="N267" s="155">
        <f>+IF(OR($Q267=Parametres!$G$2,$Q267=Parametres!$G$3),I267,C267)</f>
        <v>0</v>
      </c>
      <c r="O267" s="155">
        <f>+IF(OR($Q267=Parametres!$G$2,$Q267=Parametres!$G$3),J267,D267)</f>
        <v>-1400</v>
      </c>
      <c r="P267" s="155">
        <f>+IF(OR($Q267=Parametres!$G$2,$Q267=Parametres!$G$3),K267,E267)</f>
        <v>-1400</v>
      </c>
      <c r="Q267" s="154" t="str">
        <f t="shared" si="22"/>
        <v>7-Dépenses</v>
      </c>
      <c r="R267" s="153" t="str">
        <f t="shared" si="23"/>
        <v>6114</v>
      </c>
      <c r="S267" s="154">
        <f t="shared" si="24"/>
        <v>0</v>
      </c>
      <c r="T267" s="156" t="str">
        <f>+VLOOKUP($L267,Data_Validation!$A:$D,1,0)</f>
        <v>6215</v>
      </c>
      <c r="U267" s="156" t="str">
        <f>+VLOOKUP($L267,Data_Validation!$A:$D,3,0)</f>
        <v>Véhicules usagés</v>
      </c>
      <c r="V267" s="156" t="str">
        <f>+VLOOKUP($L267,Data_Validation!$A:$D,4,0)</f>
        <v>Publicité 1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72" t="s">
        <v>1259</v>
      </c>
      <c r="B268" s="1072" t="s">
        <v>2674</v>
      </c>
      <c r="C268" s="1074">
        <v>0</v>
      </c>
      <c r="D268" s="1074">
        <v>350</v>
      </c>
      <c r="E268" s="1074">
        <v>350</v>
      </c>
      <c r="F268" s="1072" t="s">
        <v>401</v>
      </c>
      <c r="G268" s="1072" t="s">
        <v>2648</v>
      </c>
      <c r="H268" s="1050"/>
      <c r="I268" s="1049"/>
      <c r="J268" s="1049"/>
      <c r="K268" s="1049"/>
      <c r="L268" s="153" t="str">
        <f t="shared" si="20"/>
        <v>6221</v>
      </c>
      <c r="M268" s="154" t="str">
        <f t="shared" si="21"/>
        <v>SALAIRES - PROPRIETAIRES</v>
      </c>
      <c r="N268" s="155">
        <f>+IF(OR($Q268=Parametres!$G$2,$Q268=Parametres!$G$3),I268,C268)</f>
        <v>0</v>
      </c>
      <c r="O268" s="155">
        <f>+IF(OR($Q268=Parametres!$G$2,$Q268=Parametres!$G$3),J268,D268)</f>
        <v>350</v>
      </c>
      <c r="P268" s="155">
        <f>+IF(OR($Q268=Parametres!$G$2,$Q268=Parametres!$G$3),K268,E268)</f>
        <v>350</v>
      </c>
      <c r="Q268" s="154" t="str">
        <f t="shared" si="22"/>
        <v>7-Dépenses</v>
      </c>
      <c r="R268" s="153" t="str">
        <f t="shared" si="23"/>
        <v>6121</v>
      </c>
      <c r="S268" s="154">
        <f t="shared" si="24"/>
        <v>0</v>
      </c>
      <c r="T268" s="156" t="str">
        <f>+VLOOKUP($L268,Data_Validation!$A:$D,1,0)</f>
        <v>6221</v>
      </c>
      <c r="U268" s="156" t="str">
        <f>+VLOOKUP($L268,Data_Validation!$A:$D,3,0)</f>
        <v>Véhicules usagés</v>
      </c>
      <c r="V268" s="156" t="str">
        <f>+VLOOKUP($L268,Data_Validation!$A:$D,4,0)</f>
        <v>Salaires propriétaire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72" t="s">
        <v>2624</v>
      </c>
      <c r="B269" s="1072" t="s">
        <v>2748</v>
      </c>
      <c r="C269" s="1074">
        <v>0</v>
      </c>
      <c r="D269" s="1074">
        <v>11571</v>
      </c>
      <c r="E269" s="1074">
        <v>11571</v>
      </c>
      <c r="F269" s="1072" t="s">
        <v>401</v>
      </c>
      <c r="G269" s="1072" t="s">
        <v>2626</v>
      </c>
      <c r="H269" s="150"/>
      <c r="I269" s="157"/>
      <c r="J269" s="157"/>
      <c r="K269" s="157"/>
      <c r="L269" s="153" t="str">
        <f t="shared" si="20"/>
        <v>6222</v>
      </c>
      <c r="M269" s="154" t="str">
        <f t="shared" si="21"/>
        <v>SAL SUPERVISION / GERANT</v>
      </c>
      <c r="N269" s="155">
        <f>+IF(OR($Q269=Parametres!$G$2,$Q269=Parametres!$G$3),I269,C269)</f>
        <v>0</v>
      </c>
      <c r="O269" s="155">
        <f>+IF(OR($Q269=Parametres!$G$2,$Q269=Parametres!$G$3),J269,D269)</f>
        <v>11571</v>
      </c>
      <c r="P269" s="155">
        <f>+IF(OR($Q269=Parametres!$G$2,$Q269=Parametres!$G$3),K269,E269)</f>
        <v>11571</v>
      </c>
      <c r="Q269" s="154" t="str">
        <f t="shared" si="22"/>
        <v>7-Dépenses</v>
      </c>
      <c r="R269" s="153" t="str">
        <f t="shared" si="23"/>
        <v>6122</v>
      </c>
      <c r="S269" s="154">
        <f t="shared" si="24"/>
        <v>0</v>
      </c>
      <c r="T269" s="156" t="str">
        <f>+VLOOKUP($L269,Data_Validation!$A:$D,1,0)</f>
        <v>6222</v>
      </c>
      <c r="U269" s="156" t="str">
        <f>+VLOOKUP($L269,Data_Validation!$A:$D,3,0)</f>
        <v>Véhicules usagés</v>
      </c>
      <c r="V269" s="156" t="str">
        <f>+VLOOKUP($L269,Data_Validation!$A:$D,4,0)</f>
        <v>Salaires cadres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72" t="s">
        <v>1342</v>
      </c>
      <c r="B270" s="1072" t="s">
        <v>2707</v>
      </c>
      <c r="C270" s="1074">
        <v>0</v>
      </c>
      <c r="D270" s="1074">
        <v>2021.59</v>
      </c>
      <c r="E270" s="1074">
        <v>2021.59</v>
      </c>
      <c r="F270" s="1072" t="s">
        <v>401</v>
      </c>
      <c r="G270" s="1072" t="s">
        <v>2679</v>
      </c>
      <c r="H270" s="150"/>
      <c r="I270" s="151"/>
      <c r="J270" s="151"/>
      <c r="K270" s="151"/>
      <c r="L270" s="153" t="str">
        <f t="shared" si="20"/>
        <v>6223</v>
      </c>
      <c r="M270" s="154" t="str">
        <f t="shared" si="21"/>
        <v>SAL. &amp; RENUM. - CLERICAL</v>
      </c>
      <c r="N270" s="155">
        <f>+IF(OR($Q270=Parametres!$G$2,$Q270=Parametres!$G$3),I270,C270)</f>
        <v>0</v>
      </c>
      <c r="O270" s="155">
        <f>+IF(OR($Q270=Parametres!$G$2,$Q270=Parametres!$G$3),J270,D270)</f>
        <v>2021.59</v>
      </c>
      <c r="P270" s="155">
        <f>+IF(OR($Q270=Parametres!$G$2,$Q270=Parametres!$G$3),K270,E270)</f>
        <v>2021.59</v>
      </c>
      <c r="Q270" s="154" t="str">
        <f t="shared" si="22"/>
        <v>7-Dépenses</v>
      </c>
      <c r="R270" s="153" t="str">
        <f t="shared" si="23"/>
        <v>6123</v>
      </c>
      <c r="S270" s="154">
        <f t="shared" si="24"/>
        <v>0</v>
      </c>
      <c r="T270" s="156" t="str">
        <f>+VLOOKUP($L270,Data_Validation!$A:$D,1,0)</f>
        <v>6223</v>
      </c>
      <c r="U270" s="156" t="str">
        <f>+VLOOKUP($L270,Data_Validation!$A:$D,3,0)</f>
        <v>Véhicules usagés</v>
      </c>
      <c r="V270" s="156" t="str">
        <f>+VLOOKUP($L270,Data_Validation!$A:$D,4,0)</f>
        <v>Salaires commis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72" t="s">
        <v>1412</v>
      </c>
      <c r="B271" s="1072" t="s">
        <v>2776</v>
      </c>
      <c r="C271" s="1074">
        <v>0</v>
      </c>
      <c r="D271" s="1074">
        <v>5454.29</v>
      </c>
      <c r="E271" s="1074">
        <v>5454.29</v>
      </c>
      <c r="F271" s="1072" t="s">
        <v>401</v>
      </c>
      <c r="G271" s="1072" t="s">
        <v>2735</v>
      </c>
      <c r="H271" s="1050"/>
      <c r="I271" s="1049"/>
      <c r="J271" s="1049"/>
      <c r="K271" s="1049"/>
      <c r="L271" s="153" t="str">
        <f t="shared" si="20"/>
        <v>6224</v>
      </c>
      <c r="M271" s="154" t="str">
        <f t="shared" si="21"/>
        <v>SALAIRE &amp; RENUM. - AUTRES</v>
      </c>
      <c r="N271" s="155">
        <f>+IF(OR($Q271=Parametres!$G$2,$Q271=Parametres!$G$3),I271,C271)</f>
        <v>0</v>
      </c>
      <c r="O271" s="155">
        <f>+IF(OR($Q271=Parametres!$G$2,$Q271=Parametres!$G$3),J271,D271)</f>
        <v>5454.29</v>
      </c>
      <c r="P271" s="155">
        <f>+IF(OR($Q271=Parametres!$G$2,$Q271=Parametres!$G$3),K271,E271)</f>
        <v>5454.29</v>
      </c>
      <c r="Q271" s="154" t="str">
        <f t="shared" si="22"/>
        <v>7-Dépenses</v>
      </c>
      <c r="R271" s="153" t="str">
        <f t="shared" si="23"/>
        <v>6124</v>
      </c>
      <c r="S271" s="154">
        <f t="shared" si="24"/>
        <v>0</v>
      </c>
      <c r="T271" s="156" t="str">
        <f>+VLOOKUP($L271,Data_Validation!$A:$D,1,0)</f>
        <v>6224</v>
      </c>
      <c r="U271" s="156" t="str">
        <f>+VLOOKUP($L271,Data_Validation!$A:$D,3,0)</f>
        <v>Véhicules usagés</v>
      </c>
      <c r="V271" s="156" t="str">
        <f>+VLOOKUP($L271,Data_Validation!$A:$D,4,0)</f>
        <v>Salaires autres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72" t="s">
        <v>1211</v>
      </c>
      <c r="B272" s="1072" t="s">
        <v>2712</v>
      </c>
      <c r="C272" s="1074">
        <v>0</v>
      </c>
      <c r="D272" s="1074">
        <v>2069.35</v>
      </c>
      <c r="E272" s="1074">
        <v>2069.35</v>
      </c>
      <c r="F272" s="1072" t="s">
        <v>401</v>
      </c>
      <c r="G272" s="1072" t="s">
        <v>2641</v>
      </c>
      <c r="H272" s="1050"/>
      <c r="I272" s="1049"/>
      <c r="J272" s="1049"/>
      <c r="K272" s="1049"/>
      <c r="L272" s="153" t="str">
        <f t="shared" si="20"/>
        <v>6229</v>
      </c>
      <c r="M272" s="154" t="str">
        <f t="shared" si="21"/>
        <v>ABS.,VACANCES &amp; SAL. JOURS FER</v>
      </c>
      <c r="N272" s="155">
        <f>+IF(OR($Q272=Parametres!$G$2,$Q272=Parametres!$G$3),I272,C272)</f>
        <v>0</v>
      </c>
      <c r="O272" s="155">
        <f>+IF(OR($Q272=Parametres!$G$2,$Q272=Parametres!$G$3),J272,D272)</f>
        <v>2069.35</v>
      </c>
      <c r="P272" s="155">
        <f>+IF(OR($Q272=Parametres!$G$2,$Q272=Parametres!$G$3),K272,E272)</f>
        <v>2069.35</v>
      </c>
      <c r="Q272" s="154" t="str">
        <f t="shared" si="22"/>
        <v>7-Dépenses</v>
      </c>
      <c r="R272" s="153" t="str">
        <f t="shared" si="23"/>
        <v>6129</v>
      </c>
      <c r="S272" s="154">
        <f t="shared" si="24"/>
        <v>0</v>
      </c>
      <c r="T272" s="156" t="str">
        <f>+VLOOKUP($L272,Data_Validation!$A:$D,1,0)</f>
        <v>6229</v>
      </c>
      <c r="U272" s="156" t="str">
        <f>+VLOOKUP($L272,Data_Validation!$A:$D,3,0)</f>
        <v>Véhicules usagés</v>
      </c>
      <c r="V272" s="156" t="str">
        <f>+VLOOKUP($L272,Data_Validation!$A:$D,4,0)</f>
        <v>Salaires en absences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72" t="s">
        <v>1283</v>
      </c>
      <c r="B273" s="1072" t="s">
        <v>2717</v>
      </c>
      <c r="C273" s="1074">
        <v>0</v>
      </c>
      <c r="D273" s="1074">
        <v>2743.13</v>
      </c>
      <c r="E273" s="1074">
        <v>2743.13</v>
      </c>
      <c r="F273" s="1072" t="s">
        <v>401</v>
      </c>
      <c r="G273" s="1072" t="s">
        <v>2685</v>
      </c>
      <c r="H273" s="1050"/>
      <c r="I273" s="1049"/>
      <c r="J273" s="1049"/>
      <c r="K273" s="1049"/>
      <c r="L273" s="153" t="str">
        <f t="shared" si="20"/>
        <v>6232</v>
      </c>
      <c r="M273" s="154" t="str">
        <f t="shared" si="21"/>
        <v>RRQ RAMQ AC</v>
      </c>
      <c r="N273" s="155">
        <f>+IF(OR($Q273=Parametres!$G$2,$Q273=Parametres!$G$3),I273,C273)</f>
        <v>0</v>
      </c>
      <c r="O273" s="155">
        <f>+IF(OR($Q273=Parametres!$G$2,$Q273=Parametres!$G$3),J273,D273)</f>
        <v>2743.13</v>
      </c>
      <c r="P273" s="155">
        <f>+IF(OR($Q273=Parametres!$G$2,$Q273=Parametres!$G$3),K273,E273)</f>
        <v>2743.13</v>
      </c>
      <c r="Q273" s="154" t="str">
        <f t="shared" si="22"/>
        <v>7-Dépenses</v>
      </c>
      <c r="R273" s="153" t="str">
        <f t="shared" si="23"/>
        <v>6132</v>
      </c>
      <c r="S273" s="154">
        <f t="shared" si="24"/>
        <v>0</v>
      </c>
      <c r="T273" s="156" t="str">
        <f>+VLOOKUP($L273,Data_Validation!$A:$D,1,0)</f>
        <v>6232</v>
      </c>
      <c r="U273" s="156" t="str">
        <f>+VLOOKUP($L273,Data_Validation!$A:$D,3,0)</f>
        <v>Véhicules usagés</v>
      </c>
      <c r="V273" s="156" t="str">
        <f>+VLOOKUP($L273,Data_Validation!$A:$D,4,0)</f>
        <v>Déduction à la source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72" t="s">
        <v>1305</v>
      </c>
      <c r="B274" s="1072" t="s">
        <v>2719</v>
      </c>
      <c r="C274" s="1074">
        <v>0</v>
      </c>
      <c r="D274" s="1074">
        <v>2196</v>
      </c>
      <c r="E274" s="1074">
        <v>2196</v>
      </c>
      <c r="F274" s="1072" t="s">
        <v>401</v>
      </c>
      <c r="G274" s="1072" t="s">
        <v>2694</v>
      </c>
      <c r="H274" s="150"/>
      <c r="I274" s="157"/>
      <c r="J274" s="157"/>
      <c r="K274" s="157"/>
      <c r="L274" s="153" t="str">
        <f t="shared" si="20"/>
        <v>6239</v>
      </c>
      <c r="M274" s="154" t="str">
        <f t="shared" si="21"/>
        <v>ASSURANCE GROUPE</v>
      </c>
      <c r="N274" s="155">
        <f>+IF(OR($Q274=Parametres!$G$2,$Q274=Parametres!$G$3),I274,C274)</f>
        <v>0</v>
      </c>
      <c r="O274" s="155">
        <f>+IF(OR($Q274=Parametres!$G$2,$Q274=Parametres!$G$3),J274,D274)</f>
        <v>2196</v>
      </c>
      <c r="P274" s="155">
        <f>+IF(OR($Q274=Parametres!$G$2,$Q274=Parametres!$G$3),K274,E274)</f>
        <v>2196</v>
      </c>
      <c r="Q274" s="154" t="str">
        <f t="shared" si="22"/>
        <v>7-Dépenses</v>
      </c>
      <c r="R274" s="153" t="str">
        <f t="shared" si="23"/>
        <v>6139</v>
      </c>
      <c r="S274" s="154">
        <f t="shared" si="24"/>
        <v>0</v>
      </c>
      <c r="T274" s="156" t="str">
        <f>+VLOOKUP($L274,Data_Validation!$A:$D,1,0)</f>
        <v>6239</v>
      </c>
      <c r="U274" s="156" t="str">
        <f>+VLOOKUP($L274,Data_Validation!$A:$D,3,0)</f>
        <v>Véhicules usagés</v>
      </c>
      <c r="V274" s="156" t="str">
        <f>+VLOOKUP($L274,Data_Validation!$A:$D,4,0)</f>
        <v>Bénéfices marginaux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72" t="s">
        <v>934</v>
      </c>
      <c r="B275" s="1072" t="s">
        <v>2564</v>
      </c>
      <c r="C275" s="1074">
        <v>0</v>
      </c>
      <c r="D275" s="1074">
        <v>10.62</v>
      </c>
      <c r="E275" s="1074">
        <v>10.62</v>
      </c>
      <c r="F275" s="1072" t="s">
        <v>401</v>
      </c>
      <c r="G275" s="1072" t="s">
        <v>2561</v>
      </c>
      <c r="H275" s="150"/>
      <c r="I275" s="151"/>
      <c r="J275" s="151"/>
      <c r="K275" s="151"/>
      <c r="L275" s="153" t="str">
        <f t="shared" si="20"/>
        <v>6244</v>
      </c>
      <c r="M275" s="154" t="str">
        <f t="shared" si="21"/>
        <v>FORMATION</v>
      </c>
      <c r="N275" s="155">
        <f>+IF(OR($Q275=Parametres!$G$2,$Q275=Parametres!$G$3),I275,C275)</f>
        <v>0</v>
      </c>
      <c r="O275" s="155">
        <f>+IF(OR($Q275=Parametres!$G$2,$Q275=Parametres!$G$3),J275,D275)</f>
        <v>10.62</v>
      </c>
      <c r="P275" s="155">
        <f>+IF(OR($Q275=Parametres!$G$2,$Q275=Parametres!$G$3),K275,E275)</f>
        <v>10.62</v>
      </c>
      <c r="Q275" s="154" t="str">
        <f t="shared" si="22"/>
        <v>7-Dépenses</v>
      </c>
      <c r="R275" s="153" t="str">
        <f t="shared" si="23"/>
        <v>6144</v>
      </c>
      <c r="S275" s="154">
        <f t="shared" si="24"/>
        <v>0</v>
      </c>
      <c r="T275" s="156" t="str">
        <f>+VLOOKUP($L275,Data_Validation!$A:$D,1,0)</f>
        <v>6244</v>
      </c>
      <c r="U275" s="156" t="str">
        <f>+VLOOKUP($L275,Data_Validation!$A:$D,3,0)</f>
        <v>Véhicules usagés</v>
      </c>
      <c r="V275" s="156" t="str">
        <f>+VLOOKUP($L275,Data_Validation!$A:$D,4,0)</f>
        <v>Formation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72" t="s">
        <v>1186</v>
      </c>
      <c r="B276" s="1072" t="s">
        <v>2649</v>
      </c>
      <c r="C276" s="1074">
        <v>0</v>
      </c>
      <c r="D276" s="1074">
        <v>-409.62</v>
      </c>
      <c r="E276" s="1074">
        <v>-409.62</v>
      </c>
      <c r="F276" s="1072" t="s">
        <v>401</v>
      </c>
      <c r="G276" s="1072" t="s">
        <v>2632</v>
      </c>
      <c r="H276" s="150"/>
      <c r="I276" s="157"/>
      <c r="J276" s="157"/>
      <c r="K276" s="157"/>
      <c r="L276" s="153" t="str">
        <f t="shared" si="20"/>
        <v>6245</v>
      </c>
      <c r="M276" s="154" t="str">
        <f t="shared" si="21"/>
        <v>VEHICULE DE COMPAGNIE - DEPENS</v>
      </c>
      <c r="N276" s="155">
        <f>+IF(OR($Q276=Parametres!$G$2,$Q276=Parametres!$G$3),I276,C276)</f>
        <v>0</v>
      </c>
      <c r="O276" s="155">
        <f>+IF(OR($Q276=Parametres!$G$2,$Q276=Parametres!$G$3),J276,D276)</f>
        <v>-409.62</v>
      </c>
      <c r="P276" s="155">
        <f>+IF(OR($Q276=Parametres!$G$2,$Q276=Parametres!$G$3),K276,E276)</f>
        <v>-409.62</v>
      </c>
      <c r="Q276" s="154" t="str">
        <f t="shared" si="22"/>
        <v>7-Dépenses</v>
      </c>
      <c r="R276" s="153" t="str">
        <f t="shared" si="23"/>
        <v>6145</v>
      </c>
      <c r="S276" s="154">
        <f t="shared" si="24"/>
        <v>0</v>
      </c>
      <c r="T276" s="156" t="str">
        <f>+VLOOKUP($L276,Data_Validation!$A:$D,1,0)</f>
        <v>6245</v>
      </c>
      <c r="U276" s="156" t="str">
        <f>+VLOOKUP($L276,Data_Validation!$A:$D,3,0)</f>
        <v>Véhicules usagés</v>
      </c>
      <c r="V276" s="156" t="str">
        <f>+VLOOKUP($L276,Data_Validation!$A:$D,4,0)</f>
        <v>Frais véhicules de cie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72" t="s">
        <v>1180</v>
      </c>
      <c r="B277" s="1072" t="s">
        <v>2584</v>
      </c>
      <c r="C277" s="1074">
        <v>0</v>
      </c>
      <c r="D277" s="1074">
        <v>38.65</v>
      </c>
      <c r="E277" s="1074">
        <v>38.65</v>
      </c>
      <c r="F277" s="1072" t="s">
        <v>401</v>
      </c>
      <c r="G277" s="1072" t="s">
        <v>2581</v>
      </c>
      <c r="H277" s="150"/>
      <c r="I277" s="157"/>
      <c r="J277" s="157"/>
      <c r="K277" s="157"/>
      <c r="L277" s="153" t="str">
        <f t="shared" si="20"/>
        <v>6247</v>
      </c>
      <c r="M277" s="154" t="str">
        <f t="shared" si="21"/>
        <v>FRET/EXPRESS/TRANS. PAR CAMION</v>
      </c>
      <c r="N277" s="155">
        <f>+IF(OR($Q277=Parametres!$G$2,$Q277=Parametres!$G$3),I277,C277)</f>
        <v>0</v>
      </c>
      <c r="O277" s="155">
        <f>+IF(OR($Q277=Parametres!$G$2,$Q277=Parametres!$G$3),J277,D277)</f>
        <v>38.65</v>
      </c>
      <c r="P277" s="155">
        <f>+IF(OR($Q277=Parametres!$G$2,$Q277=Parametres!$G$3),K277,E277)</f>
        <v>38.65</v>
      </c>
      <c r="Q277" s="154" t="str">
        <f t="shared" si="22"/>
        <v>7-Dépenses</v>
      </c>
      <c r="R277" s="153" t="str">
        <f t="shared" si="23"/>
        <v>6147</v>
      </c>
      <c r="S277" s="154">
        <f t="shared" si="24"/>
        <v>0</v>
      </c>
      <c r="T277" s="156" t="str">
        <f>+VLOOKUP($L277,Data_Validation!$A:$D,1,0)</f>
        <v>6247</v>
      </c>
      <c r="U277" s="156" t="str">
        <f>+VLOOKUP($L277,Data_Validation!$A:$D,3,0)</f>
        <v>Véhicules usagés</v>
      </c>
      <c r="V277" s="156" t="str">
        <f>+VLOOKUP($L277,Data_Validation!$A:$D,4,0)</f>
        <v>Frais postaux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72" t="s">
        <v>1286</v>
      </c>
      <c r="B278" s="1072" t="s">
        <v>2723</v>
      </c>
      <c r="C278" s="1074">
        <v>0</v>
      </c>
      <c r="D278" s="1074">
        <v>2438.41</v>
      </c>
      <c r="E278" s="1074">
        <v>2438.41</v>
      </c>
      <c r="F278" s="1072" t="s">
        <v>401</v>
      </c>
      <c r="G278" s="1072" t="s">
        <v>2702</v>
      </c>
      <c r="H278" s="1050"/>
      <c r="I278" s="1050"/>
      <c r="J278" s="1050"/>
      <c r="K278" s="1050"/>
      <c r="L278" s="153" t="str">
        <f t="shared" si="20"/>
        <v>6251</v>
      </c>
      <c r="M278" s="154" t="str">
        <f t="shared" si="21"/>
        <v>DEP. DU TRAITEMENT DES DONNEES</v>
      </c>
      <c r="N278" s="155">
        <f>+IF(OR($Q278=Parametres!$G$2,$Q278=Parametres!$G$3),I278,C278)</f>
        <v>0</v>
      </c>
      <c r="O278" s="608">
        <f>+IF(OR($Q278=Parametres!$G$2,$Q278=Parametres!$G$3),J278,D278)</f>
        <v>2438.41</v>
      </c>
      <c r="P278" s="155">
        <f>+IF(OR($Q278=Parametres!$G$2,$Q278=Parametres!$G$3),K278,E278)</f>
        <v>2438.41</v>
      </c>
      <c r="Q278" s="154" t="str">
        <f t="shared" si="22"/>
        <v>7-Dépenses</v>
      </c>
      <c r="R278" s="153" t="str">
        <f t="shared" si="23"/>
        <v>6151</v>
      </c>
      <c r="S278" s="154">
        <f t="shared" si="24"/>
        <v>0</v>
      </c>
      <c r="T278" s="156" t="str">
        <f>+VLOOKUP($L278,Data_Validation!$A:$D,1,0)</f>
        <v>6251</v>
      </c>
      <c r="U278" s="156" t="str">
        <f>+VLOOKUP($L278,Data_Validation!$A:$D,3,0)</f>
        <v>Véhicules usagés</v>
      </c>
      <c r="V278" s="156" t="str">
        <f>+VLOOKUP($L278,Data_Validation!$A:$D,4,0)</f>
        <v>Informatique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072" t="s">
        <v>1206</v>
      </c>
      <c r="B279" s="1072" t="s">
        <v>2602</v>
      </c>
      <c r="C279" s="1074">
        <v>0</v>
      </c>
      <c r="D279" s="1074">
        <v>93.33</v>
      </c>
      <c r="E279" s="1074">
        <v>93.33</v>
      </c>
      <c r="F279" s="1072" t="s">
        <v>401</v>
      </c>
      <c r="G279" s="1072" t="s">
        <v>2588</v>
      </c>
      <c r="H279" s="150"/>
      <c r="I279" s="157"/>
      <c r="J279" s="157"/>
      <c r="K279" s="157"/>
      <c r="L279" s="153" t="str">
        <f t="shared" si="20"/>
        <v>6252</v>
      </c>
      <c r="M279" s="154" t="str">
        <f t="shared" si="21"/>
        <v>PAPETERIE</v>
      </c>
      <c r="N279" s="155">
        <f>+IF(OR($Q279=Parametres!$G$2,$Q279=Parametres!$G$3),I279,C279)</f>
        <v>0</v>
      </c>
      <c r="O279" s="155">
        <f>+IF(OR($Q279=Parametres!$G$2,$Q279=Parametres!$G$3),J279,D279)</f>
        <v>93.33</v>
      </c>
      <c r="P279" s="155">
        <f>+IF(OR($Q279=Parametres!$G$2,$Q279=Parametres!$G$3),K279,E279)</f>
        <v>93.33</v>
      </c>
      <c r="Q279" s="154" t="str">
        <f t="shared" si="22"/>
        <v>7-Dépenses</v>
      </c>
      <c r="R279" s="153" t="str">
        <f t="shared" si="23"/>
        <v>6152</v>
      </c>
      <c r="S279" s="154">
        <f t="shared" si="24"/>
        <v>0</v>
      </c>
      <c r="T279" s="156" t="str">
        <f>+VLOOKUP($L279,Data_Validation!$A:$D,1,0)</f>
        <v>6252</v>
      </c>
      <c r="U279" s="156" t="str">
        <f>+VLOOKUP($L279,Data_Validation!$A:$D,3,0)</f>
        <v>Véhicules usagés</v>
      </c>
      <c r="V279" s="156" t="str">
        <f>+VLOOKUP($L279,Data_Validation!$A:$D,4,0)</f>
        <v>Papeterie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72" t="s">
        <v>1154</v>
      </c>
      <c r="B280" s="1072" t="s">
        <v>2595</v>
      </c>
      <c r="C280" s="1074">
        <v>0</v>
      </c>
      <c r="D280" s="1074">
        <v>123.27</v>
      </c>
      <c r="E280" s="1074">
        <v>123.27</v>
      </c>
      <c r="F280" s="1072" t="s">
        <v>401</v>
      </c>
      <c r="G280" s="1072" t="s">
        <v>2592</v>
      </c>
      <c r="H280" s="150"/>
      <c r="I280" s="157"/>
      <c r="J280" s="157"/>
      <c r="K280" s="157"/>
      <c r="L280" s="153" t="str">
        <f t="shared" si="20"/>
        <v>6253</v>
      </c>
      <c r="M280" s="154" t="str">
        <f t="shared" si="21"/>
        <v>TELEPHONE ET TELEX</v>
      </c>
      <c r="N280" s="155">
        <f>+IF(OR($Q280=Parametres!$G$2,$Q280=Parametres!$G$3),I280,C280)</f>
        <v>0</v>
      </c>
      <c r="O280" s="155">
        <f>+IF(OR($Q280=Parametres!$G$2,$Q280=Parametres!$G$3),J280,D280)</f>
        <v>123.27</v>
      </c>
      <c r="P280" s="155">
        <f>+IF(OR($Q280=Parametres!$G$2,$Q280=Parametres!$G$3),K280,E280)</f>
        <v>123.27</v>
      </c>
      <c r="Q280" s="154" t="str">
        <f t="shared" si="22"/>
        <v>7-Dépenses</v>
      </c>
      <c r="R280" s="153" t="str">
        <f t="shared" si="23"/>
        <v>6153</v>
      </c>
      <c r="S280" s="154">
        <f t="shared" si="24"/>
        <v>0</v>
      </c>
      <c r="T280" s="156" t="str">
        <f>+VLOOKUP($L280,Data_Validation!$A:$D,1,0)</f>
        <v>6253</v>
      </c>
      <c r="U280" s="156" t="str">
        <f>+VLOOKUP($L280,Data_Validation!$A:$D,3,0)</f>
        <v>Véhicules usagés</v>
      </c>
      <c r="V280" s="156" t="str">
        <f>+VLOOKUP($L280,Data_Validation!$A:$D,4,0)</f>
        <v>Téléphone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72" t="s">
        <v>1237</v>
      </c>
      <c r="B281" s="1072" t="s">
        <v>2666</v>
      </c>
      <c r="C281" s="1074">
        <v>0</v>
      </c>
      <c r="D281" s="1074">
        <v>94.62</v>
      </c>
      <c r="E281" s="1074">
        <v>94.62</v>
      </c>
      <c r="F281" s="1072" t="s">
        <v>401</v>
      </c>
      <c r="G281" s="1072" t="s">
        <v>2637</v>
      </c>
      <c r="H281" s="1050"/>
      <c r="I281" s="1049"/>
      <c r="J281" s="1049"/>
      <c r="K281" s="1049"/>
      <c r="L281" s="153" t="str">
        <f t="shared" si="20"/>
        <v>6255</v>
      </c>
      <c r="M281" s="154" t="str">
        <f t="shared" si="21"/>
        <v>DEPENSES DIVERS</v>
      </c>
      <c r="N281" s="155">
        <f>+IF(OR($Q281=Parametres!$G$2,$Q281=Parametres!$G$3),I281,C281)</f>
        <v>0</v>
      </c>
      <c r="O281" s="155">
        <f>+IF(OR($Q281=Parametres!$G$2,$Q281=Parametres!$G$3),J281,D281)</f>
        <v>94.62</v>
      </c>
      <c r="P281" s="155">
        <f>+IF(OR($Q281=Parametres!$G$2,$Q281=Parametres!$G$3),K281,E281)</f>
        <v>94.62</v>
      </c>
      <c r="Q281" s="154" t="str">
        <f t="shared" si="22"/>
        <v>7-Dépenses</v>
      </c>
      <c r="R281" s="153" t="str">
        <f t="shared" si="23"/>
        <v>6155</v>
      </c>
      <c r="S281" s="154">
        <f t="shared" si="24"/>
        <v>0</v>
      </c>
      <c r="T281" s="156" t="str">
        <f>+VLOOKUP($L281,Data_Validation!$A:$D,1,0)</f>
        <v>6255</v>
      </c>
      <c r="U281" s="156" t="str">
        <f>+VLOOKUP($L281,Data_Validation!$A:$D,3,0)</f>
        <v>Véhicules usagés</v>
      </c>
      <c r="V281" s="156" t="str">
        <f>+VLOOKUP($L281,Data_Validation!$A:$D,4,0)</f>
        <v>Divers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72" t="s">
        <v>1247</v>
      </c>
      <c r="B282" s="1072" t="s">
        <v>2676</v>
      </c>
      <c r="C282" s="1074">
        <v>0</v>
      </c>
      <c r="D282" s="1074">
        <v>23.26</v>
      </c>
      <c r="E282" s="1074">
        <v>23.26</v>
      </c>
      <c r="F282" s="1072" t="s">
        <v>401</v>
      </c>
      <c r="G282" s="1072" t="s">
        <v>2470</v>
      </c>
      <c r="H282" s="150"/>
      <c r="I282" s="151"/>
      <c r="J282" s="151"/>
      <c r="K282" s="151"/>
      <c r="L282" s="153" t="str">
        <f t="shared" si="20"/>
        <v>6256</v>
      </c>
      <c r="M282" s="154" t="str">
        <f t="shared" si="21"/>
        <v>FRAIS REPRESENTATION - USAGE</v>
      </c>
      <c r="N282" s="155">
        <f>+IF(OR($Q282=Parametres!$G$2,$Q282=Parametres!$G$3),I282,C282)</f>
        <v>0</v>
      </c>
      <c r="O282" s="155">
        <f>+IF(OR($Q282=Parametres!$G$2,$Q282=Parametres!$G$3),J282,D282)</f>
        <v>23.26</v>
      </c>
      <c r="P282" s="155">
        <f>+IF(OR($Q282=Parametres!$G$2,$Q282=Parametres!$G$3),K282,E282)</f>
        <v>23.26</v>
      </c>
      <c r="Q282" s="154" t="str">
        <f t="shared" si="22"/>
        <v>7-Dépenses</v>
      </c>
      <c r="R282" s="153" t="str">
        <f t="shared" si="23"/>
        <v>6156</v>
      </c>
      <c r="S282" s="154">
        <f t="shared" si="24"/>
        <v>0</v>
      </c>
      <c r="T282" s="156" t="str">
        <f>+VLOOKUP($L282,Data_Validation!$A:$D,1,0)</f>
        <v>6256</v>
      </c>
      <c r="U282" s="156" t="str">
        <f>+VLOOKUP($L282,Data_Validation!$A:$D,3,0)</f>
        <v>Véhicules usagés</v>
      </c>
      <c r="V282" s="156" t="str">
        <f>+VLOOKUP($L282,Data_Validation!$A:$D,4,0)</f>
        <v>Frais de déplacement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72" t="s">
        <v>1308</v>
      </c>
      <c r="B283" s="1072" t="s">
        <v>2698</v>
      </c>
      <c r="C283" s="1074">
        <v>0</v>
      </c>
      <c r="D283" s="1074">
        <v>798.93</v>
      </c>
      <c r="E283" s="1074">
        <v>798.93</v>
      </c>
      <c r="F283" s="1072" t="s">
        <v>401</v>
      </c>
      <c r="G283" s="1072" t="s">
        <v>2662</v>
      </c>
      <c r="H283" s="1050"/>
      <c r="I283" s="1049"/>
      <c r="J283" s="1049"/>
      <c r="K283" s="1049"/>
      <c r="L283" s="153" t="str">
        <f t="shared" si="20"/>
        <v>6259</v>
      </c>
      <c r="M283" s="154" t="str">
        <f t="shared" si="21"/>
        <v>SERVICE EXTERIEUR</v>
      </c>
      <c r="N283" s="155">
        <f>+IF(OR($Q283=Parametres!$G$2,$Q283=Parametres!$G$3),I283,C283)</f>
        <v>0</v>
      </c>
      <c r="O283" s="155">
        <f>+IF(OR($Q283=Parametres!$G$2,$Q283=Parametres!$G$3),J283,D283)</f>
        <v>798.93</v>
      </c>
      <c r="P283" s="155">
        <f>+IF(OR($Q283=Parametres!$G$2,$Q283=Parametres!$G$3),K283,E283)</f>
        <v>798.93</v>
      </c>
      <c r="Q283" s="154" t="str">
        <f t="shared" si="22"/>
        <v>7-Dépenses</v>
      </c>
      <c r="R283" s="153" t="str">
        <f t="shared" si="23"/>
        <v>6159</v>
      </c>
      <c r="S283" s="154">
        <f t="shared" si="24"/>
        <v>0</v>
      </c>
      <c r="T283" s="156" t="str">
        <f>+VLOOKUP($L283,Data_Validation!$A:$D,1,0)</f>
        <v>6259</v>
      </c>
      <c r="U283" s="156" t="str">
        <f>+VLOOKUP($L283,Data_Validation!$A:$D,3,0)</f>
        <v>Véhicules usagés</v>
      </c>
      <c r="V283" s="156" t="str">
        <f>+VLOOKUP($L283,Data_Validation!$A:$D,4,0)</f>
        <v>Services extérieurs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72" t="s">
        <v>1333</v>
      </c>
      <c r="B284" s="1072" t="s">
        <v>2680</v>
      </c>
      <c r="C284" s="1074">
        <v>0</v>
      </c>
      <c r="D284" s="1074">
        <v>1100.04</v>
      </c>
      <c r="E284" s="1074">
        <v>1100.04</v>
      </c>
      <c r="F284" s="1072" t="s">
        <v>401</v>
      </c>
      <c r="G284" s="1072" t="s">
        <v>2653</v>
      </c>
      <c r="H284" s="150"/>
      <c r="I284" s="157"/>
      <c r="J284" s="157"/>
      <c r="K284" s="157"/>
      <c r="L284" s="153" t="str">
        <f t="shared" si="20"/>
        <v>6261</v>
      </c>
      <c r="M284" s="154" t="str">
        <f t="shared" si="21"/>
        <v>DEPRECIATION EQUIP. &amp; FIXTURES</v>
      </c>
      <c r="N284" s="155">
        <f>+IF(OR($Q284=Parametres!$G$2,$Q284=Parametres!$G$3),I284,C284)</f>
        <v>0</v>
      </c>
      <c r="O284" s="155">
        <f>+IF(OR($Q284=Parametres!$G$2,$Q284=Parametres!$G$3),J284,D284)</f>
        <v>1100.04</v>
      </c>
      <c r="P284" s="155">
        <f>+IF(OR($Q284=Parametres!$G$2,$Q284=Parametres!$G$3),K284,E284)</f>
        <v>1100.04</v>
      </c>
      <c r="Q284" s="154" t="str">
        <f t="shared" si="22"/>
        <v>7-Dépenses</v>
      </c>
      <c r="R284" s="153" t="str">
        <f t="shared" si="23"/>
        <v>6161</v>
      </c>
      <c r="S284" s="154">
        <f t="shared" si="24"/>
        <v>0</v>
      </c>
      <c r="T284" s="156" t="str">
        <f>+VLOOKUP($L284,Data_Validation!$A:$D,1,0)</f>
        <v>6261</v>
      </c>
      <c r="U284" s="156" t="str">
        <f>+VLOOKUP($L284,Data_Validation!$A:$D,3,0)</f>
        <v>Véhicules usagés</v>
      </c>
      <c r="V284" s="156" t="str">
        <f>+VLOOKUP($L284,Data_Validation!$A:$D,4,0)</f>
        <v>Amortissement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72" t="s">
        <v>1380</v>
      </c>
      <c r="B285" s="1072" t="s">
        <v>2633</v>
      </c>
      <c r="C285" s="1074">
        <v>0</v>
      </c>
      <c r="D285" s="1074">
        <v>203.49</v>
      </c>
      <c r="E285" s="1074">
        <v>203.49</v>
      </c>
      <c r="F285" s="1072" t="s">
        <v>401</v>
      </c>
      <c r="G285" s="1072" t="s">
        <v>2604</v>
      </c>
      <c r="H285" s="150"/>
      <c r="I285" s="151"/>
      <c r="J285" s="151"/>
      <c r="K285" s="151"/>
      <c r="L285" s="153" t="str">
        <f t="shared" si="20"/>
        <v>6281</v>
      </c>
      <c r="M285" s="154" t="str">
        <f t="shared" si="21"/>
        <v>CHAUFFAGE,ELECTRICITE,EAU-USAGE</v>
      </c>
      <c r="N285" s="155">
        <f>+IF(OR($Q285=Parametres!$G$2,$Q285=Parametres!$G$3),I285,C285)</f>
        <v>0</v>
      </c>
      <c r="O285" s="155">
        <f>+IF(OR($Q285=Parametres!$G$2,$Q285=Parametres!$G$3),J285,D285)</f>
        <v>203.49</v>
      </c>
      <c r="P285" s="155">
        <f>+IF(OR($Q285=Parametres!$G$2,$Q285=Parametres!$G$3),K285,E285)</f>
        <v>203.49</v>
      </c>
      <c r="Q285" s="154" t="str">
        <f t="shared" si="22"/>
        <v>7-Dépenses</v>
      </c>
      <c r="R285" s="153" t="str">
        <f t="shared" si="23"/>
        <v>6181</v>
      </c>
      <c r="S285" s="154">
        <f t="shared" si="24"/>
        <v>0</v>
      </c>
      <c r="T285" s="156" t="str">
        <f>+VLOOKUP($L285,Data_Validation!$A:$D,1,0)</f>
        <v>6281</v>
      </c>
      <c r="U285" s="156" t="str">
        <f>+VLOOKUP($L285,Data_Validation!$A:$D,3,0)</f>
        <v>Véhicules usagés</v>
      </c>
      <c r="V285" s="156" t="str">
        <f>+VLOOKUP($L285,Data_Validation!$A:$D,4,0)</f>
        <v>Chauffage, éclairage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72" t="s">
        <v>1462</v>
      </c>
      <c r="B286" s="1072" t="s">
        <v>2724</v>
      </c>
      <c r="C286" s="1074">
        <v>0</v>
      </c>
      <c r="D286" s="1074">
        <v>3120</v>
      </c>
      <c r="E286" s="1074">
        <v>3120</v>
      </c>
      <c r="F286" s="1072" t="s">
        <v>401</v>
      </c>
      <c r="G286" s="1072" t="s">
        <v>2709</v>
      </c>
      <c r="H286" s="150"/>
      <c r="I286" s="151"/>
      <c r="J286" s="151"/>
      <c r="K286" s="151"/>
      <c r="L286" s="153" t="str">
        <f t="shared" si="20"/>
        <v>6282</v>
      </c>
      <c r="M286" s="154" t="str">
        <f t="shared" si="21"/>
        <v>LOYER - USAGE</v>
      </c>
      <c r="N286" s="155">
        <f>+IF(OR($Q286=Parametres!$G$2,$Q286=Parametres!$G$3),I286,C286)</f>
        <v>0</v>
      </c>
      <c r="O286" s="155">
        <f>+IF(OR($Q286=Parametres!$G$2,$Q286=Parametres!$G$3),J286,D286)</f>
        <v>3120</v>
      </c>
      <c r="P286" s="155">
        <f>+IF(OR($Q286=Parametres!$G$2,$Q286=Parametres!$G$3),K286,E286)</f>
        <v>3120</v>
      </c>
      <c r="Q286" s="154" t="str">
        <f t="shared" si="22"/>
        <v>7-Dépenses</v>
      </c>
      <c r="R286" s="153" t="str">
        <f t="shared" si="23"/>
        <v>6182</v>
      </c>
      <c r="S286" s="154">
        <f t="shared" si="24"/>
        <v>0</v>
      </c>
      <c r="T286" s="156" t="str">
        <f>+VLOOKUP($L286,Data_Validation!$A:$D,1,0)</f>
        <v>6282</v>
      </c>
      <c r="U286" s="156" t="str">
        <f>+VLOOKUP($L286,Data_Validation!$A:$D,3,0)</f>
        <v>Véhicules usagés</v>
      </c>
      <c r="V286" s="156" t="str">
        <f>+VLOOKUP($L286,Data_Validation!$A:$D,4,0)</f>
        <v>Loyer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72" t="s">
        <v>1290</v>
      </c>
      <c r="B287" s="1072" t="s">
        <v>2615</v>
      </c>
      <c r="C287" s="1074">
        <v>0</v>
      </c>
      <c r="D287" s="1074">
        <v>444.97</v>
      </c>
      <c r="E287" s="1074">
        <v>444.97</v>
      </c>
      <c r="F287" s="1072" t="s">
        <v>401</v>
      </c>
      <c r="G287" s="1072" t="s">
        <v>2594</v>
      </c>
      <c r="H287" s="150"/>
      <c r="I287" s="157"/>
      <c r="J287" s="157"/>
      <c r="K287" s="157"/>
      <c r="L287" s="153" t="str">
        <f t="shared" si="20"/>
        <v>6286</v>
      </c>
      <c r="M287" s="154" t="str">
        <f t="shared" si="21"/>
        <v>ASSURANCE BATISSE &amp; AMEL.-USAGE</v>
      </c>
      <c r="N287" s="155">
        <f>+IF(OR($Q287=Parametres!$G$2,$Q287=Parametres!$G$3),I287,C287)</f>
        <v>0</v>
      </c>
      <c r="O287" s="155">
        <f>+IF(OR($Q287=Parametres!$G$2,$Q287=Parametres!$G$3),J287,D287)</f>
        <v>444.97</v>
      </c>
      <c r="P287" s="155">
        <f>+IF(OR($Q287=Parametres!$G$2,$Q287=Parametres!$G$3),K287,E287)</f>
        <v>444.97</v>
      </c>
      <c r="Q287" s="154" t="str">
        <f t="shared" si="22"/>
        <v>7-Dépenses</v>
      </c>
      <c r="R287" s="153" t="str">
        <f t="shared" si="23"/>
        <v>6186</v>
      </c>
      <c r="S287" s="154">
        <f t="shared" si="24"/>
        <v>0</v>
      </c>
      <c r="T287" s="156" t="str">
        <f>+VLOOKUP($L287,Data_Validation!$A:$D,1,0)</f>
        <v>6286</v>
      </c>
      <c r="U287" s="156" t="str">
        <f>+VLOOKUP($L287,Data_Validation!$A:$D,3,0)</f>
        <v>Véhicules usagés</v>
      </c>
      <c r="V287" s="156" t="str">
        <f>+VLOOKUP($L287,Data_Validation!$A:$D,4,0)</f>
        <v>Assurances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72" t="s">
        <v>1203</v>
      </c>
      <c r="B288" s="1072" t="s">
        <v>2651</v>
      </c>
      <c r="C288" s="1074">
        <v>0</v>
      </c>
      <c r="D288" s="1074">
        <v>577.20000000000005</v>
      </c>
      <c r="E288" s="1074">
        <v>577.20000000000005</v>
      </c>
      <c r="F288" s="1072" t="s">
        <v>401</v>
      </c>
      <c r="G288" s="1072" t="s">
        <v>2614</v>
      </c>
      <c r="H288" s="1050"/>
      <c r="I288" s="1049"/>
      <c r="J288" s="1049"/>
      <c r="K288" s="1049"/>
      <c r="L288" s="153" t="str">
        <f t="shared" si="20"/>
        <v>6287</v>
      </c>
      <c r="M288" s="154" t="str">
        <f t="shared" si="21"/>
        <v>TAXES FONCIERES - USAGE</v>
      </c>
      <c r="N288" s="155">
        <f>+IF(OR($Q288=Parametres!$G$2,$Q288=Parametres!$G$3),I288,C288)</f>
        <v>0</v>
      </c>
      <c r="O288" s="155">
        <f>+IF(OR($Q288=Parametres!$G$2,$Q288=Parametres!$G$3),J288,D288)</f>
        <v>577.20000000000005</v>
      </c>
      <c r="P288" s="155">
        <f>+IF(OR($Q288=Parametres!$G$2,$Q288=Parametres!$G$3),K288,E288)</f>
        <v>577.20000000000005</v>
      </c>
      <c r="Q288" s="154" t="str">
        <f t="shared" si="22"/>
        <v>7-Dépenses</v>
      </c>
      <c r="R288" s="153" t="str">
        <f t="shared" si="23"/>
        <v>6187</v>
      </c>
      <c r="S288" s="154">
        <f t="shared" si="24"/>
        <v>0</v>
      </c>
      <c r="T288" s="156" t="str">
        <f>+VLOOKUP($L288,Data_Validation!$A:$D,1,0)</f>
        <v>6287</v>
      </c>
      <c r="U288" s="156" t="str">
        <f>+VLOOKUP($L288,Data_Validation!$A:$D,3,0)</f>
        <v>Véhicules usagés</v>
      </c>
      <c r="V288" s="156" t="str">
        <f>+VLOOKUP($L288,Data_Validation!$A:$D,4,0)</f>
        <v>Taxes foncières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72" t="s">
        <v>1393</v>
      </c>
      <c r="B289" s="1072" t="s">
        <v>2620</v>
      </c>
      <c r="C289" s="1074">
        <v>0</v>
      </c>
      <c r="D289" s="1074">
        <v>384</v>
      </c>
      <c r="E289" s="1074">
        <v>384</v>
      </c>
      <c r="F289" s="1072" t="s">
        <v>401</v>
      </c>
      <c r="G289" s="1072" t="s">
        <v>2597</v>
      </c>
      <c r="H289" s="1050"/>
      <c r="I289" s="1049"/>
      <c r="J289" s="1049"/>
      <c r="K289" s="1049"/>
      <c r="L289" s="153" t="str">
        <f t="shared" si="20"/>
        <v>6293</v>
      </c>
      <c r="M289" s="154" t="str">
        <f t="shared" si="21"/>
        <v>AUTRE TAXES - USAGES</v>
      </c>
      <c r="N289" s="155">
        <f>+IF(OR($Q289=Parametres!$G$2,$Q289=Parametres!$G$3),I289,C289)</f>
        <v>0</v>
      </c>
      <c r="O289" s="155">
        <f>+IF(OR($Q289=Parametres!$G$2,$Q289=Parametres!$G$3),J289,D289)</f>
        <v>384</v>
      </c>
      <c r="P289" s="155">
        <f>+IF(OR($Q289=Parametres!$G$2,$Q289=Parametres!$G$3),K289,E289)</f>
        <v>384</v>
      </c>
      <c r="Q289" s="154" t="str">
        <f t="shared" si="22"/>
        <v>7-Dépenses</v>
      </c>
      <c r="R289" s="153" t="str">
        <f t="shared" si="23"/>
        <v>6193</v>
      </c>
      <c r="S289" s="154">
        <f t="shared" si="24"/>
        <v>0</v>
      </c>
      <c r="T289" s="156" t="str">
        <f>+VLOOKUP($L289,Data_Validation!$A:$D,1,0)</f>
        <v>6293</v>
      </c>
      <c r="U289" s="156" t="str">
        <f>+VLOOKUP($L289,Data_Validation!$A:$D,3,0)</f>
        <v>Véhicules usagés</v>
      </c>
      <c r="V289" s="156" t="str">
        <f>+VLOOKUP($L289,Data_Validation!$A:$D,4,0)</f>
        <v>Taxes d`affaires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72" t="s">
        <v>1318</v>
      </c>
      <c r="B290" s="1072" t="s">
        <v>2664</v>
      </c>
      <c r="C290" s="1074">
        <v>0</v>
      </c>
      <c r="D290" s="1074">
        <v>746.06</v>
      </c>
      <c r="E290" s="1074">
        <v>746.06</v>
      </c>
      <c r="F290" s="1072" t="s">
        <v>401</v>
      </c>
      <c r="G290" s="1072" t="s">
        <v>2635</v>
      </c>
      <c r="H290" s="150"/>
      <c r="I290" s="157"/>
      <c r="J290" s="157"/>
      <c r="K290" s="157"/>
      <c r="L290" s="153" t="str">
        <f t="shared" si="20"/>
        <v>6294</v>
      </c>
      <c r="M290" s="154" t="str">
        <f t="shared" si="21"/>
        <v>FRAIS PROFESSIONNEL-USAGE</v>
      </c>
      <c r="N290" s="155">
        <f>+IF(OR($Q290=Parametres!$G$2,$Q290=Parametres!$G$3),I290,C290)</f>
        <v>0</v>
      </c>
      <c r="O290" s="155">
        <f>+IF(OR($Q290=Parametres!$G$2,$Q290=Parametres!$G$3),J290,D290)</f>
        <v>746.06</v>
      </c>
      <c r="P290" s="155">
        <f>+IF(OR($Q290=Parametres!$G$2,$Q290=Parametres!$G$3),K290,E290)</f>
        <v>746.06</v>
      </c>
      <c r="Q290" s="154" t="str">
        <f t="shared" si="22"/>
        <v>7-Dépenses</v>
      </c>
      <c r="R290" s="153" t="str">
        <f t="shared" si="23"/>
        <v>6194</v>
      </c>
      <c r="S290" s="154">
        <f t="shared" si="24"/>
        <v>0</v>
      </c>
      <c r="T290" s="156" t="str">
        <f>+VLOOKUP($L290,Data_Validation!$A:$D,1,0)</f>
        <v>6294</v>
      </c>
      <c r="U290" s="156" t="str">
        <f>+VLOOKUP($L290,Data_Validation!$A:$D,3,0)</f>
        <v>Véhicules usagés</v>
      </c>
      <c r="V290" s="156" t="str">
        <f>+VLOOKUP($L290,Data_Validation!$A:$D,4,0)</f>
        <v>Honoraires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72" t="s">
        <v>1403</v>
      </c>
      <c r="B291" s="1072" t="s">
        <v>2743</v>
      </c>
      <c r="C291" s="1074">
        <v>0</v>
      </c>
      <c r="D291" s="1074">
        <v>191.96</v>
      </c>
      <c r="E291" s="1074">
        <v>191.96</v>
      </c>
      <c r="F291" s="1072" t="s">
        <v>401</v>
      </c>
      <c r="G291" s="1072" t="s">
        <v>2467</v>
      </c>
      <c r="H291" s="150"/>
      <c r="I291" s="157"/>
      <c r="J291" s="157"/>
      <c r="K291" s="157"/>
      <c r="L291" s="153" t="str">
        <f t="shared" si="20"/>
        <v>6403</v>
      </c>
      <c r="M291" s="154" t="str">
        <f t="shared" si="21"/>
        <v>RELAT. A LA CLIENTELE &amp; AJUST</v>
      </c>
      <c r="N291" s="155">
        <f>+IF(OR($Q291=Parametres!$G$2,$Q291=Parametres!$G$3),I291,C291)</f>
        <v>0</v>
      </c>
      <c r="O291" s="155">
        <f>+IF(OR($Q291=Parametres!$G$2,$Q291=Parametres!$G$3),J291,D291)</f>
        <v>191.96</v>
      </c>
      <c r="P291" s="155">
        <f>+IF(OR($Q291=Parametres!$G$2,$Q291=Parametres!$G$3),K291,E291)</f>
        <v>191.96</v>
      </c>
      <c r="Q291" s="154" t="str">
        <f t="shared" si="22"/>
        <v>7-Dépenses</v>
      </c>
      <c r="R291" s="153" t="str">
        <f t="shared" si="23"/>
        <v>6112</v>
      </c>
      <c r="S291" s="154">
        <f t="shared" si="24"/>
        <v>0</v>
      </c>
      <c r="T291" s="156" t="str">
        <f>+VLOOKUP($L291,Data_Validation!$A:$D,1,0)</f>
        <v>6403</v>
      </c>
      <c r="U291" s="156" t="str">
        <f>+VLOOKUP($L291,Data_Validation!$A:$D,3,0)</f>
        <v>Service</v>
      </c>
      <c r="V291" s="156" t="str">
        <f>+VLOOKUP($L291,Data_Validation!$A:$D,4,0)</f>
        <v>Service gratuit 2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72" t="s">
        <v>1450</v>
      </c>
      <c r="B292" s="1072" t="s">
        <v>2677</v>
      </c>
      <c r="C292" s="1074">
        <v>0</v>
      </c>
      <c r="D292" s="1074">
        <v>-24.97</v>
      </c>
      <c r="E292" s="1074">
        <v>-24.97</v>
      </c>
      <c r="F292" s="1072" t="s">
        <v>401</v>
      </c>
      <c r="G292" s="1072" t="s">
        <v>2467</v>
      </c>
      <c r="H292" s="150"/>
      <c r="I292" s="152"/>
      <c r="J292" s="152"/>
      <c r="K292" s="152"/>
      <c r="L292" s="153" t="str">
        <f t="shared" si="20"/>
        <v>6412</v>
      </c>
      <c r="M292" s="154" t="str">
        <f t="shared" si="21"/>
        <v>AUTORISATION &amp; GAR./VEH. USA</v>
      </c>
      <c r="N292" s="155">
        <f>+IF(OR($Q292=Parametres!$G$2,$Q292=Parametres!$G$3),I292,C292)</f>
        <v>0</v>
      </c>
      <c r="O292" s="155">
        <f>+IF(OR($Q292=Parametres!$G$2,$Q292=Parametres!$G$3),J292,D292)</f>
        <v>-24.97</v>
      </c>
      <c r="P292" s="155">
        <f>+IF(OR($Q292=Parametres!$G$2,$Q292=Parametres!$G$3),K292,E292)</f>
        <v>-24.97</v>
      </c>
      <c r="Q292" s="154" t="str">
        <f t="shared" si="22"/>
        <v>7-Dépenses</v>
      </c>
      <c r="R292" s="153" t="str">
        <f t="shared" si="23"/>
        <v>6112</v>
      </c>
      <c r="S292" s="154">
        <f t="shared" si="24"/>
        <v>0</v>
      </c>
      <c r="T292" s="156" t="str">
        <f>+VLOOKUP($L292,Data_Validation!$A:$D,1,0)</f>
        <v>6412</v>
      </c>
      <c r="U292" s="156" t="str">
        <f>+VLOOKUP($L292,Data_Validation!$A:$D,3,0)</f>
        <v>Service</v>
      </c>
      <c r="V292" s="156" t="str">
        <f>+VLOOKUP($L292,Data_Validation!$A:$D,4,0)</f>
        <v>Service gratuit 2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72" t="s">
        <v>1374</v>
      </c>
      <c r="B293" s="1072" t="s">
        <v>2714</v>
      </c>
      <c r="C293" s="1074">
        <v>0</v>
      </c>
      <c r="D293" s="1074">
        <v>5848.16</v>
      </c>
      <c r="E293" s="1074">
        <v>5848.16</v>
      </c>
      <c r="F293" s="1072" t="s">
        <v>401</v>
      </c>
      <c r="G293" s="1072" t="s">
        <v>2113</v>
      </c>
      <c r="H293" s="150"/>
      <c r="I293" s="157"/>
      <c r="J293" s="157"/>
      <c r="K293" s="157"/>
      <c r="L293" s="153" t="str">
        <f t="shared" si="20"/>
        <v>6414</v>
      </c>
      <c r="M293" s="154" t="str">
        <f t="shared" si="21"/>
        <v>PUBLICITE</v>
      </c>
      <c r="N293" s="155">
        <f>+IF(OR($Q293=Parametres!$G$2,$Q293=Parametres!$G$3),I293,C293)</f>
        <v>0</v>
      </c>
      <c r="O293" s="155">
        <f>+IF(OR($Q293=Parametres!$G$2,$Q293=Parametres!$G$3),J293,D293)</f>
        <v>5848.16</v>
      </c>
      <c r="P293" s="155">
        <f>+IF(OR($Q293=Parametres!$G$2,$Q293=Parametres!$G$3),K293,E293)</f>
        <v>5848.16</v>
      </c>
      <c r="Q293" s="154" t="str">
        <f t="shared" si="22"/>
        <v>7-Dépenses</v>
      </c>
      <c r="R293" s="153" t="str">
        <f t="shared" si="23"/>
        <v>6114</v>
      </c>
      <c r="S293" s="154">
        <f t="shared" si="24"/>
        <v>0</v>
      </c>
      <c r="T293" s="156" t="str">
        <f>+VLOOKUP($L293,Data_Validation!$A:$D,1,0)</f>
        <v>6414</v>
      </c>
      <c r="U293" s="156" t="str">
        <f>+VLOOKUP($L293,Data_Validation!$A:$D,3,0)</f>
        <v>Service</v>
      </c>
      <c r="V293" s="156" t="str">
        <f>+VLOOKUP($L293,Data_Validation!$A:$D,4,0)</f>
        <v>Publicité 2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72" t="s">
        <v>1259</v>
      </c>
      <c r="B294" s="1072" t="s">
        <v>2711</v>
      </c>
      <c r="C294" s="1074">
        <v>0</v>
      </c>
      <c r="D294" s="1074">
        <v>700</v>
      </c>
      <c r="E294" s="1074">
        <v>700</v>
      </c>
      <c r="F294" s="1072" t="s">
        <v>401</v>
      </c>
      <c r="G294" s="1072" t="s">
        <v>2648</v>
      </c>
      <c r="H294" s="150"/>
      <c r="I294" s="151"/>
      <c r="J294" s="151"/>
      <c r="K294" s="151"/>
      <c r="L294" s="153" t="str">
        <f t="shared" si="20"/>
        <v>6421</v>
      </c>
      <c r="M294" s="154" t="str">
        <f t="shared" si="21"/>
        <v>SALAIRES - PROPRIETAIRES</v>
      </c>
      <c r="N294" s="155">
        <f>+IF(OR($Q294=Parametres!$G$2,$Q294=Parametres!$G$3),I294,C294)</f>
        <v>0</v>
      </c>
      <c r="O294" s="155">
        <f>+IF(OR($Q294=Parametres!$G$2,$Q294=Parametres!$G$3),J294,D294)</f>
        <v>700</v>
      </c>
      <c r="P294" s="155">
        <f>+IF(OR($Q294=Parametres!$G$2,$Q294=Parametres!$G$3),K294,E294)</f>
        <v>700</v>
      </c>
      <c r="Q294" s="154" t="str">
        <f t="shared" si="22"/>
        <v>7-Dépenses</v>
      </c>
      <c r="R294" s="153" t="str">
        <f t="shared" si="23"/>
        <v>6121</v>
      </c>
      <c r="S294" s="154">
        <f t="shared" si="24"/>
        <v>0</v>
      </c>
      <c r="T294" s="156" t="str">
        <f>+VLOOKUP($L294,Data_Validation!$A:$D,1,0)</f>
        <v>6421</v>
      </c>
      <c r="U294" s="156" t="str">
        <f>+VLOOKUP($L294,Data_Validation!$A:$D,3,0)</f>
        <v>Service</v>
      </c>
      <c r="V294" s="156" t="str">
        <f>+VLOOKUP($L294,Data_Validation!$A:$D,4,0)</f>
        <v>Salaires propriétaire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72" t="s">
        <v>2624</v>
      </c>
      <c r="B295" s="1072" t="s">
        <v>2771</v>
      </c>
      <c r="C295" s="1074">
        <v>0</v>
      </c>
      <c r="D295" s="1074">
        <v>12230.15</v>
      </c>
      <c r="E295" s="1074">
        <v>12230.15</v>
      </c>
      <c r="F295" s="1072" t="s">
        <v>401</v>
      </c>
      <c r="G295" s="1072" t="s">
        <v>2626</v>
      </c>
      <c r="H295" s="150"/>
      <c r="I295" s="157"/>
      <c r="J295" s="157"/>
      <c r="K295" s="157"/>
      <c r="L295" s="153" t="str">
        <f t="shared" si="20"/>
        <v>6422</v>
      </c>
      <c r="M295" s="154" t="str">
        <f t="shared" si="21"/>
        <v>SAL SUPERVISION / GERANT</v>
      </c>
      <c r="N295" s="155">
        <f>+IF(OR($Q295=Parametres!$G$2,$Q295=Parametres!$G$3),I295,C295)</f>
        <v>0</v>
      </c>
      <c r="O295" s="155">
        <f>+IF(OR($Q295=Parametres!$G$2,$Q295=Parametres!$G$3),J295,D295)</f>
        <v>12230.15</v>
      </c>
      <c r="P295" s="155">
        <f>+IF(OR($Q295=Parametres!$G$2,$Q295=Parametres!$G$3),K295,E295)</f>
        <v>12230.15</v>
      </c>
      <c r="Q295" s="154" t="str">
        <f t="shared" si="22"/>
        <v>7-Dépenses</v>
      </c>
      <c r="R295" s="153" t="str">
        <f t="shared" si="23"/>
        <v>6122</v>
      </c>
      <c r="S295" s="154">
        <f t="shared" si="24"/>
        <v>0</v>
      </c>
      <c r="T295" s="156" t="str">
        <f>+VLOOKUP($L295,Data_Validation!$A:$D,1,0)</f>
        <v>6422</v>
      </c>
      <c r="U295" s="156" t="str">
        <f>+VLOOKUP($L295,Data_Validation!$A:$D,3,0)</f>
        <v>Service</v>
      </c>
      <c r="V295" s="156" t="str">
        <f>+VLOOKUP($L295,Data_Validation!$A:$D,4,0)</f>
        <v>Salaires cadres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72" t="s">
        <v>1266</v>
      </c>
      <c r="B296" s="1072" t="s">
        <v>2766</v>
      </c>
      <c r="C296" s="1074">
        <v>0</v>
      </c>
      <c r="D296" s="1074">
        <v>8211.75</v>
      </c>
      <c r="E296" s="1074">
        <v>8211.75</v>
      </c>
      <c r="F296" s="1072" t="s">
        <v>401</v>
      </c>
      <c r="G296" s="1072" t="s">
        <v>2679</v>
      </c>
      <c r="H296" s="150"/>
      <c r="I296" s="157"/>
      <c r="J296" s="157"/>
      <c r="K296" s="157"/>
      <c r="L296" s="153" t="str">
        <f t="shared" si="20"/>
        <v>6423</v>
      </c>
      <c r="M296" s="154" t="str">
        <f t="shared" si="21"/>
        <v>SAL. &amp; RENUM. CLERICAL</v>
      </c>
      <c r="N296" s="155">
        <f>+IF(OR($Q296=Parametres!$G$2,$Q296=Parametres!$G$3),I296,C296)</f>
        <v>0</v>
      </c>
      <c r="O296" s="155">
        <f>+IF(OR($Q296=Parametres!$G$2,$Q296=Parametres!$G$3),J296,D296)</f>
        <v>8211.75</v>
      </c>
      <c r="P296" s="155">
        <f>+IF(OR($Q296=Parametres!$G$2,$Q296=Parametres!$G$3),K296,E296)</f>
        <v>8211.75</v>
      </c>
      <c r="Q296" s="154" t="str">
        <f t="shared" si="22"/>
        <v>7-Dépenses</v>
      </c>
      <c r="R296" s="153" t="str">
        <f t="shared" si="23"/>
        <v>6123</v>
      </c>
      <c r="S296" s="154">
        <f t="shared" si="24"/>
        <v>0</v>
      </c>
      <c r="T296" s="156" t="str">
        <f>+VLOOKUP($L296,Data_Validation!$A:$D,1,0)</f>
        <v>6423</v>
      </c>
      <c r="U296" s="156" t="str">
        <f>+VLOOKUP($L296,Data_Validation!$A:$D,3,0)</f>
        <v>Service</v>
      </c>
      <c r="V296" s="156" t="str">
        <f>+VLOOKUP($L296,Data_Validation!$A:$D,4,0)</f>
        <v>Salaires commis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72" t="s">
        <v>1249</v>
      </c>
      <c r="B297" s="1072" t="s">
        <v>2805</v>
      </c>
      <c r="C297" s="1074">
        <v>0</v>
      </c>
      <c r="D297" s="1074">
        <v>14193.45</v>
      </c>
      <c r="E297" s="1074">
        <v>14193.45</v>
      </c>
      <c r="F297" s="1072" t="s">
        <v>401</v>
      </c>
      <c r="G297" s="1072" t="s">
        <v>2735</v>
      </c>
      <c r="H297" s="150"/>
      <c r="I297" s="151"/>
      <c r="J297" s="151"/>
      <c r="K297" s="151"/>
      <c r="L297" s="153" t="str">
        <f t="shared" si="20"/>
        <v>6424</v>
      </c>
      <c r="M297" s="154" t="str">
        <f t="shared" si="21"/>
        <v>SALAIRES &amp; RENUM. - AUTRES</v>
      </c>
      <c r="N297" s="155">
        <f>+IF(OR($Q297=Parametres!$G$2,$Q297=Parametres!$G$3),I297,C297)</f>
        <v>0</v>
      </c>
      <c r="O297" s="155">
        <f>+IF(OR($Q297=Parametres!$G$2,$Q297=Parametres!$G$3),J297,D297)</f>
        <v>14193.45</v>
      </c>
      <c r="P297" s="155">
        <f>+IF(OR($Q297=Parametres!$G$2,$Q297=Parametres!$G$3),K297,E297)</f>
        <v>14193.45</v>
      </c>
      <c r="Q297" s="154" t="str">
        <f t="shared" si="22"/>
        <v>7-Dépenses</v>
      </c>
      <c r="R297" s="153" t="str">
        <f t="shared" si="23"/>
        <v>6124</v>
      </c>
      <c r="S297" s="154">
        <f t="shared" si="24"/>
        <v>0</v>
      </c>
      <c r="T297" s="156" t="str">
        <f>+VLOOKUP($L297,Data_Validation!$A:$D,1,0)</f>
        <v>6424</v>
      </c>
      <c r="U297" s="156" t="str">
        <f>+VLOOKUP($L297,Data_Validation!$A:$D,3,0)</f>
        <v>Service</v>
      </c>
      <c r="V297" s="156" t="str">
        <f>+VLOOKUP($L297,Data_Validation!$A:$D,4,0)</f>
        <v>Salaires autres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72" t="s">
        <v>1330</v>
      </c>
      <c r="B298" s="1072" t="s">
        <v>2810</v>
      </c>
      <c r="C298" s="1074">
        <v>0</v>
      </c>
      <c r="D298" s="1074">
        <v>21182.68</v>
      </c>
      <c r="E298" s="1074">
        <v>21182.68</v>
      </c>
      <c r="F298" s="1072" t="s">
        <v>401</v>
      </c>
      <c r="G298" s="1072" t="s">
        <v>2721</v>
      </c>
      <c r="H298" s="150"/>
      <c r="I298" s="151"/>
      <c r="J298" s="151"/>
      <c r="K298" s="151"/>
      <c r="L298" s="153" t="str">
        <f t="shared" si="20"/>
        <v>6425</v>
      </c>
      <c r="M298" s="154" t="str">
        <f t="shared" si="21"/>
        <v>SALAIRE SPECIALISTES</v>
      </c>
      <c r="N298" s="155">
        <f>+IF(OR($Q298=Parametres!$G$2,$Q298=Parametres!$G$3),I298,C298)</f>
        <v>0</v>
      </c>
      <c r="O298" s="155">
        <f>+IF(OR($Q298=Parametres!$G$2,$Q298=Parametres!$G$3),J298,D298)</f>
        <v>21182.68</v>
      </c>
      <c r="P298" s="155">
        <f>+IF(OR($Q298=Parametres!$G$2,$Q298=Parametres!$G$3),K298,E298)</f>
        <v>21182.68</v>
      </c>
      <c r="Q298" s="154" t="str">
        <f t="shared" si="22"/>
        <v>7-Dépenses</v>
      </c>
      <c r="R298" s="153" t="str">
        <f t="shared" si="23"/>
        <v>6125</v>
      </c>
      <c r="S298" s="154">
        <f t="shared" si="24"/>
        <v>0</v>
      </c>
      <c r="T298" s="156" t="str">
        <f>+VLOOKUP($L298,Data_Validation!$A:$D,1,0)</f>
        <v>6425</v>
      </c>
      <c r="U298" s="156" t="str">
        <f>+VLOOKUP($L298,Data_Validation!$A:$D,3,0)</f>
        <v>Service</v>
      </c>
      <c r="V298" s="156" t="str">
        <f>+VLOOKUP($L298,Data_Validation!$A:$D,4,0)</f>
        <v>Salaires spécialistes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72" t="s">
        <v>1448</v>
      </c>
      <c r="B299" s="1072" t="s">
        <v>2793</v>
      </c>
      <c r="C299" s="1074">
        <v>0</v>
      </c>
      <c r="D299" s="1074">
        <v>9419.06</v>
      </c>
      <c r="E299" s="1074">
        <v>9419.06</v>
      </c>
      <c r="F299" s="1072" t="s">
        <v>401</v>
      </c>
      <c r="G299" s="1072" t="s">
        <v>2641</v>
      </c>
      <c r="H299" s="1050"/>
      <c r="I299" s="1050"/>
      <c r="J299" s="1050"/>
      <c r="K299" s="1050"/>
      <c r="L299" s="153" t="str">
        <f t="shared" si="20"/>
        <v>6429</v>
      </c>
      <c r="M299" s="154" t="str">
        <f t="shared" si="21"/>
        <v>SAL.,VACANCE, &amp; SAL. JOURS FER</v>
      </c>
      <c r="N299" s="155">
        <f>+IF(OR($Q299=Parametres!$G$2,$Q299=Parametres!$G$3),I299,C299)</f>
        <v>0</v>
      </c>
      <c r="O299" s="155">
        <f>+IF(OR($Q299=Parametres!$G$2,$Q299=Parametres!$G$3),J299,D299)</f>
        <v>9419.06</v>
      </c>
      <c r="P299" s="155">
        <f>+IF(OR($Q299=Parametres!$G$2,$Q299=Parametres!$G$3),K299,E299)</f>
        <v>9419.06</v>
      </c>
      <c r="Q299" s="154" t="str">
        <f t="shared" si="22"/>
        <v>7-Dépenses</v>
      </c>
      <c r="R299" s="153" t="str">
        <f t="shared" si="23"/>
        <v>6129</v>
      </c>
      <c r="S299" s="154">
        <f t="shared" si="24"/>
        <v>0</v>
      </c>
      <c r="T299" s="156" t="str">
        <f>+VLOOKUP($L299,Data_Validation!$A:$D,1,0)</f>
        <v>6429</v>
      </c>
      <c r="U299" s="156" t="str">
        <f>+VLOOKUP($L299,Data_Validation!$A:$D,3,0)</f>
        <v>Service</v>
      </c>
      <c r="V299" s="156" t="str">
        <f>+VLOOKUP($L299,Data_Validation!$A:$D,4,0)</f>
        <v>Salaires en absences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72" t="s">
        <v>1283</v>
      </c>
      <c r="B300" s="1072" t="s">
        <v>2779</v>
      </c>
      <c r="C300" s="1074">
        <v>0</v>
      </c>
      <c r="D300" s="1074">
        <v>13265.27</v>
      </c>
      <c r="E300" s="1074">
        <v>13265.27</v>
      </c>
      <c r="F300" s="1072" t="s">
        <v>401</v>
      </c>
      <c r="G300" s="1072" t="s">
        <v>2685</v>
      </c>
      <c r="H300" s="150"/>
      <c r="I300" s="152"/>
      <c r="J300" s="152"/>
      <c r="K300" s="152"/>
      <c r="L300" s="153" t="str">
        <f t="shared" si="20"/>
        <v>6432</v>
      </c>
      <c r="M300" s="154" t="str">
        <f t="shared" si="21"/>
        <v>RRQ RAMQ AC</v>
      </c>
      <c r="N300" s="155">
        <f>+IF(OR($Q300=Parametres!$G$2,$Q300=Parametres!$G$3),I300,C300)</f>
        <v>0</v>
      </c>
      <c r="O300" s="155">
        <f>+IF(OR($Q300=Parametres!$G$2,$Q300=Parametres!$G$3),J300,D300)</f>
        <v>13265.27</v>
      </c>
      <c r="P300" s="155">
        <f>+IF(OR($Q300=Parametres!$G$2,$Q300=Parametres!$G$3),K300,E300)</f>
        <v>13265.27</v>
      </c>
      <c r="Q300" s="154" t="str">
        <f t="shared" si="22"/>
        <v>7-Dépenses</v>
      </c>
      <c r="R300" s="153" t="str">
        <f t="shared" si="23"/>
        <v>6132</v>
      </c>
      <c r="S300" s="154">
        <f t="shared" si="24"/>
        <v>0</v>
      </c>
      <c r="T300" s="156" t="str">
        <f>+VLOOKUP($L300,Data_Validation!$A:$D,1,0)</f>
        <v>6432</v>
      </c>
      <c r="U300" s="156" t="str">
        <f>+VLOOKUP($L300,Data_Validation!$A:$D,3,0)</f>
        <v>Service</v>
      </c>
      <c r="V300" s="156" t="str">
        <f>+VLOOKUP($L300,Data_Validation!$A:$D,4,0)</f>
        <v>Déduction à la source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72" t="s">
        <v>1220</v>
      </c>
      <c r="B301" s="1072" t="s">
        <v>2608</v>
      </c>
      <c r="C301" s="1074">
        <v>0</v>
      </c>
      <c r="D301" s="1074">
        <v>205.86</v>
      </c>
      <c r="E301" s="1074">
        <v>205.86</v>
      </c>
      <c r="F301" s="1072" t="s">
        <v>401</v>
      </c>
      <c r="G301" s="1072" t="s">
        <v>2579</v>
      </c>
      <c r="H301" s="150"/>
      <c r="I301" s="157"/>
      <c r="J301" s="157"/>
      <c r="K301" s="157"/>
      <c r="L301" s="153" t="str">
        <f t="shared" si="20"/>
        <v>6433</v>
      </c>
      <c r="M301" s="154" t="str">
        <f t="shared" si="21"/>
        <v>FOND PENSION - SERVICE</v>
      </c>
      <c r="N301" s="155">
        <f>+IF(OR($Q301=Parametres!$G$2,$Q301=Parametres!$G$3),I301,C301)</f>
        <v>0</v>
      </c>
      <c r="O301" s="155">
        <f>+IF(OR($Q301=Parametres!$G$2,$Q301=Parametres!$G$3),J301,D301)</f>
        <v>205.86</v>
      </c>
      <c r="P301" s="155">
        <f>+IF(OR($Q301=Parametres!$G$2,$Q301=Parametres!$G$3),K301,E301)</f>
        <v>205.86</v>
      </c>
      <c r="Q301" s="154" t="str">
        <f t="shared" si="22"/>
        <v>7-Dépenses</v>
      </c>
      <c r="R301" s="153" t="str">
        <f t="shared" si="23"/>
        <v>6133</v>
      </c>
      <c r="S301" s="154">
        <f t="shared" si="24"/>
        <v>0</v>
      </c>
      <c r="T301" s="156" t="str">
        <f>+VLOOKUP($L301,Data_Validation!$A:$D,1,0)</f>
        <v>6433</v>
      </c>
      <c r="U301" s="156" t="str">
        <f>+VLOOKUP($L301,Data_Validation!$A:$D,3,0)</f>
        <v>Service</v>
      </c>
      <c r="V301" s="156" t="str">
        <f>+VLOOKUP($L301,Data_Validation!$A:$D,4,0)</f>
        <v>Bénéfices marginaux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72" t="s">
        <v>1305</v>
      </c>
      <c r="B302" s="1072" t="s">
        <v>2742</v>
      </c>
      <c r="C302" s="1074">
        <v>0</v>
      </c>
      <c r="D302" s="1074">
        <v>4391.99</v>
      </c>
      <c r="E302" s="1074">
        <v>4391.99</v>
      </c>
      <c r="F302" s="1072" t="s">
        <v>401</v>
      </c>
      <c r="G302" s="1072" t="s">
        <v>2694</v>
      </c>
      <c r="H302" s="150"/>
      <c r="I302" s="151"/>
      <c r="J302" s="151"/>
      <c r="K302" s="151"/>
      <c r="L302" s="153" t="str">
        <f t="shared" si="20"/>
        <v>6439</v>
      </c>
      <c r="M302" s="154" t="str">
        <f t="shared" si="21"/>
        <v>ASSURANCE GROUPE</v>
      </c>
      <c r="N302" s="155">
        <f>+IF(OR($Q302=Parametres!$G$2,$Q302=Parametres!$G$3),I302,C302)</f>
        <v>0</v>
      </c>
      <c r="O302" s="155">
        <f>+IF(OR($Q302=Parametres!$G$2,$Q302=Parametres!$G$3),J302,D302)</f>
        <v>4391.99</v>
      </c>
      <c r="P302" s="155">
        <f>+IF(OR($Q302=Parametres!$G$2,$Q302=Parametres!$G$3),K302,E302)</f>
        <v>4391.99</v>
      </c>
      <c r="Q302" s="154" t="str">
        <f t="shared" si="22"/>
        <v>7-Dépenses</v>
      </c>
      <c r="R302" s="153" t="str">
        <f t="shared" si="23"/>
        <v>6139</v>
      </c>
      <c r="S302" s="154">
        <f t="shared" si="24"/>
        <v>0</v>
      </c>
      <c r="T302" s="156" t="str">
        <f>+VLOOKUP($L302,Data_Validation!$A:$D,1,0)</f>
        <v>6439</v>
      </c>
      <c r="U302" s="156" t="str">
        <f>+VLOOKUP($L302,Data_Validation!$A:$D,3,0)</f>
        <v>Service</v>
      </c>
      <c r="V302" s="156" t="str">
        <f>+VLOOKUP($L302,Data_Validation!$A:$D,4,0)</f>
        <v>Bénéfices marginaux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72" t="s">
        <v>1157</v>
      </c>
      <c r="B303" s="1072" t="s">
        <v>2655</v>
      </c>
      <c r="C303" s="1074">
        <v>0</v>
      </c>
      <c r="D303" s="1074">
        <v>2168.02</v>
      </c>
      <c r="E303" s="1074">
        <v>2168.02</v>
      </c>
      <c r="F303" s="1072" t="s">
        <v>401</v>
      </c>
      <c r="G303" s="1072" t="s">
        <v>2563</v>
      </c>
      <c r="H303" s="150"/>
      <c r="I303" s="157"/>
      <c r="J303" s="157"/>
      <c r="K303" s="157"/>
      <c r="L303" s="153" t="str">
        <f t="shared" si="20"/>
        <v>6442</v>
      </c>
      <c r="M303" s="154" t="str">
        <f t="shared" si="21"/>
        <v>FOURNITURES &amp; PETITS OUTILS</v>
      </c>
      <c r="N303" s="155">
        <f>+IF(OR($Q303=Parametres!$G$2,$Q303=Parametres!$G$3),I303,C303)</f>
        <v>0</v>
      </c>
      <c r="O303" s="155">
        <f>+IF(OR($Q303=Parametres!$G$2,$Q303=Parametres!$G$3),J303,D303)</f>
        <v>2168.02</v>
      </c>
      <c r="P303" s="155">
        <f>+IF(OR($Q303=Parametres!$G$2,$Q303=Parametres!$G$3),K303,E303)</f>
        <v>2168.02</v>
      </c>
      <c r="Q303" s="154" t="str">
        <f t="shared" si="22"/>
        <v>7-Dépenses</v>
      </c>
      <c r="R303" s="153" t="str">
        <f t="shared" si="23"/>
        <v>6142</v>
      </c>
      <c r="S303" s="154">
        <f t="shared" si="24"/>
        <v>0</v>
      </c>
      <c r="T303" s="156" t="str">
        <f>+VLOOKUP($L303,Data_Validation!$A:$D,1,0)</f>
        <v>6442</v>
      </c>
      <c r="U303" s="156" t="str">
        <f>+VLOOKUP($L303,Data_Validation!$A:$D,3,0)</f>
        <v>Service</v>
      </c>
      <c r="V303" s="156" t="str">
        <f>+VLOOKUP($L303,Data_Validation!$A:$D,4,0)</f>
        <v>Fournitures autres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72" t="s">
        <v>932</v>
      </c>
      <c r="B304" s="1072" t="s">
        <v>2158</v>
      </c>
      <c r="C304" s="1074">
        <v>0</v>
      </c>
      <c r="D304" s="1074">
        <v>509.73</v>
      </c>
      <c r="E304" s="1074">
        <v>509.73</v>
      </c>
      <c r="F304" s="1072" t="s">
        <v>401</v>
      </c>
      <c r="G304" s="1072" t="s">
        <v>2159</v>
      </c>
      <c r="H304" s="150"/>
      <c r="I304" s="157"/>
      <c r="J304" s="157"/>
      <c r="K304" s="157"/>
      <c r="L304" s="153" t="str">
        <f t="shared" si="20"/>
        <v>6443</v>
      </c>
      <c r="M304" s="154" t="str">
        <f t="shared" si="21"/>
        <v>UNIFORMES &amp; LESSIVE</v>
      </c>
      <c r="N304" s="155">
        <f>+IF(OR($Q304=Parametres!$G$2,$Q304=Parametres!$G$3),I304,C304)</f>
        <v>0</v>
      </c>
      <c r="O304" s="155">
        <f>+IF(OR($Q304=Parametres!$G$2,$Q304=Parametres!$G$3),J304,D304)</f>
        <v>509.73</v>
      </c>
      <c r="P304" s="155">
        <f>+IF(OR($Q304=Parametres!$G$2,$Q304=Parametres!$G$3),K304,E304)</f>
        <v>509.73</v>
      </c>
      <c r="Q304" s="154" t="str">
        <f t="shared" si="22"/>
        <v>7-Dépenses</v>
      </c>
      <c r="R304" s="153" t="str">
        <f t="shared" si="23"/>
        <v>6143</v>
      </c>
      <c r="S304" s="154">
        <f t="shared" si="24"/>
        <v>0</v>
      </c>
      <c r="T304" s="156" t="str">
        <f>+VLOOKUP($L304,Data_Validation!$A:$D,1,0)</f>
        <v>6443</v>
      </c>
      <c r="U304" s="156" t="str">
        <f>+VLOOKUP($L304,Data_Validation!$A:$D,3,0)</f>
        <v>Service</v>
      </c>
      <c r="V304" s="156" t="str">
        <f>+VLOOKUP($L304,Data_Validation!$A:$D,4,0)</f>
        <v>Uniformes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72" t="s">
        <v>934</v>
      </c>
      <c r="B305" s="1072" t="s">
        <v>2572</v>
      </c>
      <c r="C305" s="1074">
        <v>0</v>
      </c>
      <c r="D305" s="1074">
        <v>708.75</v>
      </c>
      <c r="E305" s="1074">
        <v>708.75</v>
      </c>
      <c r="F305" s="1072" t="s">
        <v>401</v>
      </c>
      <c r="G305" s="1072" t="s">
        <v>2561</v>
      </c>
      <c r="H305" s="150"/>
      <c r="I305" s="157"/>
      <c r="J305" s="157"/>
      <c r="K305" s="157"/>
      <c r="L305" s="153" t="str">
        <f t="shared" si="20"/>
        <v>6444</v>
      </c>
      <c r="M305" s="154" t="str">
        <f t="shared" si="21"/>
        <v>FORMATION</v>
      </c>
      <c r="N305" s="155">
        <f>+IF(OR($Q305=Parametres!$G$2,$Q305=Parametres!$G$3),I305,C305)</f>
        <v>0</v>
      </c>
      <c r="O305" s="155">
        <f>+IF(OR($Q305=Parametres!$G$2,$Q305=Parametres!$G$3),J305,D305)</f>
        <v>708.75</v>
      </c>
      <c r="P305" s="155">
        <f>+IF(OR($Q305=Parametres!$G$2,$Q305=Parametres!$G$3),K305,E305)</f>
        <v>708.75</v>
      </c>
      <c r="Q305" s="154" t="str">
        <f t="shared" si="22"/>
        <v>7-Dépenses</v>
      </c>
      <c r="R305" s="153" t="str">
        <f t="shared" si="23"/>
        <v>6144</v>
      </c>
      <c r="S305" s="154">
        <f t="shared" si="24"/>
        <v>0</v>
      </c>
      <c r="T305" s="156" t="str">
        <f>+VLOOKUP($L305,Data_Validation!$A:$D,1,0)</f>
        <v>6444</v>
      </c>
      <c r="U305" s="156" t="str">
        <f>+VLOOKUP($L305,Data_Validation!$A:$D,3,0)</f>
        <v>Service</v>
      </c>
      <c r="V305" s="156" t="str">
        <f>+VLOOKUP($L305,Data_Validation!$A:$D,4,0)</f>
        <v>Formation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72" t="s">
        <v>1527</v>
      </c>
      <c r="B306" s="1072" t="s">
        <v>2801</v>
      </c>
      <c r="C306" s="1074">
        <v>0</v>
      </c>
      <c r="D306" s="1074">
        <v>12067.73</v>
      </c>
      <c r="E306" s="1074">
        <v>12067.73</v>
      </c>
      <c r="F306" s="1072" t="s">
        <v>401</v>
      </c>
      <c r="G306" s="1072" t="s">
        <v>2632</v>
      </c>
      <c r="H306" s="150"/>
      <c r="I306" s="151"/>
      <c r="J306" s="151"/>
      <c r="K306" s="151"/>
      <c r="L306" s="153" t="str">
        <f t="shared" si="20"/>
        <v>6445</v>
      </c>
      <c r="M306" s="154" t="str">
        <f t="shared" si="21"/>
        <v>LOCATION COURTOISIE</v>
      </c>
      <c r="N306" s="155">
        <f>+IF(OR($Q306=Parametres!$G$2,$Q306=Parametres!$G$3),I306,C306)</f>
        <v>0</v>
      </c>
      <c r="O306" s="155">
        <f>+IF(OR($Q306=Parametres!$G$2,$Q306=Parametres!$G$3),J306,D306)</f>
        <v>12067.73</v>
      </c>
      <c r="P306" s="155">
        <f>+IF(OR($Q306=Parametres!$G$2,$Q306=Parametres!$G$3),K306,E306)</f>
        <v>12067.73</v>
      </c>
      <c r="Q306" s="154" t="str">
        <f t="shared" si="22"/>
        <v>7-Dépenses</v>
      </c>
      <c r="R306" s="153" t="str">
        <f t="shared" si="23"/>
        <v>6145</v>
      </c>
      <c r="S306" s="154">
        <f t="shared" si="24"/>
        <v>0</v>
      </c>
      <c r="T306" s="156" t="str">
        <f>+VLOOKUP($L306,Data_Validation!$A:$D,1,0)</f>
        <v>6445</v>
      </c>
      <c r="U306" s="156" t="str">
        <f>+VLOOKUP($L306,Data_Validation!$A:$D,3,0)</f>
        <v>Service</v>
      </c>
      <c r="V306" s="156" t="str">
        <f>+VLOOKUP($L306,Data_Validation!$A:$D,4,0)</f>
        <v>Frais véhicules de cie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72" t="s">
        <v>1180</v>
      </c>
      <c r="B307" s="1072" t="s">
        <v>2609</v>
      </c>
      <c r="C307" s="1074">
        <v>0</v>
      </c>
      <c r="D307" s="1074">
        <v>48.91</v>
      </c>
      <c r="E307" s="1074">
        <v>48.91</v>
      </c>
      <c r="F307" s="1072" t="s">
        <v>401</v>
      </c>
      <c r="G307" s="1072" t="s">
        <v>2581</v>
      </c>
      <c r="H307" s="1050"/>
      <c r="I307" s="1050"/>
      <c r="J307" s="1050"/>
      <c r="K307" s="1050"/>
      <c r="L307" s="153" t="str">
        <f t="shared" si="20"/>
        <v>6447</v>
      </c>
      <c r="M307" s="154" t="str">
        <f t="shared" si="21"/>
        <v>FRET/EXPRESS/TRANS. PAR CAMION</v>
      </c>
      <c r="N307" s="155">
        <f>+IF(OR($Q307=Parametres!$G$2,$Q307=Parametres!$G$3),I307,C307)</f>
        <v>0</v>
      </c>
      <c r="O307" s="155">
        <f>+IF(OR($Q307=Parametres!$G$2,$Q307=Parametres!$G$3),J307,D307)</f>
        <v>48.91</v>
      </c>
      <c r="P307" s="155">
        <f>+IF(OR($Q307=Parametres!$G$2,$Q307=Parametres!$G$3),K307,E307)</f>
        <v>48.91</v>
      </c>
      <c r="Q307" s="154" t="str">
        <f t="shared" si="22"/>
        <v>7-Dépenses</v>
      </c>
      <c r="R307" s="153" t="str">
        <f t="shared" si="23"/>
        <v>6147</v>
      </c>
      <c r="S307" s="154">
        <f t="shared" si="24"/>
        <v>0</v>
      </c>
      <c r="T307" s="156" t="str">
        <f>+VLOOKUP($L307,Data_Validation!$A:$D,1,0)</f>
        <v>6447</v>
      </c>
      <c r="U307" s="156" t="str">
        <f>+VLOOKUP($L307,Data_Validation!$A:$D,3,0)</f>
        <v>Service</v>
      </c>
      <c r="V307" s="156" t="str">
        <f>+VLOOKUP($L307,Data_Validation!$A:$D,4,0)</f>
        <v>Frais postaux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72" t="s">
        <v>1286</v>
      </c>
      <c r="B308" s="1072" t="s">
        <v>2745</v>
      </c>
      <c r="C308" s="1074">
        <v>0</v>
      </c>
      <c r="D308" s="1074">
        <v>3947.31</v>
      </c>
      <c r="E308" s="1074">
        <v>3947.31</v>
      </c>
      <c r="F308" s="1072" t="s">
        <v>401</v>
      </c>
      <c r="G308" s="1072" t="s">
        <v>2702</v>
      </c>
      <c r="H308" s="150"/>
      <c r="I308" s="157"/>
      <c r="J308" s="157"/>
      <c r="K308" s="157"/>
      <c r="L308" s="153" t="str">
        <f t="shared" si="20"/>
        <v>6451</v>
      </c>
      <c r="M308" s="154" t="str">
        <f t="shared" si="21"/>
        <v>DEP. DU TRAITEMENT DES DONNEES</v>
      </c>
      <c r="N308" s="155">
        <f>+IF(OR($Q308=Parametres!$G$2,$Q308=Parametres!$G$3),I308,C308)</f>
        <v>0</v>
      </c>
      <c r="O308" s="610">
        <f>+IF(OR($Q308=Parametres!$G$2,$Q308=Parametres!$G$3),J308,D308)</f>
        <v>3947.31</v>
      </c>
      <c r="P308" s="155">
        <f>+IF(OR($Q308=Parametres!$G$2,$Q308=Parametres!$G$3),K308,E308)</f>
        <v>3947.31</v>
      </c>
      <c r="Q308" s="154" t="str">
        <f t="shared" si="22"/>
        <v>7-Dépenses</v>
      </c>
      <c r="R308" s="153" t="str">
        <f t="shared" si="23"/>
        <v>6151</v>
      </c>
      <c r="S308" s="154">
        <f t="shared" si="24"/>
        <v>0</v>
      </c>
      <c r="T308" s="156" t="str">
        <f>+VLOOKUP($L308,Data_Validation!$A:$D,1,0)</f>
        <v>6451</v>
      </c>
      <c r="U308" s="156" t="str">
        <f>+VLOOKUP($L308,Data_Validation!$A:$D,3,0)</f>
        <v>Service</v>
      </c>
      <c r="V308" s="156" t="str">
        <f>+VLOOKUP($L308,Data_Validation!$A:$D,4,0)</f>
        <v>Informatique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72" t="s">
        <v>1206</v>
      </c>
      <c r="B309" s="1072" t="s">
        <v>2644</v>
      </c>
      <c r="C309" s="1074">
        <v>0</v>
      </c>
      <c r="D309" s="1074">
        <v>186.65</v>
      </c>
      <c r="E309" s="1074">
        <v>186.65</v>
      </c>
      <c r="F309" s="1072" t="s">
        <v>401</v>
      </c>
      <c r="G309" s="1072" t="s">
        <v>2588</v>
      </c>
      <c r="H309" s="1050"/>
      <c r="I309" s="1049"/>
      <c r="J309" s="1049"/>
      <c r="K309" s="1049"/>
      <c r="L309" s="153" t="str">
        <f t="shared" si="20"/>
        <v>6452</v>
      </c>
      <c r="M309" s="154" t="str">
        <f t="shared" si="21"/>
        <v>PAPETERIE</v>
      </c>
      <c r="N309" s="155">
        <f>+IF(OR($Q309=Parametres!$G$2,$Q309=Parametres!$G$3),I309,C309)</f>
        <v>0</v>
      </c>
      <c r="O309" s="608">
        <f>+IF(OR($Q309=Parametres!$G$2,$Q309=Parametres!$G$3),J309,D309)</f>
        <v>186.65</v>
      </c>
      <c r="P309" s="155">
        <f>+IF(OR($Q309=Parametres!$G$2,$Q309=Parametres!$G$3),K309,E309)</f>
        <v>186.65</v>
      </c>
      <c r="Q309" s="154" t="str">
        <f t="shared" si="22"/>
        <v>7-Dépenses</v>
      </c>
      <c r="R309" s="153" t="str">
        <f t="shared" si="23"/>
        <v>6152</v>
      </c>
      <c r="S309" s="154">
        <f t="shared" si="24"/>
        <v>0</v>
      </c>
      <c r="T309" s="156" t="str">
        <f>+VLOOKUP($L309,Data_Validation!$A:$D,1,0)</f>
        <v>6452</v>
      </c>
      <c r="U309" s="156" t="str">
        <f>+VLOOKUP($L309,Data_Validation!$A:$D,3,0)</f>
        <v>Service</v>
      </c>
      <c r="V309" s="156" t="str">
        <f>+VLOOKUP($L309,Data_Validation!$A:$D,4,0)</f>
        <v>Papeterie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72" t="s">
        <v>1154</v>
      </c>
      <c r="B310" s="1072" t="s">
        <v>2645</v>
      </c>
      <c r="C310" s="1074">
        <v>0</v>
      </c>
      <c r="D310" s="1074">
        <v>404.01</v>
      </c>
      <c r="E310" s="1074">
        <v>404.01</v>
      </c>
      <c r="F310" s="1072" t="s">
        <v>401</v>
      </c>
      <c r="G310" s="1072" t="s">
        <v>2592</v>
      </c>
      <c r="H310" s="150"/>
      <c r="I310" s="157"/>
      <c r="J310" s="157"/>
      <c r="K310" s="157"/>
      <c r="L310" s="153" t="str">
        <f t="shared" si="20"/>
        <v>6453</v>
      </c>
      <c r="M310" s="154" t="str">
        <f t="shared" si="21"/>
        <v>TELEPHONE ET TELEX</v>
      </c>
      <c r="N310" s="155">
        <f>+IF(OR($Q310=Parametres!$G$2,$Q310=Parametres!$G$3),I310,C310)</f>
        <v>0</v>
      </c>
      <c r="O310" s="155">
        <f>+IF(OR($Q310=Parametres!$G$2,$Q310=Parametres!$G$3),J310,D310)</f>
        <v>404.01</v>
      </c>
      <c r="P310" s="155">
        <f>+IF(OR($Q310=Parametres!$G$2,$Q310=Parametres!$G$3),K310,E310)</f>
        <v>404.01</v>
      </c>
      <c r="Q310" s="154" t="str">
        <f t="shared" si="22"/>
        <v>7-Dépenses</v>
      </c>
      <c r="R310" s="153" t="str">
        <f t="shared" si="23"/>
        <v>6153</v>
      </c>
      <c r="S310" s="154">
        <f t="shared" si="24"/>
        <v>0</v>
      </c>
      <c r="T310" s="156" t="str">
        <f>+VLOOKUP($L310,Data_Validation!$A:$D,1,0)</f>
        <v>6453</v>
      </c>
      <c r="U310" s="156" t="str">
        <f>+VLOOKUP($L310,Data_Validation!$A:$D,3,0)</f>
        <v>Service</v>
      </c>
      <c r="V310" s="156" t="str">
        <f>+VLOOKUP($L310,Data_Validation!$A:$D,4,0)</f>
        <v>Téléphone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72" t="s">
        <v>1237</v>
      </c>
      <c r="B311" s="1072" t="s">
        <v>2700</v>
      </c>
      <c r="C311" s="1074">
        <v>0</v>
      </c>
      <c r="D311" s="1074">
        <v>189.22</v>
      </c>
      <c r="E311" s="1074">
        <v>189.22</v>
      </c>
      <c r="F311" s="1072" t="s">
        <v>401</v>
      </c>
      <c r="G311" s="1072" t="s">
        <v>2637</v>
      </c>
      <c r="H311" s="150"/>
      <c r="I311" s="157"/>
      <c r="J311" s="157"/>
      <c r="K311" s="157"/>
      <c r="L311" s="153" t="str">
        <f t="shared" si="20"/>
        <v>6455</v>
      </c>
      <c r="M311" s="154" t="str">
        <f t="shared" si="21"/>
        <v>DEPENSES DIVERS</v>
      </c>
      <c r="N311" s="155">
        <f>+IF(OR($Q311=Parametres!$G$2,$Q311=Parametres!$G$3),I311,C311)</f>
        <v>0</v>
      </c>
      <c r="O311" s="155">
        <f>+IF(OR($Q311=Parametres!$G$2,$Q311=Parametres!$G$3),J311,D311)</f>
        <v>189.22</v>
      </c>
      <c r="P311" s="155">
        <f>+IF(OR($Q311=Parametres!$G$2,$Q311=Parametres!$G$3),K311,E311)</f>
        <v>189.22</v>
      </c>
      <c r="Q311" s="154" t="str">
        <f t="shared" si="22"/>
        <v>7-Dépenses</v>
      </c>
      <c r="R311" s="153" t="str">
        <f t="shared" si="23"/>
        <v>6155</v>
      </c>
      <c r="S311" s="154">
        <f t="shared" si="24"/>
        <v>0</v>
      </c>
      <c r="T311" s="156" t="str">
        <f>+VLOOKUP($L311,Data_Validation!$A:$D,1,0)</f>
        <v>6455</v>
      </c>
      <c r="U311" s="156" t="str">
        <f>+VLOOKUP($L311,Data_Validation!$A:$D,3,0)</f>
        <v>Service</v>
      </c>
      <c r="V311" s="156" t="str">
        <f>+VLOOKUP($L311,Data_Validation!$A:$D,4,0)</f>
        <v>Divers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72" t="s">
        <v>1292</v>
      </c>
      <c r="B312" s="1072" t="s">
        <v>2656</v>
      </c>
      <c r="C312" s="1074">
        <v>0</v>
      </c>
      <c r="D312" s="1074">
        <v>46.51</v>
      </c>
      <c r="E312" s="1074">
        <v>46.51</v>
      </c>
      <c r="F312" s="1072" t="s">
        <v>401</v>
      </c>
      <c r="G312" s="1072" t="s">
        <v>2470</v>
      </c>
      <c r="H312" s="150"/>
      <c r="I312" s="151"/>
      <c r="J312" s="151"/>
      <c r="K312" s="151"/>
      <c r="L312" s="153" t="str">
        <f t="shared" si="20"/>
        <v>6456</v>
      </c>
      <c r="M312" s="154" t="str">
        <f t="shared" si="21"/>
        <v>FRAIS REPRESENTATION - SERVICE</v>
      </c>
      <c r="N312" s="155">
        <f>+IF(OR($Q312=Parametres!$G$2,$Q312=Parametres!$G$3),I312,C312)</f>
        <v>0</v>
      </c>
      <c r="O312" s="155">
        <f>+IF(OR($Q312=Parametres!$G$2,$Q312=Parametres!$G$3),J312,D312)</f>
        <v>46.51</v>
      </c>
      <c r="P312" s="155">
        <f>+IF(OR($Q312=Parametres!$G$2,$Q312=Parametres!$G$3),K312,E312)</f>
        <v>46.51</v>
      </c>
      <c r="Q312" s="154" t="str">
        <f t="shared" si="22"/>
        <v>7-Dépenses</v>
      </c>
      <c r="R312" s="153" t="str">
        <f t="shared" si="23"/>
        <v>6156</v>
      </c>
      <c r="S312" s="154">
        <f t="shared" si="24"/>
        <v>0</v>
      </c>
      <c r="T312" s="156" t="str">
        <f>+VLOOKUP($L312,Data_Validation!$A:$D,1,0)</f>
        <v>6456</v>
      </c>
      <c r="U312" s="156" t="str">
        <f>+VLOOKUP($L312,Data_Validation!$A:$D,3,0)</f>
        <v>Service</v>
      </c>
      <c r="V312" s="156" t="str">
        <f>+VLOOKUP($L312,Data_Validation!$A:$D,4,0)</f>
        <v>Frais de déplacement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072" t="s">
        <v>1308</v>
      </c>
      <c r="B313" s="1072" t="s">
        <v>2736</v>
      </c>
      <c r="C313" s="1074">
        <v>0</v>
      </c>
      <c r="D313" s="1074">
        <v>1597.88</v>
      </c>
      <c r="E313" s="1074">
        <v>1597.88</v>
      </c>
      <c r="F313" s="1072" t="s">
        <v>401</v>
      </c>
      <c r="G313" s="1072" t="s">
        <v>2662</v>
      </c>
      <c r="H313" s="150"/>
      <c r="I313" s="152"/>
      <c r="J313" s="152"/>
      <c r="K313" s="152"/>
      <c r="L313" s="153" t="str">
        <f t="shared" si="20"/>
        <v>6459</v>
      </c>
      <c r="M313" s="154" t="str">
        <f t="shared" si="21"/>
        <v>SERVICE EXTERIEUR</v>
      </c>
      <c r="N313" s="155">
        <f>+IF(OR($Q313=Parametres!$G$2,$Q313=Parametres!$G$3),I313,C313)</f>
        <v>0</v>
      </c>
      <c r="O313" s="155">
        <f>+IF(OR($Q313=Parametres!$G$2,$Q313=Parametres!$G$3),J313,D313)</f>
        <v>1597.88</v>
      </c>
      <c r="P313" s="155">
        <f>+IF(OR($Q313=Parametres!$G$2,$Q313=Parametres!$G$3),K313,E313)</f>
        <v>1597.88</v>
      </c>
      <c r="Q313" s="154" t="str">
        <f t="shared" si="22"/>
        <v>7-Dépenses</v>
      </c>
      <c r="R313" s="153" t="str">
        <f t="shared" si="23"/>
        <v>6159</v>
      </c>
      <c r="S313" s="154">
        <f t="shared" si="24"/>
        <v>0</v>
      </c>
      <c r="T313" s="156" t="str">
        <f>+VLOOKUP($L313,Data_Validation!$A:$D,1,0)</f>
        <v>6459</v>
      </c>
      <c r="U313" s="156" t="str">
        <f>+VLOOKUP($L313,Data_Validation!$A:$D,3,0)</f>
        <v>Service</v>
      </c>
      <c r="V313" s="156" t="str">
        <f>+VLOOKUP($L313,Data_Validation!$A:$D,4,0)</f>
        <v>Services extérieurs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72" t="s">
        <v>1333</v>
      </c>
      <c r="B314" s="1072" t="s">
        <v>2716</v>
      </c>
      <c r="C314" s="1074">
        <v>0</v>
      </c>
      <c r="D314" s="1074">
        <v>2200.08</v>
      </c>
      <c r="E314" s="1074">
        <v>2200.08</v>
      </c>
      <c r="F314" s="1072" t="s">
        <v>401</v>
      </c>
      <c r="G314" s="1072" t="s">
        <v>2653</v>
      </c>
      <c r="H314" s="150"/>
      <c r="I314" s="157"/>
      <c r="J314" s="157"/>
      <c r="K314" s="157"/>
      <c r="L314" s="153" t="str">
        <f t="shared" si="20"/>
        <v>6461</v>
      </c>
      <c r="M314" s="154" t="str">
        <f t="shared" si="21"/>
        <v>DEPRECIATION EQUIP. &amp; FIXTURES</v>
      </c>
      <c r="N314" s="155">
        <f>+IF(OR($Q314=Parametres!$G$2,$Q314=Parametres!$G$3),I314,C314)</f>
        <v>0</v>
      </c>
      <c r="O314" s="155">
        <f>+IF(OR($Q314=Parametres!$G$2,$Q314=Parametres!$G$3),J314,D314)</f>
        <v>2200.08</v>
      </c>
      <c r="P314" s="155">
        <f>+IF(OR($Q314=Parametres!$G$2,$Q314=Parametres!$G$3),K314,E314)</f>
        <v>2200.08</v>
      </c>
      <c r="Q314" s="154" t="str">
        <f t="shared" si="22"/>
        <v>7-Dépenses</v>
      </c>
      <c r="R314" s="153" t="str">
        <f t="shared" si="23"/>
        <v>6161</v>
      </c>
      <c r="S314" s="154">
        <f t="shared" si="24"/>
        <v>0</v>
      </c>
      <c r="T314" s="156" t="str">
        <f>+VLOOKUP($L314,Data_Validation!$A:$D,1,0)</f>
        <v>6461</v>
      </c>
      <c r="U314" s="156" t="str">
        <f>+VLOOKUP($L314,Data_Validation!$A:$D,3,0)</f>
        <v>Service</v>
      </c>
      <c r="V314" s="156" t="str">
        <f>+VLOOKUP($L314,Data_Validation!$A:$D,4,0)</f>
        <v>Amortissement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72" t="s">
        <v>1168</v>
      </c>
      <c r="B315" s="1072" t="s">
        <v>2638</v>
      </c>
      <c r="C315" s="1074">
        <v>0</v>
      </c>
      <c r="D315" s="1074">
        <v>2107.14</v>
      </c>
      <c r="E315" s="1074">
        <v>2107.14</v>
      </c>
      <c r="F315" s="1072" t="s">
        <v>401</v>
      </c>
      <c r="G315" s="1072" t="s">
        <v>2639</v>
      </c>
      <c r="H315" s="150"/>
      <c r="I315" s="157"/>
      <c r="J315" s="157"/>
      <c r="K315" s="157"/>
      <c r="L315" s="153" t="str">
        <f t="shared" si="20"/>
        <v>6463</v>
      </c>
      <c r="M315" s="154" t="str">
        <f t="shared" si="21"/>
        <v>REPARATION &amp; ENT. - EQUIP.</v>
      </c>
      <c r="N315" s="155">
        <f>+IF(OR($Q315=Parametres!$G$2,$Q315=Parametres!$G$3),I315,C315)</f>
        <v>0</v>
      </c>
      <c r="O315" s="155">
        <f>+IF(OR($Q315=Parametres!$G$2,$Q315=Parametres!$G$3),J315,D315)</f>
        <v>2107.14</v>
      </c>
      <c r="P315" s="155">
        <f>+IF(OR($Q315=Parametres!$G$2,$Q315=Parametres!$G$3),K315,E315)</f>
        <v>2107.14</v>
      </c>
      <c r="Q315" s="154" t="str">
        <f t="shared" si="22"/>
        <v>7-Dépenses</v>
      </c>
      <c r="R315" s="153" t="str">
        <f t="shared" si="23"/>
        <v>6163</v>
      </c>
      <c r="S315" s="154">
        <f t="shared" si="24"/>
        <v>0</v>
      </c>
      <c r="T315" s="156" t="str">
        <f>+VLOOKUP($L315,Data_Validation!$A:$D,1,0)</f>
        <v>6463</v>
      </c>
      <c r="U315" s="156" t="str">
        <f>+VLOOKUP($L315,Data_Validation!$A:$D,3,0)</f>
        <v>Service</v>
      </c>
      <c r="V315" s="156" t="str">
        <f>+VLOOKUP($L315,Data_Validation!$A:$D,4,0)</f>
        <v>Réparation équipement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72" t="s">
        <v>1311</v>
      </c>
      <c r="B316" s="1072" t="s">
        <v>2670</v>
      </c>
      <c r="C316" s="1074">
        <v>0</v>
      </c>
      <c r="D316" s="1074">
        <v>406.98</v>
      </c>
      <c r="E316" s="1074">
        <v>406.98</v>
      </c>
      <c r="F316" s="1072" t="s">
        <v>401</v>
      </c>
      <c r="G316" s="1072" t="s">
        <v>2604</v>
      </c>
      <c r="H316" s="150"/>
      <c r="I316" s="151"/>
      <c r="J316" s="151"/>
      <c r="K316" s="151"/>
      <c r="L316" s="153" t="str">
        <f t="shared" si="20"/>
        <v>6481</v>
      </c>
      <c r="M316" s="154" t="str">
        <f t="shared" si="21"/>
        <v>CHAUFFAGE,ELECTRICITE,EAU-SERVICE</v>
      </c>
      <c r="N316" s="155">
        <f>+IF(OR($Q316=Parametres!$G$2,$Q316=Parametres!$G$3),I316,C316)</f>
        <v>0</v>
      </c>
      <c r="O316" s="155">
        <f>+IF(OR($Q316=Parametres!$G$2,$Q316=Parametres!$G$3),J316,D316)</f>
        <v>406.98</v>
      </c>
      <c r="P316" s="155">
        <f>+IF(OR($Q316=Parametres!$G$2,$Q316=Parametres!$G$3),K316,E316)</f>
        <v>406.98</v>
      </c>
      <c r="Q316" s="154" t="str">
        <f t="shared" si="22"/>
        <v>7-Dépenses</v>
      </c>
      <c r="R316" s="153" t="str">
        <f t="shared" si="23"/>
        <v>6181</v>
      </c>
      <c r="S316" s="154">
        <f t="shared" si="24"/>
        <v>0</v>
      </c>
      <c r="T316" s="156" t="str">
        <f>+VLOOKUP($L316,Data_Validation!$A:$D,1,0)</f>
        <v>6481</v>
      </c>
      <c r="U316" s="156" t="str">
        <f>+VLOOKUP($L316,Data_Validation!$A:$D,3,0)</f>
        <v>Service</v>
      </c>
      <c r="V316" s="156" t="str">
        <f>+VLOOKUP($L316,Data_Validation!$A:$D,4,0)</f>
        <v>Chauffage, éclairage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72" t="s">
        <v>1452</v>
      </c>
      <c r="B317" s="1072" t="s">
        <v>2756</v>
      </c>
      <c r="C317" s="1074">
        <v>0</v>
      </c>
      <c r="D317" s="1074">
        <v>6240</v>
      </c>
      <c r="E317" s="1074">
        <v>6240</v>
      </c>
      <c r="F317" s="1072" t="s">
        <v>401</v>
      </c>
      <c r="G317" s="1072" t="s">
        <v>2709</v>
      </c>
      <c r="H317" s="150"/>
      <c r="I317" s="157"/>
      <c r="J317" s="157"/>
      <c r="K317" s="157"/>
      <c r="L317" s="153" t="str">
        <f t="shared" si="20"/>
        <v>6482</v>
      </c>
      <c r="M317" s="154" t="str">
        <f t="shared" si="21"/>
        <v>LOYER - SERVICE</v>
      </c>
      <c r="N317" s="155">
        <f>+IF(OR($Q317=Parametres!$G$2,$Q317=Parametres!$G$3),I317,C317)</f>
        <v>0</v>
      </c>
      <c r="O317" s="155">
        <f>+IF(OR($Q317=Parametres!$G$2,$Q317=Parametres!$G$3),J317,D317)</f>
        <v>6240</v>
      </c>
      <c r="P317" s="155">
        <f>+IF(OR($Q317=Parametres!$G$2,$Q317=Parametres!$G$3),K317,E317)</f>
        <v>6240</v>
      </c>
      <c r="Q317" s="154" t="str">
        <f t="shared" si="22"/>
        <v>7-Dépenses</v>
      </c>
      <c r="R317" s="153" t="str">
        <f t="shared" si="23"/>
        <v>6182</v>
      </c>
      <c r="S317" s="154">
        <f t="shared" si="24"/>
        <v>0</v>
      </c>
      <c r="T317" s="156" t="str">
        <f>+VLOOKUP($L317,Data_Validation!$A:$D,1,0)</f>
        <v>6482</v>
      </c>
      <c r="U317" s="156" t="str">
        <f>+VLOOKUP($L317,Data_Validation!$A:$D,3,0)</f>
        <v>Service</v>
      </c>
      <c r="V317" s="156" t="str">
        <f>+VLOOKUP($L317,Data_Validation!$A:$D,4,0)</f>
        <v>Loyer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72" t="s">
        <v>1347</v>
      </c>
      <c r="B318" s="1072" t="s">
        <v>2657</v>
      </c>
      <c r="C318" s="1074">
        <v>0</v>
      </c>
      <c r="D318" s="1074">
        <v>889.95</v>
      </c>
      <c r="E318" s="1074">
        <v>889.95</v>
      </c>
      <c r="F318" s="1072" t="s">
        <v>401</v>
      </c>
      <c r="G318" s="1072" t="s">
        <v>2594</v>
      </c>
      <c r="H318" s="150"/>
      <c r="I318" s="151"/>
      <c r="J318" s="151"/>
      <c r="K318" s="151"/>
      <c r="L318" s="153" t="str">
        <f t="shared" si="20"/>
        <v>6486</v>
      </c>
      <c r="M318" s="154" t="str">
        <f t="shared" si="21"/>
        <v>ASSURANCE BATISSE &amp; AMEL.-SERVICE</v>
      </c>
      <c r="N318" s="155">
        <f>+IF(OR($Q318=Parametres!$G$2,$Q318=Parametres!$G$3),I318,C318)</f>
        <v>0</v>
      </c>
      <c r="O318" s="155">
        <f>+IF(OR($Q318=Parametres!$G$2,$Q318=Parametres!$G$3),J318,D318)</f>
        <v>889.95</v>
      </c>
      <c r="P318" s="155">
        <f>+IF(OR($Q318=Parametres!$G$2,$Q318=Parametres!$G$3),K318,E318)</f>
        <v>889.95</v>
      </c>
      <c r="Q318" s="154" t="str">
        <f t="shared" si="22"/>
        <v>7-Dépenses</v>
      </c>
      <c r="R318" s="153" t="str">
        <f t="shared" si="23"/>
        <v>6186</v>
      </c>
      <c r="S318" s="154">
        <f t="shared" si="24"/>
        <v>0</v>
      </c>
      <c r="T318" s="156" t="str">
        <f>+VLOOKUP($L318,Data_Validation!$A:$D,1,0)</f>
        <v>6486</v>
      </c>
      <c r="U318" s="156" t="str">
        <f>+VLOOKUP($L318,Data_Validation!$A:$D,3,0)</f>
        <v>Service</v>
      </c>
      <c r="V318" s="156" t="str">
        <f>+VLOOKUP($L318,Data_Validation!$A:$D,4,0)</f>
        <v>Assurances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72" t="s">
        <v>1340</v>
      </c>
      <c r="B319" s="1072" t="s">
        <v>2681</v>
      </c>
      <c r="C319" s="1074">
        <v>0</v>
      </c>
      <c r="D319" s="1074">
        <v>1154.4000000000001</v>
      </c>
      <c r="E319" s="1074">
        <v>1154.4000000000001</v>
      </c>
      <c r="F319" s="1072" t="s">
        <v>401</v>
      </c>
      <c r="G319" s="1072" t="s">
        <v>2614</v>
      </c>
      <c r="H319" s="150"/>
      <c r="I319" s="157"/>
      <c r="J319" s="157"/>
      <c r="K319" s="157"/>
      <c r="L319" s="153" t="str">
        <f t="shared" si="20"/>
        <v>6487</v>
      </c>
      <c r="M319" s="154" t="str">
        <f t="shared" si="21"/>
        <v>TAXES FONCIERES - SERVICE</v>
      </c>
      <c r="N319" s="155">
        <f>+IF(OR($Q319=Parametres!$G$2,$Q319=Parametres!$G$3),I319,C319)</f>
        <v>0</v>
      </c>
      <c r="O319" s="155">
        <f>+IF(OR($Q319=Parametres!$G$2,$Q319=Parametres!$G$3),J319,D319)</f>
        <v>1154.4000000000001</v>
      </c>
      <c r="P319" s="155">
        <f>+IF(OR($Q319=Parametres!$G$2,$Q319=Parametres!$G$3),K319,E319)</f>
        <v>1154.4000000000001</v>
      </c>
      <c r="Q319" s="154" t="str">
        <f t="shared" si="22"/>
        <v>7-Dépenses</v>
      </c>
      <c r="R319" s="153" t="str">
        <f t="shared" si="23"/>
        <v>6187</v>
      </c>
      <c r="S319" s="154">
        <f t="shared" si="24"/>
        <v>0</v>
      </c>
      <c r="T319" s="156" t="str">
        <f>+VLOOKUP($L319,Data_Validation!$A:$D,1,0)</f>
        <v>6487</v>
      </c>
      <c r="U319" s="156" t="str">
        <f>+VLOOKUP($L319,Data_Validation!$A:$D,3,0)</f>
        <v>Service</v>
      </c>
      <c r="V319" s="156" t="str">
        <f>+VLOOKUP($L319,Data_Validation!$A:$D,4,0)</f>
        <v>Taxes foncières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72" t="s">
        <v>1274</v>
      </c>
      <c r="B320" s="1072" t="s">
        <v>2663</v>
      </c>
      <c r="C320" s="1074">
        <v>0</v>
      </c>
      <c r="D320" s="1074">
        <v>768</v>
      </c>
      <c r="E320" s="1074">
        <v>768</v>
      </c>
      <c r="F320" s="1072" t="s">
        <v>401</v>
      </c>
      <c r="G320" s="1072" t="s">
        <v>2597</v>
      </c>
      <c r="H320" s="150"/>
      <c r="I320" s="151"/>
      <c r="J320" s="151"/>
      <c r="K320" s="151"/>
      <c r="L320" s="153" t="str">
        <f t="shared" si="20"/>
        <v>6493</v>
      </c>
      <c r="M320" s="154" t="str">
        <f t="shared" si="21"/>
        <v>AUTRE TAXES-SERVICE</v>
      </c>
      <c r="N320" s="155">
        <f>+IF(OR($Q320=Parametres!$G$2,$Q320=Parametres!$G$3),I320,C320)</f>
        <v>0</v>
      </c>
      <c r="O320" s="155">
        <f>+IF(OR($Q320=Parametres!$G$2,$Q320=Parametres!$G$3),J320,D320)</f>
        <v>768</v>
      </c>
      <c r="P320" s="155">
        <f>+IF(OR($Q320=Parametres!$G$2,$Q320=Parametres!$G$3),K320,E320)</f>
        <v>768</v>
      </c>
      <c r="Q320" s="154" t="str">
        <f t="shared" si="22"/>
        <v>7-Dépenses</v>
      </c>
      <c r="R320" s="153" t="str">
        <f t="shared" si="23"/>
        <v>6193</v>
      </c>
      <c r="S320" s="154">
        <f t="shared" si="24"/>
        <v>0</v>
      </c>
      <c r="T320" s="156" t="str">
        <f>+VLOOKUP($L320,Data_Validation!$A:$D,1,0)</f>
        <v>6493</v>
      </c>
      <c r="U320" s="156" t="str">
        <f>+VLOOKUP($L320,Data_Validation!$A:$D,3,0)</f>
        <v>Service</v>
      </c>
      <c r="V320" s="156" t="str">
        <f>+VLOOKUP($L320,Data_Validation!$A:$D,4,0)</f>
        <v>Taxes d`affaires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72" t="s">
        <v>1367</v>
      </c>
      <c r="B321" s="1072" t="s">
        <v>2699</v>
      </c>
      <c r="C321" s="1074">
        <v>0</v>
      </c>
      <c r="D321" s="1074">
        <v>1492.1</v>
      </c>
      <c r="E321" s="1074">
        <v>1492.1</v>
      </c>
      <c r="F321" s="1072" t="s">
        <v>401</v>
      </c>
      <c r="G321" s="1072" t="s">
        <v>2635</v>
      </c>
      <c r="H321" s="150"/>
      <c r="I321" s="152"/>
      <c r="J321" s="152"/>
      <c r="K321" s="152"/>
      <c r="L321" s="153" t="str">
        <f t="shared" si="20"/>
        <v>6494</v>
      </c>
      <c r="M321" s="154" t="str">
        <f t="shared" si="21"/>
        <v>FRAIS PROFESSIONNEL-SERVICE</v>
      </c>
      <c r="N321" s="155">
        <f>+IF(OR($Q321=Parametres!$G$2,$Q321=Parametres!$G$3),I321,C321)</f>
        <v>0</v>
      </c>
      <c r="O321" s="155">
        <f>+IF(OR($Q321=Parametres!$G$2,$Q321=Parametres!$G$3),J321,D321)</f>
        <v>1492.1</v>
      </c>
      <c r="P321" s="155">
        <f>+IF(OR($Q321=Parametres!$G$2,$Q321=Parametres!$G$3),K321,E321)</f>
        <v>1492.1</v>
      </c>
      <c r="Q321" s="154" t="str">
        <f t="shared" si="22"/>
        <v>7-Dépenses</v>
      </c>
      <c r="R321" s="153" t="str">
        <f t="shared" si="23"/>
        <v>6194</v>
      </c>
      <c r="S321" s="154">
        <f t="shared" si="24"/>
        <v>0</v>
      </c>
      <c r="T321" s="156" t="str">
        <f>+VLOOKUP($L321,Data_Validation!$A:$D,1,0)</f>
        <v>6494</v>
      </c>
      <c r="U321" s="156" t="str">
        <f>+VLOOKUP($L321,Data_Validation!$A:$D,3,0)</f>
        <v>Service</v>
      </c>
      <c r="V321" s="156" t="str">
        <f>+VLOOKUP($L321,Data_Validation!$A:$D,4,0)</f>
        <v>Honoraires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72" t="s">
        <v>399</v>
      </c>
      <c r="B322" s="1072" t="s">
        <v>2627</v>
      </c>
      <c r="C322" s="1074">
        <v>0</v>
      </c>
      <c r="D322" s="1074">
        <v>12.15</v>
      </c>
      <c r="E322" s="1074">
        <v>12.15</v>
      </c>
      <c r="F322" s="1072" t="s">
        <v>401</v>
      </c>
      <c r="G322" s="1072" t="s">
        <v>2467</v>
      </c>
      <c r="H322" s="150"/>
      <c r="I322" s="157"/>
      <c r="J322" s="157"/>
      <c r="K322" s="157"/>
      <c r="L322" s="153" t="str">
        <f t="shared" ref="L322:L385" si="25">+B322</f>
        <v>6503</v>
      </c>
      <c r="M322" s="154" t="str">
        <f t="shared" ref="M322:M385" si="26">+A322</f>
        <v>RELAT. A LA CLIENTELE &amp; AJUST.</v>
      </c>
      <c r="N322" s="155">
        <f>+IF(OR($Q322=Parametres!$G$2,$Q322=Parametres!$G$3),I322,C322)</f>
        <v>0</v>
      </c>
      <c r="O322" s="155">
        <f>+IF(OR($Q322=Parametres!$G$2,$Q322=Parametres!$G$3),J322,D322)</f>
        <v>12.15</v>
      </c>
      <c r="P322" s="155">
        <f>+IF(OR($Q322=Parametres!$G$2,$Q322=Parametres!$G$3),K322,E322)</f>
        <v>12.15</v>
      </c>
      <c r="Q322" s="154" t="str">
        <f t="shared" ref="Q322:Q385" si="27">+F322</f>
        <v>7-Dépenses</v>
      </c>
      <c r="R322" s="153" t="str">
        <f t="shared" ref="R322:R385" si="28">+G322</f>
        <v>6112</v>
      </c>
      <c r="S322" s="154">
        <f t="shared" ref="S322:S385" si="29">+H322</f>
        <v>0</v>
      </c>
      <c r="T322" s="156" t="str">
        <f>+VLOOKUP($L322,Data_Validation!$A:$D,1,0)</f>
        <v>6503</v>
      </c>
      <c r="U322" s="156" t="str">
        <f>+VLOOKUP($L322,Data_Validation!$A:$D,3,0)</f>
        <v>Carrosserie</v>
      </c>
      <c r="V322" s="156" t="str">
        <f>+VLOOKUP($L322,Data_Validation!$A:$D,4,0)</f>
        <v>Service gratuit 2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72" t="s">
        <v>1374</v>
      </c>
      <c r="B323" s="1072" t="s">
        <v>2559</v>
      </c>
      <c r="C323" s="1074">
        <v>0</v>
      </c>
      <c r="D323" s="1074">
        <v>100.08</v>
      </c>
      <c r="E323" s="1074">
        <v>100.08</v>
      </c>
      <c r="F323" s="1072" t="s">
        <v>401</v>
      </c>
      <c r="G323" s="1072" t="s">
        <v>2113</v>
      </c>
      <c r="H323" s="150"/>
      <c r="I323" s="151"/>
      <c r="J323" s="151"/>
      <c r="K323" s="151"/>
      <c r="L323" s="153" t="str">
        <f t="shared" si="25"/>
        <v>6514</v>
      </c>
      <c r="M323" s="154" t="str">
        <f t="shared" si="26"/>
        <v>PUBLICITE</v>
      </c>
      <c r="N323" s="155">
        <f>+IF(OR($Q323=Parametres!$G$2,$Q323=Parametres!$G$3),I323,C323)</f>
        <v>0</v>
      </c>
      <c r="O323" s="155">
        <f>+IF(OR($Q323=Parametres!$G$2,$Q323=Parametres!$G$3),J323,D323)</f>
        <v>100.08</v>
      </c>
      <c r="P323" s="155">
        <f>+IF(OR($Q323=Parametres!$G$2,$Q323=Parametres!$G$3),K323,E323)</f>
        <v>100.08</v>
      </c>
      <c r="Q323" s="154" t="str">
        <f t="shared" si="27"/>
        <v>7-Dépenses</v>
      </c>
      <c r="R323" s="153" t="str">
        <f t="shared" si="28"/>
        <v>6114</v>
      </c>
      <c r="S323" s="154">
        <f t="shared" si="29"/>
        <v>0</v>
      </c>
      <c r="T323" s="156" t="str">
        <f>+VLOOKUP($L323,Data_Validation!$A:$D,1,0)</f>
        <v>6514</v>
      </c>
      <c r="U323" s="156" t="str">
        <f>+VLOOKUP($L323,Data_Validation!$A:$D,3,0)</f>
        <v>Carrosserie</v>
      </c>
      <c r="V323" s="156" t="str">
        <f>+VLOOKUP($L323,Data_Validation!$A:$D,4,0)</f>
        <v>Publicité 2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72" t="s">
        <v>1259</v>
      </c>
      <c r="B324" s="1072" t="s">
        <v>2647</v>
      </c>
      <c r="C324" s="1074">
        <v>0</v>
      </c>
      <c r="D324" s="1074">
        <v>204.17</v>
      </c>
      <c r="E324" s="1074">
        <v>204.17</v>
      </c>
      <c r="F324" s="1072" t="s">
        <v>401</v>
      </c>
      <c r="G324" s="1072" t="s">
        <v>2648</v>
      </c>
      <c r="H324" s="150"/>
      <c r="I324" s="157"/>
      <c r="J324" s="157"/>
      <c r="K324" s="157"/>
      <c r="L324" s="153" t="str">
        <f t="shared" si="25"/>
        <v>6521</v>
      </c>
      <c r="M324" s="154" t="str">
        <f t="shared" si="26"/>
        <v>SALAIRES - PROPRIETAIRES</v>
      </c>
      <c r="N324" s="155">
        <f>+IF(OR($Q324=Parametres!$G$2,$Q324=Parametres!$G$3),I324,C324)</f>
        <v>0</v>
      </c>
      <c r="O324" s="155">
        <f>+IF(OR($Q324=Parametres!$G$2,$Q324=Parametres!$G$3),J324,D324)</f>
        <v>204.17</v>
      </c>
      <c r="P324" s="155">
        <f>+IF(OR($Q324=Parametres!$G$2,$Q324=Parametres!$G$3),K324,E324)</f>
        <v>204.17</v>
      </c>
      <c r="Q324" s="154" t="str">
        <f t="shared" si="27"/>
        <v>7-Dépenses</v>
      </c>
      <c r="R324" s="153" t="str">
        <f t="shared" si="28"/>
        <v>6121</v>
      </c>
      <c r="S324" s="154">
        <f t="shared" si="29"/>
        <v>0</v>
      </c>
      <c r="T324" s="156" t="str">
        <f>+VLOOKUP($L324,Data_Validation!$A:$D,1,0)</f>
        <v>6521</v>
      </c>
      <c r="U324" s="156" t="str">
        <f>+VLOOKUP($L324,Data_Validation!$A:$D,3,0)</f>
        <v>Carrosserie</v>
      </c>
      <c r="V324" s="156" t="str">
        <f>+VLOOKUP($L324,Data_Validation!$A:$D,4,0)</f>
        <v>Salaires propriétaire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72" t="s">
        <v>2624</v>
      </c>
      <c r="B325" s="1072" t="s">
        <v>2625</v>
      </c>
      <c r="C325" s="1074">
        <v>0</v>
      </c>
      <c r="D325" s="1074">
        <v>809.12</v>
      </c>
      <c r="E325" s="1074">
        <v>809.12</v>
      </c>
      <c r="F325" s="1072" t="s">
        <v>401</v>
      </c>
      <c r="G325" s="1072" t="s">
        <v>2626</v>
      </c>
      <c r="H325" s="150"/>
      <c r="I325" s="152"/>
      <c r="J325" s="152"/>
      <c r="K325" s="152"/>
      <c r="L325" s="153" t="str">
        <f t="shared" si="25"/>
        <v>6522</v>
      </c>
      <c r="M325" s="154" t="str">
        <f t="shared" si="26"/>
        <v>SAL SUPERVISION / GERANT</v>
      </c>
      <c r="N325" s="155">
        <f>+IF(OR($Q325=Parametres!$G$2,$Q325=Parametres!$G$3),I325,C325)</f>
        <v>0</v>
      </c>
      <c r="O325" s="155">
        <f>+IF(OR($Q325=Parametres!$G$2,$Q325=Parametres!$G$3),J325,D325)</f>
        <v>809.12</v>
      </c>
      <c r="P325" s="155">
        <f>+IF(OR($Q325=Parametres!$G$2,$Q325=Parametres!$G$3),K325,E325)</f>
        <v>809.12</v>
      </c>
      <c r="Q325" s="154" t="str">
        <f t="shared" si="27"/>
        <v>7-Dépenses</v>
      </c>
      <c r="R325" s="153" t="str">
        <f t="shared" si="28"/>
        <v>6122</v>
      </c>
      <c r="S325" s="154">
        <f t="shared" si="29"/>
        <v>0</v>
      </c>
      <c r="T325" s="156" t="str">
        <f>+VLOOKUP($L325,Data_Validation!$A:$D,1,0)</f>
        <v>6522</v>
      </c>
      <c r="U325" s="156" t="str">
        <f>+VLOOKUP($L325,Data_Validation!$A:$D,3,0)</f>
        <v>Carrosserie</v>
      </c>
      <c r="V325" s="156" t="str">
        <f>+VLOOKUP($L325,Data_Validation!$A:$D,4,0)</f>
        <v>Salaires cadres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72" t="s">
        <v>1266</v>
      </c>
      <c r="B326" s="1072" t="s">
        <v>2678</v>
      </c>
      <c r="C326" s="1074">
        <v>0</v>
      </c>
      <c r="D326" s="1074">
        <v>1179.27</v>
      </c>
      <c r="E326" s="1074">
        <v>1179.27</v>
      </c>
      <c r="F326" s="1072" t="s">
        <v>401</v>
      </c>
      <c r="G326" s="1072" t="s">
        <v>2679</v>
      </c>
      <c r="H326" s="1050"/>
      <c r="I326" s="1049"/>
      <c r="J326" s="1049"/>
      <c r="K326" s="1049"/>
      <c r="L326" s="153" t="str">
        <f t="shared" si="25"/>
        <v>6523</v>
      </c>
      <c r="M326" s="154" t="str">
        <f t="shared" si="26"/>
        <v>SAL. &amp; RENUM. CLERICAL</v>
      </c>
      <c r="N326" s="155">
        <f>+IF(OR($Q326=Parametres!$G$2,$Q326=Parametres!$G$3),I326,C326)</f>
        <v>0</v>
      </c>
      <c r="O326" s="155">
        <f>+IF(OR($Q326=Parametres!$G$2,$Q326=Parametres!$G$3),J326,D326)</f>
        <v>1179.27</v>
      </c>
      <c r="P326" s="155">
        <f>+IF(OR($Q326=Parametres!$G$2,$Q326=Parametres!$G$3),K326,E326)</f>
        <v>1179.27</v>
      </c>
      <c r="Q326" s="154" t="str">
        <f t="shared" si="27"/>
        <v>7-Dépenses</v>
      </c>
      <c r="R326" s="153" t="str">
        <f t="shared" si="28"/>
        <v>6123</v>
      </c>
      <c r="S326" s="154">
        <f t="shared" si="29"/>
        <v>0</v>
      </c>
      <c r="T326" s="156" t="str">
        <f>+VLOOKUP($L326,Data_Validation!$A:$D,1,0)</f>
        <v>6523</v>
      </c>
      <c r="U326" s="156" t="str">
        <f>+VLOOKUP($L326,Data_Validation!$A:$D,3,0)</f>
        <v>Carrosserie</v>
      </c>
      <c r="V326" s="156" t="str">
        <f>+VLOOKUP($L326,Data_Validation!$A:$D,4,0)</f>
        <v>Salaires commis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72" t="s">
        <v>1249</v>
      </c>
      <c r="B327" s="1072" t="s">
        <v>2734</v>
      </c>
      <c r="C327" s="1074">
        <v>0</v>
      </c>
      <c r="D327" s="1074">
        <v>3336.87</v>
      </c>
      <c r="E327" s="1074">
        <v>3336.87</v>
      </c>
      <c r="F327" s="1072" t="s">
        <v>401</v>
      </c>
      <c r="G327" s="1072" t="s">
        <v>2735</v>
      </c>
      <c r="H327" s="150"/>
      <c r="I327" s="157"/>
      <c r="J327" s="157"/>
      <c r="K327" s="157"/>
      <c r="L327" s="153" t="str">
        <f t="shared" si="25"/>
        <v>6524</v>
      </c>
      <c r="M327" s="154" t="str">
        <f t="shared" si="26"/>
        <v>SALAIRES &amp; RENUM. - AUTRES</v>
      </c>
      <c r="N327" s="155">
        <f>+IF(OR($Q327=Parametres!$G$2,$Q327=Parametres!$G$3),I327,C327)</f>
        <v>0</v>
      </c>
      <c r="O327" s="155">
        <f>+IF(OR($Q327=Parametres!$G$2,$Q327=Parametres!$G$3),J327,D327)</f>
        <v>3336.87</v>
      </c>
      <c r="P327" s="155">
        <f>+IF(OR($Q327=Parametres!$G$2,$Q327=Parametres!$G$3),K327,E327)</f>
        <v>3336.87</v>
      </c>
      <c r="Q327" s="154" t="str">
        <f t="shared" si="27"/>
        <v>7-Dépenses</v>
      </c>
      <c r="R327" s="153" t="str">
        <f t="shared" si="28"/>
        <v>6124</v>
      </c>
      <c r="S327" s="154">
        <f t="shared" si="29"/>
        <v>0</v>
      </c>
      <c r="T327" s="156" t="str">
        <f>+VLOOKUP($L327,Data_Validation!$A:$D,1,0)</f>
        <v>6524</v>
      </c>
      <c r="U327" s="156" t="str">
        <f>+VLOOKUP($L327,Data_Validation!$A:$D,3,0)</f>
        <v>Carrosserie</v>
      </c>
      <c r="V327" s="156" t="str">
        <f>+VLOOKUP($L327,Data_Validation!$A:$D,4,0)</f>
        <v>Salaires autres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72" t="s">
        <v>1330</v>
      </c>
      <c r="B328" s="1072" t="s">
        <v>2720</v>
      </c>
      <c r="C328" s="1074">
        <v>0</v>
      </c>
      <c r="D328" s="1074">
        <v>3432.72</v>
      </c>
      <c r="E328" s="1074">
        <v>3432.72</v>
      </c>
      <c r="F328" s="1072" t="s">
        <v>401</v>
      </c>
      <c r="G328" s="1072" t="s">
        <v>2721</v>
      </c>
      <c r="H328" s="150"/>
      <c r="I328" s="151"/>
      <c r="J328" s="151"/>
      <c r="K328" s="151"/>
      <c r="L328" s="153" t="str">
        <f t="shared" si="25"/>
        <v>6525</v>
      </c>
      <c r="M328" s="154" t="str">
        <f t="shared" si="26"/>
        <v>SALAIRE SPECIALISTES</v>
      </c>
      <c r="N328" s="155">
        <f>+IF(OR($Q328=Parametres!$G$2,$Q328=Parametres!$G$3),I328,C328)</f>
        <v>0</v>
      </c>
      <c r="O328" s="155">
        <f>+IF(OR($Q328=Parametres!$G$2,$Q328=Parametres!$G$3),J328,D328)</f>
        <v>3432.72</v>
      </c>
      <c r="P328" s="155">
        <f>+IF(OR($Q328=Parametres!$G$2,$Q328=Parametres!$G$3),K328,E328)</f>
        <v>3432.72</v>
      </c>
      <c r="Q328" s="154" t="str">
        <f t="shared" si="27"/>
        <v>7-Dépenses</v>
      </c>
      <c r="R328" s="153" t="str">
        <f t="shared" si="28"/>
        <v>6125</v>
      </c>
      <c r="S328" s="154">
        <f t="shared" si="29"/>
        <v>0</v>
      </c>
      <c r="T328" s="156" t="str">
        <f>+VLOOKUP($L328,Data_Validation!$A:$D,1,0)</f>
        <v>6525</v>
      </c>
      <c r="U328" s="156" t="str">
        <f>+VLOOKUP($L328,Data_Validation!$A:$D,3,0)</f>
        <v>Carrosserie</v>
      </c>
      <c r="V328" s="156" t="str">
        <f>+VLOOKUP($L328,Data_Validation!$A:$D,4,0)</f>
        <v>Salaires spécialistes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72" t="s">
        <v>1211</v>
      </c>
      <c r="B329" s="1072" t="s">
        <v>2640</v>
      </c>
      <c r="C329" s="1074">
        <v>0</v>
      </c>
      <c r="D329" s="1074">
        <v>661.7</v>
      </c>
      <c r="E329" s="1074">
        <v>661.7</v>
      </c>
      <c r="F329" s="1072" t="s">
        <v>401</v>
      </c>
      <c r="G329" s="1072" t="s">
        <v>2641</v>
      </c>
      <c r="H329" s="150"/>
      <c r="I329" s="151"/>
      <c r="J329" s="151"/>
      <c r="K329" s="151"/>
      <c r="L329" s="153" t="str">
        <f t="shared" si="25"/>
        <v>6529</v>
      </c>
      <c r="M329" s="154" t="str">
        <f t="shared" si="26"/>
        <v>ABS.,VACANCES &amp; SAL. JOURS FER</v>
      </c>
      <c r="N329" s="155">
        <f>+IF(OR($Q329=Parametres!$G$2,$Q329=Parametres!$G$3),I329,C329)</f>
        <v>0</v>
      </c>
      <c r="O329" s="155">
        <f>+IF(OR($Q329=Parametres!$G$2,$Q329=Parametres!$G$3),J329,D329)</f>
        <v>661.7</v>
      </c>
      <c r="P329" s="155">
        <f>+IF(OR($Q329=Parametres!$G$2,$Q329=Parametres!$G$3),K329,E329)</f>
        <v>661.7</v>
      </c>
      <c r="Q329" s="154" t="str">
        <f t="shared" si="27"/>
        <v>7-Dépenses</v>
      </c>
      <c r="R329" s="153" t="str">
        <f t="shared" si="28"/>
        <v>6129</v>
      </c>
      <c r="S329" s="154">
        <f t="shared" si="29"/>
        <v>0</v>
      </c>
      <c r="T329" s="156" t="str">
        <f>+VLOOKUP($L329,Data_Validation!$A:$D,1,0)</f>
        <v>6529</v>
      </c>
      <c r="U329" s="156" t="str">
        <f>+VLOOKUP($L329,Data_Validation!$A:$D,3,0)</f>
        <v>Carrosserie</v>
      </c>
      <c r="V329" s="156" t="str">
        <f>+VLOOKUP($L329,Data_Validation!$A:$D,4,0)</f>
        <v>Salaires en absences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72" t="s">
        <v>1283</v>
      </c>
      <c r="B330" s="1072" t="s">
        <v>2684</v>
      </c>
      <c r="C330" s="1074">
        <v>0</v>
      </c>
      <c r="D330" s="1074">
        <v>1461.24</v>
      </c>
      <c r="E330" s="1074">
        <v>1461.24</v>
      </c>
      <c r="F330" s="1072" t="s">
        <v>401</v>
      </c>
      <c r="G330" s="1072" t="s">
        <v>2685</v>
      </c>
      <c r="H330" s="150"/>
      <c r="I330" s="157"/>
      <c r="J330" s="157"/>
      <c r="K330" s="157"/>
      <c r="L330" s="153" t="str">
        <f t="shared" si="25"/>
        <v>6532</v>
      </c>
      <c r="M330" s="154" t="str">
        <f t="shared" si="26"/>
        <v>RRQ RAMQ AC</v>
      </c>
      <c r="N330" s="155">
        <f>+IF(OR($Q330=Parametres!$G$2,$Q330=Parametres!$G$3),I330,C330)</f>
        <v>0</v>
      </c>
      <c r="O330" s="155">
        <f>+IF(OR($Q330=Parametres!$G$2,$Q330=Parametres!$G$3),J330,D330)</f>
        <v>1461.24</v>
      </c>
      <c r="P330" s="155">
        <f>+IF(OR($Q330=Parametres!$G$2,$Q330=Parametres!$G$3),K330,E330)</f>
        <v>1461.24</v>
      </c>
      <c r="Q330" s="154" t="str">
        <f t="shared" si="27"/>
        <v>7-Dépenses</v>
      </c>
      <c r="R330" s="153" t="str">
        <f t="shared" si="28"/>
        <v>6132</v>
      </c>
      <c r="S330" s="154">
        <f t="shared" si="29"/>
        <v>0</v>
      </c>
      <c r="T330" s="156" t="str">
        <f>+VLOOKUP($L330,Data_Validation!$A:$D,1,0)</f>
        <v>6532</v>
      </c>
      <c r="U330" s="156" t="str">
        <f>+VLOOKUP($L330,Data_Validation!$A:$D,3,0)</f>
        <v>Carrosserie</v>
      </c>
      <c r="V330" s="156" t="str">
        <f>+VLOOKUP($L330,Data_Validation!$A:$D,4,0)</f>
        <v>Déduction à la source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72" t="s">
        <v>1305</v>
      </c>
      <c r="B331" s="1072" t="s">
        <v>2693</v>
      </c>
      <c r="C331" s="1074">
        <v>0</v>
      </c>
      <c r="D331" s="1074">
        <v>1281</v>
      </c>
      <c r="E331" s="1074">
        <v>1281</v>
      </c>
      <c r="F331" s="1072" t="s">
        <v>401</v>
      </c>
      <c r="G331" s="1072" t="s">
        <v>2694</v>
      </c>
      <c r="H331" s="150"/>
      <c r="I331" s="157"/>
      <c r="J331" s="157"/>
      <c r="K331" s="157"/>
      <c r="L331" s="153" t="str">
        <f t="shared" si="25"/>
        <v>6539</v>
      </c>
      <c r="M331" s="154" t="str">
        <f t="shared" si="26"/>
        <v>ASSURANCE GROUPE</v>
      </c>
      <c r="N331" s="155">
        <f>+IF(OR($Q331=Parametres!$G$2,$Q331=Parametres!$G$3),I331,C331)</f>
        <v>0</v>
      </c>
      <c r="O331" s="155">
        <f>+IF(OR($Q331=Parametres!$G$2,$Q331=Parametres!$G$3),J331,D331)</f>
        <v>1281</v>
      </c>
      <c r="P331" s="155">
        <f>+IF(OR($Q331=Parametres!$G$2,$Q331=Parametres!$G$3),K331,E331)</f>
        <v>1281</v>
      </c>
      <c r="Q331" s="154" t="str">
        <f t="shared" si="27"/>
        <v>7-Dépenses</v>
      </c>
      <c r="R331" s="153" t="str">
        <f t="shared" si="28"/>
        <v>6139</v>
      </c>
      <c r="S331" s="154">
        <f t="shared" si="29"/>
        <v>0</v>
      </c>
      <c r="T331" s="156" t="str">
        <f>+VLOOKUP($L331,Data_Validation!$A:$D,1,0)</f>
        <v>6539</v>
      </c>
      <c r="U331" s="156" t="str">
        <f>+VLOOKUP($L331,Data_Validation!$A:$D,3,0)</f>
        <v>Carrosserie</v>
      </c>
      <c r="V331" s="156" t="str">
        <f>+VLOOKUP($L331,Data_Validation!$A:$D,4,0)</f>
        <v>Bénéfices marginaux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72" t="s">
        <v>934</v>
      </c>
      <c r="B332" s="1072" t="s">
        <v>2560</v>
      </c>
      <c r="C332" s="1074">
        <v>0</v>
      </c>
      <c r="D332" s="1074">
        <v>6.2</v>
      </c>
      <c r="E332" s="1074">
        <v>6.2</v>
      </c>
      <c r="F332" s="1072" t="s">
        <v>401</v>
      </c>
      <c r="G332" s="1072" t="s">
        <v>2561</v>
      </c>
      <c r="H332" s="1050"/>
      <c r="I332" s="1049"/>
      <c r="J332" s="1049"/>
      <c r="K332" s="1049"/>
      <c r="L332" s="153" t="str">
        <f t="shared" si="25"/>
        <v>6544</v>
      </c>
      <c r="M332" s="154" t="str">
        <f t="shared" si="26"/>
        <v>FORMATION</v>
      </c>
      <c r="N332" s="155">
        <f>+IF(OR($Q332=Parametres!$G$2,$Q332=Parametres!$G$3),I332,C332)</f>
        <v>0</v>
      </c>
      <c r="O332" s="155">
        <f>+IF(OR($Q332=Parametres!$G$2,$Q332=Parametres!$G$3),J332,D332)</f>
        <v>6.2</v>
      </c>
      <c r="P332" s="155">
        <f>+IF(OR($Q332=Parametres!$G$2,$Q332=Parametres!$G$3),K332,E332)</f>
        <v>6.2</v>
      </c>
      <c r="Q332" s="154" t="str">
        <f t="shared" si="27"/>
        <v>7-Dépenses</v>
      </c>
      <c r="R332" s="153" t="str">
        <f t="shared" si="28"/>
        <v>6144</v>
      </c>
      <c r="S332" s="154">
        <f t="shared" si="29"/>
        <v>0</v>
      </c>
      <c r="T332" s="156" t="str">
        <f>+VLOOKUP($L332,Data_Validation!$A:$D,1,0)</f>
        <v>6544</v>
      </c>
      <c r="U332" s="156" t="str">
        <f>+VLOOKUP($L332,Data_Validation!$A:$D,3,0)</f>
        <v>Carrosserie</v>
      </c>
      <c r="V332" s="156" t="str">
        <f>+VLOOKUP($L332,Data_Validation!$A:$D,4,0)</f>
        <v>Formation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72" t="s">
        <v>1186</v>
      </c>
      <c r="B333" s="1072" t="s">
        <v>2654</v>
      </c>
      <c r="C333" s="1074">
        <v>0</v>
      </c>
      <c r="D333" s="1074">
        <v>824.3</v>
      </c>
      <c r="E333" s="1074">
        <v>824.3</v>
      </c>
      <c r="F333" s="1072" t="s">
        <v>401</v>
      </c>
      <c r="G333" s="1072" t="s">
        <v>2632</v>
      </c>
      <c r="H333" s="150"/>
      <c r="I333" s="152"/>
      <c r="J333" s="152"/>
      <c r="K333" s="152"/>
      <c r="L333" s="153" t="str">
        <f t="shared" si="25"/>
        <v>6545</v>
      </c>
      <c r="M333" s="154" t="str">
        <f t="shared" si="26"/>
        <v>VEHICULE DE COMPAGNIE - DEPENS</v>
      </c>
      <c r="N333" s="155">
        <f>+IF(OR($Q333=Parametres!$G$2,$Q333=Parametres!$G$3),I333,C333)</f>
        <v>0</v>
      </c>
      <c r="O333" s="155">
        <f>+IF(OR($Q333=Parametres!$G$2,$Q333=Parametres!$G$3),J333,D333)</f>
        <v>824.3</v>
      </c>
      <c r="P333" s="155">
        <f>+IF(OR($Q333=Parametres!$G$2,$Q333=Parametres!$G$3),K333,E333)</f>
        <v>824.3</v>
      </c>
      <c r="Q333" s="154" t="str">
        <f t="shared" si="27"/>
        <v>7-Dépenses</v>
      </c>
      <c r="R333" s="153" t="str">
        <f t="shared" si="28"/>
        <v>6145</v>
      </c>
      <c r="S333" s="154">
        <f t="shared" si="29"/>
        <v>0</v>
      </c>
      <c r="T333" s="156" t="str">
        <f>+VLOOKUP($L333,Data_Validation!$A:$D,1,0)</f>
        <v>6545</v>
      </c>
      <c r="U333" s="156" t="str">
        <f>+VLOOKUP($L333,Data_Validation!$A:$D,3,0)</f>
        <v>Carrosserie</v>
      </c>
      <c r="V333" s="156" t="str">
        <f>+VLOOKUP($L333,Data_Validation!$A:$D,4,0)</f>
        <v>Frais véhicules de cie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72" t="s">
        <v>1180</v>
      </c>
      <c r="B334" s="1072" t="s">
        <v>2580</v>
      </c>
      <c r="C334" s="1074">
        <v>0</v>
      </c>
      <c r="D334" s="1074">
        <v>14.28</v>
      </c>
      <c r="E334" s="1074">
        <v>14.28</v>
      </c>
      <c r="F334" s="1072" t="s">
        <v>401</v>
      </c>
      <c r="G334" s="1072" t="s">
        <v>2581</v>
      </c>
      <c r="H334" s="150"/>
      <c r="I334" s="151"/>
      <c r="J334" s="151"/>
      <c r="K334" s="151"/>
      <c r="L334" s="153" t="str">
        <f t="shared" si="25"/>
        <v>6547</v>
      </c>
      <c r="M334" s="154" t="str">
        <f t="shared" si="26"/>
        <v>FRET/EXPRESS/TRANS. PAR CAMION</v>
      </c>
      <c r="N334" s="155">
        <f>+IF(OR($Q334=Parametres!$G$2,$Q334=Parametres!$G$3),I334,C334)</f>
        <v>0</v>
      </c>
      <c r="O334" s="155">
        <f>+IF(OR($Q334=Parametres!$G$2,$Q334=Parametres!$G$3),J334,D334)</f>
        <v>14.28</v>
      </c>
      <c r="P334" s="155">
        <f>+IF(OR($Q334=Parametres!$G$2,$Q334=Parametres!$G$3),K334,E334)</f>
        <v>14.28</v>
      </c>
      <c r="Q334" s="154" t="str">
        <f t="shared" si="27"/>
        <v>7-Dépenses</v>
      </c>
      <c r="R334" s="153" t="str">
        <f t="shared" si="28"/>
        <v>6147</v>
      </c>
      <c r="S334" s="154">
        <f t="shared" si="29"/>
        <v>0</v>
      </c>
      <c r="T334" s="156" t="str">
        <f>+VLOOKUP($L334,Data_Validation!$A:$D,1,0)</f>
        <v>6547</v>
      </c>
      <c r="U334" s="156" t="str">
        <f>+VLOOKUP($L334,Data_Validation!$A:$D,3,0)</f>
        <v>Carrosserie</v>
      </c>
      <c r="V334" s="156" t="str">
        <f>+VLOOKUP($L334,Data_Validation!$A:$D,4,0)</f>
        <v>Frais postaux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72" t="s">
        <v>1286</v>
      </c>
      <c r="B335" s="1072" t="s">
        <v>2701</v>
      </c>
      <c r="C335" s="1074">
        <v>0</v>
      </c>
      <c r="D335" s="1074">
        <v>1378.59</v>
      </c>
      <c r="E335" s="1074">
        <v>1378.59</v>
      </c>
      <c r="F335" s="1072" t="s">
        <v>401</v>
      </c>
      <c r="G335" s="1072" t="s">
        <v>2702</v>
      </c>
      <c r="H335" s="150"/>
      <c r="I335" s="151"/>
      <c r="J335" s="151"/>
      <c r="K335" s="151"/>
      <c r="L335" s="153" t="str">
        <f t="shared" si="25"/>
        <v>6551</v>
      </c>
      <c r="M335" s="154" t="str">
        <f t="shared" si="26"/>
        <v>DEP. DU TRAITEMENT DES DONNEES</v>
      </c>
      <c r="N335" s="155">
        <f>+IF(OR($Q335=Parametres!$G$2,$Q335=Parametres!$G$3),I335,C335)</f>
        <v>0</v>
      </c>
      <c r="O335" s="155">
        <f>+IF(OR($Q335=Parametres!$G$2,$Q335=Parametres!$G$3),J335,D335)</f>
        <v>1378.59</v>
      </c>
      <c r="P335" s="155">
        <f>+IF(OR($Q335=Parametres!$G$2,$Q335=Parametres!$G$3),K335,E335)</f>
        <v>1378.59</v>
      </c>
      <c r="Q335" s="154" t="str">
        <f t="shared" si="27"/>
        <v>7-Dépenses</v>
      </c>
      <c r="R335" s="153" t="str">
        <f t="shared" si="28"/>
        <v>6151</v>
      </c>
      <c r="S335" s="154">
        <f t="shared" si="29"/>
        <v>0</v>
      </c>
      <c r="T335" s="156" t="str">
        <f>+VLOOKUP($L335,Data_Validation!$A:$D,1,0)</f>
        <v>6551</v>
      </c>
      <c r="U335" s="156" t="str">
        <f>+VLOOKUP($L335,Data_Validation!$A:$D,3,0)</f>
        <v>Carrosserie</v>
      </c>
      <c r="V335" s="156" t="str">
        <f>+VLOOKUP($L335,Data_Validation!$A:$D,4,0)</f>
        <v>Informatique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72" t="s">
        <v>1206</v>
      </c>
      <c r="B336" s="1072" t="s">
        <v>2587</v>
      </c>
      <c r="C336" s="1074">
        <v>0</v>
      </c>
      <c r="D336" s="1074">
        <v>54.45</v>
      </c>
      <c r="E336" s="1074">
        <v>54.45</v>
      </c>
      <c r="F336" s="1072" t="s">
        <v>401</v>
      </c>
      <c r="G336" s="1072" t="s">
        <v>2588</v>
      </c>
      <c r="H336" s="150"/>
      <c r="I336" s="151"/>
      <c r="J336" s="151"/>
      <c r="K336" s="151"/>
      <c r="L336" s="153" t="str">
        <f t="shared" si="25"/>
        <v>6552</v>
      </c>
      <c r="M336" s="154" t="str">
        <f t="shared" si="26"/>
        <v>PAPETERIE</v>
      </c>
      <c r="N336" s="155">
        <f>+IF(OR($Q336=Parametres!$G$2,$Q336=Parametres!$G$3),I336,C336)</f>
        <v>0</v>
      </c>
      <c r="O336" s="155">
        <f>+IF(OR($Q336=Parametres!$G$2,$Q336=Parametres!$G$3),J336,D336)</f>
        <v>54.45</v>
      </c>
      <c r="P336" s="155">
        <f>+IF(OR($Q336=Parametres!$G$2,$Q336=Parametres!$G$3),K336,E336)</f>
        <v>54.45</v>
      </c>
      <c r="Q336" s="154" t="str">
        <f t="shared" si="27"/>
        <v>7-Dépenses</v>
      </c>
      <c r="R336" s="153" t="str">
        <f t="shared" si="28"/>
        <v>6152</v>
      </c>
      <c r="S336" s="154">
        <f t="shared" si="29"/>
        <v>0</v>
      </c>
      <c r="T336" s="156" t="str">
        <f>+VLOOKUP($L336,Data_Validation!$A:$D,1,0)</f>
        <v>6552</v>
      </c>
      <c r="U336" s="156" t="str">
        <f>+VLOOKUP($L336,Data_Validation!$A:$D,3,0)</f>
        <v>Carrosserie</v>
      </c>
      <c r="V336" s="156" t="str">
        <f>+VLOOKUP($L336,Data_Validation!$A:$D,4,0)</f>
        <v>Papeterie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72" t="s">
        <v>1154</v>
      </c>
      <c r="B337" s="1072" t="s">
        <v>2591</v>
      </c>
      <c r="C337" s="1074">
        <v>0</v>
      </c>
      <c r="D337" s="1074">
        <v>122.38</v>
      </c>
      <c r="E337" s="1074">
        <v>122.38</v>
      </c>
      <c r="F337" s="1072" t="s">
        <v>401</v>
      </c>
      <c r="G337" s="1072" t="s">
        <v>2592</v>
      </c>
      <c r="H337" s="150"/>
      <c r="I337" s="151"/>
      <c r="J337" s="151"/>
      <c r="K337" s="151"/>
      <c r="L337" s="153" t="str">
        <f t="shared" si="25"/>
        <v>6553</v>
      </c>
      <c r="M337" s="154" t="str">
        <f t="shared" si="26"/>
        <v>TELEPHONE ET TELEX</v>
      </c>
      <c r="N337" s="155">
        <f>+IF(OR($Q337=Parametres!$G$2,$Q337=Parametres!$G$3),I337,C337)</f>
        <v>0</v>
      </c>
      <c r="O337" s="155">
        <f>+IF(OR($Q337=Parametres!$G$2,$Q337=Parametres!$G$3),J337,D337)</f>
        <v>122.38</v>
      </c>
      <c r="P337" s="155">
        <f>+IF(OR($Q337=Parametres!$G$2,$Q337=Parametres!$G$3),K337,E337)</f>
        <v>122.38</v>
      </c>
      <c r="Q337" s="154" t="str">
        <f t="shared" si="27"/>
        <v>7-Dépenses</v>
      </c>
      <c r="R337" s="153" t="str">
        <f t="shared" si="28"/>
        <v>6153</v>
      </c>
      <c r="S337" s="154">
        <f t="shared" si="29"/>
        <v>0</v>
      </c>
      <c r="T337" s="156" t="str">
        <f>+VLOOKUP($L337,Data_Validation!$A:$D,1,0)</f>
        <v>6553</v>
      </c>
      <c r="U337" s="156" t="str">
        <f>+VLOOKUP($L337,Data_Validation!$A:$D,3,0)</f>
        <v>Carrosserie</v>
      </c>
      <c r="V337" s="156" t="str">
        <f>+VLOOKUP($L337,Data_Validation!$A:$D,4,0)</f>
        <v>Téléphone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72" t="s">
        <v>1237</v>
      </c>
      <c r="B338" s="1072" t="s">
        <v>2636</v>
      </c>
      <c r="C338" s="1074">
        <v>0</v>
      </c>
      <c r="D338" s="1074">
        <v>55.19</v>
      </c>
      <c r="E338" s="1074">
        <v>55.19</v>
      </c>
      <c r="F338" s="1072" t="s">
        <v>401</v>
      </c>
      <c r="G338" s="1072" t="s">
        <v>2637</v>
      </c>
      <c r="H338" s="150"/>
      <c r="I338" s="157"/>
      <c r="J338" s="157"/>
      <c r="K338" s="157"/>
      <c r="L338" s="153" t="str">
        <f t="shared" si="25"/>
        <v>6555</v>
      </c>
      <c r="M338" s="154" t="str">
        <f t="shared" si="26"/>
        <v>DEPENSES DIVERS</v>
      </c>
      <c r="N338" s="155">
        <f>+IF(OR($Q338=Parametres!$G$2,$Q338=Parametres!$G$3),I338,C338)</f>
        <v>0</v>
      </c>
      <c r="O338" s="155">
        <f>+IF(OR($Q338=Parametres!$G$2,$Q338=Parametres!$G$3),J338,D338)</f>
        <v>55.19</v>
      </c>
      <c r="P338" s="155">
        <f>+IF(OR($Q338=Parametres!$G$2,$Q338=Parametres!$G$3),K338,E338)</f>
        <v>55.19</v>
      </c>
      <c r="Q338" s="154" t="str">
        <f t="shared" si="27"/>
        <v>7-Dépenses</v>
      </c>
      <c r="R338" s="153" t="str">
        <f t="shared" si="28"/>
        <v>6155</v>
      </c>
      <c r="S338" s="154">
        <f t="shared" si="29"/>
        <v>0</v>
      </c>
      <c r="T338" s="156" t="str">
        <f>+VLOOKUP($L338,Data_Validation!$A:$D,1,0)</f>
        <v>6555</v>
      </c>
      <c r="U338" s="156" t="str">
        <f>+VLOOKUP($L338,Data_Validation!$A:$D,3,0)</f>
        <v>Carrosserie</v>
      </c>
      <c r="V338" s="156" t="str">
        <f>+VLOOKUP($L338,Data_Validation!$A:$D,4,0)</f>
        <v>Divers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72" t="s">
        <v>1217</v>
      </c>
      <c r="B339" s="1072" t="s">
        <v>2469</v>
      </c>
      <c r="C339" s="1074">
        <v>0</v>
      </c>
      <c r="D339" s="1074">
        <v>13.57</v>
      </c>
      <c r="E339" s="1074">
        <v>13.57</v>
      </c>
      <c r="F339" s="1072" t="s">
        <v>401</v>
      </c>
      <c r="G339" s="1072" t="s">
        <v>2470</v>
      </c>
      <c r="H339" s="150"/>
      <c r="I339" s="151"/>
      <c r="J339" s="151"/>
      <c r="K339" s="151"/>
      <c r="L339" s="153" t="str">
        <f t="shared" si="25"/>
        <v>6556</v>
      </c>
      <c r="M339" s="154" t="str">
        <f t="shared" si="26"/>
        <v>FRAIS REPRESENTATION</v>
      </c>
      <c r="N339" s="155">
        <f>+IF(OR($Q339=Parametres!$G$2,$Q339=Parametres!$G$3),I339,C339)</f>
        <v>0</v>
      </c>
      <c r="O339" s="155">
        <f>+IF(OR($Q339=Parametres!$G$2,$Q339=Parametres!$G$3),J339,D339)</f>
        <v>13.57</v>
      </c>
      <c r="P339" s="155">
        <f>+IF(OR($Q339=Parametres!$G$2,$Q339=Parametres!$G$3),K339,E339)</f>
        <v>13.57</v>
      </c>
      <c r="Q339" s="154" t="str">
        <f t="shared" si="27"/>
        <v>7-Dépenses</v>
      </c>
      <c r="R339" s="153" t="str">
        <f t="shared" si="28"/>
        <v>6156</v>
      </c>
      <c r="S339" s="154">
        <f t="shared" si="29"/>
        <v>0</v>
      </c>
      <c r="T339" s="156" t="str">
        <f>+VLOOKUP($L339,Data_Validation!$A:$D,1,0)</f>
        <v>6556</v>
      </c>
      <c r="U339" s="156" t="str">
        <f>+VLOOKUP($L339,Data_Validation!$A:$D,3,0)</f>
        <v>Carrosserie</v>
      </c>
      <c r="V339" s="156" t="str">
        <f>+VLOOKUP($L339,Data_Validation!$A:$D,4,0)</f>
        <v>Frais de déplacement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72" t="s">
        <v>1308</v>
      </c>
      <c r="B340" s="1072" t="s">
        <v>2661</v>
      </c>
      <c r="C340" s="1074">
        <v>0</v>
      </c>
      <c r="D340" s="1074">
        <v>282.91000000000003</v>
      </c>
      <c r="E340" s="1074">
        <v>282.91000000000003</v>
      </c>
      <c r="F340" s="1072" t="s">
        <v>401</v>
      </c>
      <c r="G340" s="1072" t="s">
        <v>2662</v>
      </c>
      <c r="H340" s="1050"/>
      <c r="I340" s="1050"/>
      <c r="J340" s="1050"/>
      <c r="K340" s="1050"/>
      <c r="L340" s="153" t="str">
        <f t="shared" si="25"/>
        <v>6559</v>
      </c>
      <c r="M340" s="154" t="str">
        <f t="shared" si="26"/>
        <v>SERVICE EXTERIEUR</v>
      </c>
      <c r="N340" s="155">
        <f>+IF(OR($Q340=Parametres!$G$2,$Q340=Parametres!$G$3),I340,C340)</f>
        <v>0</v>
      </c>
      <c r="O340" s="155">
        <f>+IF(OR($Q340=Parametres!$G$2,$Q340=Parametres!$G$3),J340,D340)</f>
        <v>282.91000000000003</v>
      </c>
      <c r="P340" s="155">
        <f>+IF(OR($Q340=Parametres!$G$2,$Q340=Parametres!$G$3),K340,E340)</f>
        <v>282.91000000000003</v>
      </c>
      <c r="Q340" s="154" t="str">
        <f t="shared" si="27"/>
        <v>7-Dépenses</v>
      </c>
      <c r="R340" s="153" t="str">
        <f t="shared" si="28"/>
        <v>6159</v>
      </c>
      <c r="S340" s="154">
        <f t="shared" si="29"/>
        <v>0</v>
      </c>
      <c r="T340" s="156" t="str">
        <f>+VLOOKUP($L340,Data_Validation!$A:$D,1,0)</f>
        <v>6559</v>
      </c>
      <c r="U340" s="156" t="str">
        <f>+VLOOKUP($L340,Data_Validation!$A:$D,3,0)</f>
        <v>Carrosserie</v>
      </c>
      <c r="V340" s="156" t="str">
        <f>+VLOOKUP($L340,Data_Validation!$A:$D,4,0)</f>
        <v>Services extérieurs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72" t="s">
        <v>1333</v>
      </c>
      <c r="B341" s="1072" t="s">
        <v>2652</v>
      </c>
      <c r="C341" s="1074">
        <v>0</v>
      </c>
      <c r="D341" s="1074">
        <v>641.69000000000005</v>
      </c>
      <c r="E341" s="1074">
        <v>641.69000000000005</v>
      </c>
      <c r="F341" s="1072" t="s">
        <v>401</v>
      </c>
      <c r="G341" s="1072" t="s">
        <v>2653</v>
      </c>
      <c r="H341" s="150"/>
      <c r="I341" s="151"/>
      <c r="J341" s="151"/>
      <c r="K341" s="151"/>
      <c r="L341" s="153" t="str">
        <f t="shared" si="25"/>
        <v>6561</v>
      </c>
      <c r="M341" s="154" t="str">
        <f t="shared" si="26"/>
        <v>DEPRECIATION EQUIP. &amp; FIXTURES</v>
      </c>
      <c r="N341" s="155">
        <f>+IF(OR($Q341=Parametres!$G$2,$Q341=Parametres!$G$3),I341,C341)</f>
        <v>0</v>
      </c>
      <c r="O341" s="155">
        <f>+IF(OR($Q341=Parametres!$G$2,$Q341=Parametres!$G$3),J341,D341)</f>
        <v>641.69000000000005</v>
      </c>
      <c r="P341" s="155">
        <f>+IF(OR($Q341=Parametres!$G$2,$Q341=Parametres!$G$3),K341,E341)</f>
        <v>641.69000000000005</v>
      </c>
      <c r="Q341" s="154" t="str">
        <f t="shared" si="27"/>
        <v>7-Dépenses</v>
      </c>
      <c r="R341" s="153" t="str">
        <f t="shared" si="28"/>
        <v>6161</v>
      </c>
      <c r="S341" s="154">
        <f t="shared" si="29"/>
        <v>0</v>
      </c>
      <c r="T341" s="156" t="str">
        <f>+VLOOKUP($L341,Data_Validation!$A:$D,1,0)</f>
        <v>6561</v>
      </c>
      <c r="U341" s="156" t="str">
        <f>+VLOOKUP($L341,Data_Validation!$A:$D,3,0)</f>
        <v>Carrosserie</v>
      </c>
      <c r="V341" s="156" t="str">
        <f>+VLOOKUP($L341,Data_Validation!$A:$D,4,0)</f>
        <v>Amortissement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72" t="s">
        <v>1244</v>
      </c>
      <c r="B342" s="1072" t="s">
        <v>2603</v>
      </c>
      <c r="C342" s="1074">
        <v>0</v>
      </c>
      <c r="D342" s="1074">
        <v>118.7</v>
      </c>
      <c r="E342" s="1074">
        <v>118.7</v>
      </c>
      <c r="F342" s="1072" t="s">
        <v>401</v>
      </c>
      <c r="G342" s="1072" t="s">
        <v>2604</v>
      </c>
      <c r="H342" s="150"/>
      <c r="I342" s="157"/>
      <c r="J342" s="157"/>
      <c r="K342" s="157"/>
      <c r="L342" s="153" t="str">
        <f t="shared" si="25"/>
        <v>6581</v>
      </c>
      <c r="M342" s="154" t="str">
        <f t="shared" si="26"/>
        <v>CHAUFFAGE,ELECTRICITE,EAU-CARROS.</v>
      </c>
      <c r="N342" s="155">
        <f>+IF(OR($Q342=Parametres!$G$2,$Q342=Parametres!$G$3),I342,C342)</f>
        <v>0</v>
      </c>
      <c r="O342" s="155">
        <f>+IF(OR($Q342=Parametres!$G$2,$Q342=Parametres!$G$3),J342,D342)</f>
        <v>118.7</v>
      </c>
      <c r="P342" s="155">
        <f>+IF(OR($Q342=Parametres!$G$2,$Q342=Parametres!$G$3),K342,E342)</f>
        <v>118.7</v>
      </c>
      <c r="Q342" s="154" t="str">
        <f t="shared" si="27"/>
        <v>7-Dépenses</v>
      </c>
      <c r="R342" s="153" t="str">
        <f t="shared" si="28"/>
        <v>6181</v>
      </c>
      <c r="S342" s="154">
        <f t="shared" si="29"/>
        <v>0</v>
      </c>
      <c r="T342" s="156" t="str">
        <f>+VLOOKUP($L342,Data_Validation!$A:$D,1,0)</f>
        <v>6581</v>
      </c>
      <c r="U342" s="156" t="str">
        <f>+VLOOKUP($L342,Data_Validation!$A:$D,3,0)</f>
        <v>Carrosserie</v>
      </c>
      <c r="V342" s="156" t="str">
        <f>+VLOOKUP($L342,Data_Validation!$A:$D,4,0)</f>
        <v>Chauffage, éclairage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72" t="s">
        <v>1398</v>
      </c>
      <c r="B343" s="1072" t="s">
        <v>2708</v>
      </c>
      <c r="C343" s="1074">
        <v>0</v>
      </c>
      <c r="D343" s="1074">
        <v>1820</v>
      </c>
      <c r="E343" s="1074">
        <v>1820</v>
      </c>
      <c r="F343" s="1072" t="s">
        <v>401</v>
      </c>
      <c r="G343" s="1072" t="s">
        <v>2709</v>
      </c>
      <c r="H343" s="150"/>
      <c r="I343" s="151"/>
      <c r="J343" s="151"/>
      <c r="K343" s="151"/>
      <c r="L343" s="153" t="str">
        <f t="shared" si="25"/>
        <v>6582</v>
      </c>
      <c r="M343" s="154" t="str">
        <f t="shared" si="26"/>
        <v>LOYER - CARROSSERIE</v>
      </c>
      <c r="N343" s="155">
        <f>+IF(OR($Q343=Parametres!$G$2,$Q343=Parametres!$G$3),I343,C343)</f>
        <v>0</v>
      </c>
      <c r="O343" s="155">
        <f>+IF(OR($Q343=Parametres!$G$2,$Q343=Parametres!$G$3),J343,D343)</f>
        <v>1820</v>
      </c>
      <c r="P343" s="155">
        <f>+IF(OR($Q343=Parametres!$G$2,$Q343=Parametres!$G$3),K343,E343)</f>
        <v>1820</v>
      </c>
      <c r="Q343" s="154" t="str">
        <f t="shared" si="27"/>
        <v>7-Dépenses</v>
      </c>
      <c r="R343" s="153" t="str">
        <f t="shared" si="28"/>
        <v>6182</v>
      </c>
      <c r="S343" s="154">
        <f t="shared" si="29"/>
        <v>0</v>
      </c>
      <c r="T343" s="156" t="str">
        <f>+VLOOKUP($L343,Data_Validation!$A:$D,1,0)</f>
        <v>6582</v>
      </c>
      <c r="U343" s="156" t="str">
        <f>+VLOOKUP($L343,Data_Validation!$A:$D,3,0)</f>
        <v>Carrosserie</v>
      </c>
      <c r="V343" s="156" t="str">
        <f>+VLOOKUP($L343,Data_Validation!$A:$D,4,0)</f>
        <v>Loyer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072" t="s">
        <v>1255</v>
      </c>
      <c r="B344" s="1072" t="s">
        <v>2593</v>
      </c>
      <c r="C344" s="1074">
        <v>0</v>
      </c>
      <c r="D344" s="1074">
        <v>259.57</v>
      </c>
      <c r="E344" s="1074">
        <v>259.57</v>
      </c>
      <c r="F344" s="1072" t="s">
        <v>401</v>
      </c>
      <c r="G344" s="1072" t="s">
        <v>2594</v>
      </c>
      <c r="H344" s="150"/>
      <c r="I344" s="151"/>
      <c r="J344" s="151"/>
      <c r="K344" s="151"/>
      <c r="L344" s="153" t="str">
        <f t="shared" si="25"/>
        <v>6586</v>
      </c>
      <c r="M344" s="154" t="str">
        <f t="shared" si="26"/>
        <v>ASSURANCE BATISSE &amp; AMEL.-CARROS.</v>
      </c>
      <c r="N344" s="155">
        <f>+IF(OR($Q344=Parametres!$G$2,$Q344=Parametres!$G$3),I344,C344)</f>
        <v>0</v>
      </c>
      <c r="O344" s="155">
        <f>+IF(OR($Q344=Parametres!$G$2,$Q344=Parametres!$G$3),J344,D344)</f>
        <v>259.57</v>
      </c>
      <c r="P344" s="155">
        <f>+IF(OR($Q344=Parametres!$G$2,$Q344=Parametres!$G$3),K344,E344)</f>
        <v>259.57</v>
      </c>
      <c r="Q344" s="154" t="str">
        <f t="shared" si="27"/>
        <v>7-Dépenses</v>
      </c>
      <c r="R344" s="153" t="str">
        <f t="shared" si="28"/>
        <v>6186</v>
      </c>
      <c r="S344" s="154">
        <f t="shared" si="29"/>
        <v>0</v>
      </c>
      <c r="T344" s="156" t="str">
        <f>+VLOOKUP($L344,Data_Validation!$A:$D,1,0)</f>
        <v>6586</v>
      </c>
      <c r="U344" s="156" t="str">
        <f>+VLOOKUP($L344,Data_Validation!$A:$D,3,0)</f>
        <v>Carrosserie</v>
      </c>
      <c r="V344" s="156" t="str">
        <f>+VLOOKUP($L344,Data_Validation!$A:$D,4,0)</f>
        <v>Assurances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72" t="s">
        <v>1264</v>
      </c>
      <c r="B345" s="1072" t="s">
        <v>2613</v>
      </c>
      <c r="C345" s="1074">
        <v>0</v>
      </c>
      <c r="D345" s="1074">
        <v>336.7</v>
      </c>
      <c r="E345" s="1074">
        <v>336.7</v>
      </c>
      <c r="F345" s="1072" t="s">
        <v>401</v>
      </c>
      <c r="G345" s="1072" t="s">
        <v>2614</v>
      </c>
      <c r="H345" s="150"/>
      <c r="I345" s="151"/>
      <c r="J345" s="151"/>
      <c r="K345" s="151"/>
      <c r="L345" s="153" t="str">
        <f t="shared" si="25"/>
        <v>6587</v>
      </c>
      <c r="M345" s="154" t="str">
        <f t="shared" si="26"/>
        <v>TAXES FONCIERES - CAROSSERIE</v>
      </c>
      <c r="N345" s="155">
        <f>+IF(OR($Q345=Parametres!$G$2,$Q345=Parametres!$G$3),I345,C345)</f>
        <v>0</v>
      </c>
      <c r="O345" s="155">
        <f>+IF(OR($Q345=Parametres!$G$2,$Q345=Parametres!$G$3),J345,D345)</f>
        <v>336.7</v>
      </c>
      <c r="P345" s="155">
        <f>+IF(OR($Q345=Parametres!$G$2,$Q345=Parametres!$G$3),K345,E345)</f>
        <v>336.7</v>
      </c>
      <c r="Q345" s="154" t="str">
        <f t="shared" si="27"/>
        <v>7-Dépenses</v>
      </c>
      <c r="R345" s="153" t="str">
        <f t="shared" si="28"/>
        <v>6187</v>
      </c>
      <c r="S345" s="154">
        <f t="shared" si="29"/>
        <v>0</v>
      </c>
      <c r="T345" s="156" t="str">
        <f>+VLOOKUP($L345,Data_Validation!$A:$D,1,0)</f>
        <v>6587</v>
      </c>
      <c r="U345" s="156" t="str">
        <f>+VLOOKUP($L345,Data_Validation!$A:$D,3,0)</f>
        <v>Carrosserie</v>
      </c>
      <c r="V345" s="156" t="str">
        <f>+VLOOKUP($L345,Data_Validation!$A:$D,4,0)</f>
        <v>Taxes foncières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72" t="s">
        <v>1225</v>
      </c>
      <c r="B346" s="1072" t="s">
        <v>2596</v>
      </c>
      <c r="C346" s="1074">
        <v>0</v>
      </c>
      <c r="D346" s="1074">
        <v>224</v>
      </c>
      <c r="E346" s="1074">
        <v>224</v>
      </c>
      <c r="F346" s="1072" t="s">
        <v>401</v>
      </c>
      <c r="G346" s="1072" t="s">
        <v>2597</v>
      </c>
      <c r="H346" s="150"/>
      <c r="I346" s="151"/>
      <c r="J346" s="151"/>
      <c r="K346" s="151"/>
      <c r="L346" s="153" t="str">
        <f t="shared" si="25"/>
        <v>6593</v>
      </c>
      <c r="M346" s="154" t="str">
        <f t="shared" si="26"/>
        <v>AUTRES TAXES -CARROSSERIE</v>
      </c>
      <c r="N346" s="155">
        <f>+IF(OR($Q346=Parametres!$G$2,$Q346=Parametres!$G$3),I346,C346)</f>
        <v>0</v>
      </c>
      <c r="O346" s="155">
        <f>+IF(OR($Q346=Parametres!$G$2,$Q346=Parametres!$G$3),J346,D346)</f>
        <v>224</v>
      </c>
      <c r="P346" s="155">
        <f>+IF(OR($Q346=Parametres!$G$2,$Q346=Parametres!$G$3),K346,E346)</f>
        <v>224</v>
      </c>
      <c r="Q346" s="154" t="str">
        <f t="shared" si="27"/>
        <v>7-Dépenses</v>
      </c>
      <c r="R346" s="153" t="str">
        <f t="shared" si="28"/>
        <v>6193</v>
      </c>
      <c r="S346" s="154">
        <f t="shared" si="29"/>
        <v>0</v>
      </c>
      <c r="T346" s="156" t="str">
        <f>+VLOOKUP($L346,Data_Validation!$A:$D,1,0)</f>
        <v>6593</v>
      </c>
      <c r="U346" s="156" t="str">
        <f>+VLOOKUP($L346,Data_Validation!$A:$D,3,0)</f>
        <v>Carrosserie</v>
      </c>
      <c r="V346" s="156" t="str">
        <f>+VLOOKUP($L346,Data_Validation!$A:$D,4,0)</f>
        <v>Taxes d`affaires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72" t="s">
        <v>1271</v>
      </c>
      <c r="B347" s="1072" t="s">
        <v>2634</v>
      </c>
      <c r="C347" s="1074">
        <v>0</v>
      </c>
      <c r="D347" s="1074">
        <v>435.2</v>
      </c>
      <c r="E347" s="1074">
        <v>435.2</v>
      </c>
      <c r="F347" s="1072" t="s">
        <v>401</v>
      </c>
      <c r="G347" s="1072" t="s">
        <v>2635</v>
      </c>
      <c r="H347" s="150"/>
      <c r="I347" s="157"/>
      <c r="J347" s="157"/>
      <c r="K347" s="157"/>
      <c r="L347" s="153" t="str">
        <f t="shared" si="25"/>
        <v>6594</v>
      </c>
      <c r="M347" s="154" t="str">
        <f t="shared" si="26"/>
        <v>FRAIS PROFESSIONNEL-CARROS.</v>
      </c>
      <c r="N347" s="155">
        <f>+IF(OR($Q347=Parametres!$G$2,$Q347=Parametres!$G$3),I347,C347)</f>
        <v>0</v>
      </c>
      <c r="O347" s="155">
        <f>+IF(OR($Q347=Parametres!$G$2,$Q347=Parametres!$G$3),J347,D347)</f>
        <v>435.2</v>
      </c>
      <c r="P347" s="155">
        <f>+IF(OR($Q347=Parametres!$G$2,$Q347=Parametres!$G$3),K347,E347)</f>
        <v>435.2</v>
      </c>
      <c r="Q347" s="154" t="str">
        <f t="shared" si="27"/>
        <v>7-Dépenses</v>
      </c>
      <c r="R347" s="153" t="str">
        <f t="shared" si="28"/>
        <v>6194</v>
      </c>
      <c r="S347" s="154">
        <f t="shared" si="29"/>
        <v>0</v>
      </c>
      <c r="T347" s="156" t="str">
        <f>+VLOOKUP($L347,Data_Validation!$A:$D,1,0)</f>
        <v>6594</v>
      </c>
      <c r="U347" s="156" t="str">
        <f>+VLOOKUP($L347,Data_Validation!$A:$D,3,0)</f>
        <v>Carrosserie</v>
      </c>
      <c r="V347" s="156" t="str">
        <f>+VLOOKUP($L347,Data_Validation!$A:$D,4,0)</f>
        <v>Honoraires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72" t="s">
        <v>399</v>
      </c>
      <c r="B348" s="1072" t="s">
        <v>2472</v>
      </c>
      <c r="C348" s="1074">
        <v>0</v>
      </c>
      <c r="D348" s="1074">
        <v>145.72999999999999</v>
      </c>
      <c r="E348" s="1074">
        <v>145.72999999999999</v>
      </c>
      <c r="F348" s="1072" t="s">
        <v>401</v>
      </c>
      <c r="G348" s="1072" t="s">
        <v>2467</v>
      </c>
      <c r="H348" s="150"/>
      <c r="I348" s="152"/>
      <c r="J348" s="152"/>
      <c r="K348" s="152"/>
      <c r="L348" s="153" t="str">
        <f t="shared" si="25"/>
        <v>6703</v>
      </c>
      <c r="M348" s="154" t="str">
        <f t="shared" si="26"/>
        <v>RELAT. A LA CLIENTELE &amp; AJUST.</v>
      </c>
      <c r="N348" s="155">
        <f>+IF(OR($Q348=Parametres!$G$2,$Q348=Parametres!$G$3),I348,C348)</f>
        <v>0</v>
      </c>
      <c r="O348" s="155">
        <f>+IF(OR($Q348=Parametres!$G$2,$Q348=Parametres!$G$3),J348,D348)</f>
        <v>145.72999999999999</v>
      </c>
      <c r="P348" s="155">
        <f>+IF(OR($Q348=Parametres!$G$2,$Q348=Parametres!$G$3),K348,E348)</f>
        <v>145.72999999999999</v>
      </c>
      <c r="Q348" s="154" t="str">
        <f t="shared" si="27"/>
        <v>7-Dépenses</v>
      </c>
      <c r="R348" s="153" t="str">
        <f t="shared" si="28"/>
        <v>6112</v>
      </c>
      <c r="S348" s="154">
        <f t="shared" si="29"/>
        <v>0</v>
      </c>
      <c r="T348" s="156" t="str">
        <f>+VLOOKUP($L348,Data_Validation!$A:$D,1,0)</f>
        <v>6703</v>
      </c>
      <c r="U348" s="156" t="str">
        <f>+VLOOKUP($L348,Data_Validation!$A:$D,3,0)</f>
        <v>Pièces</v>
      </c>
      <c r="V348" s="156" t="str">
        <f>+VLOOKUP($L348,Data_Validation!$A:$D,4,0)</f>
        <v>Service gratuit 2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72" t="s">
        <v>1374</v>
      </c>
      <c r="B349" s="1072" t="s">
        <v>2675</v>
      </c>
      <c r="C349" s="1074">
        <v>0</v>
      </c>
      <c r="D349" s="1074">
        <v>5397.13</v>
      </c>
      <c r="E349" s="1074">
        <v>5397.13</v>
      </c>
      <c r="F349" s="1072" t="s">
        <v>401</v>
      </c>
      <c r="G349" s="1072" t="s">
        <v>2113</v>
      </c>
      <c r="H349" s="150"/>
      <c r="I349" s="151"/>
      <c r="J349" s="151"/>
      <c r="K349" s="151"/>
      <c r="L349" s="153" t="str">
        <f t="shared" si="25"/>
        <v>6714</v>
      </c>
      <c r="M349" s="154" t="str">
        <f t="shared" si="26"/>
        <v>PUBLICITE</v>
      </c>
      <c r="N349" s="155">
        <f>+IF(OR($Q349=Parametres!$G$2,$Q349=Parametres!$G$3),I349,C349)</f>
        <v>0</v>
      </c>
      <c r="O349" s="155">
        <f>+IF(OR($Q349=Parametres!$G$2,$Q349=Parametres!$G$3),J349,D349)</f>
        <v>5397.13</v>
      </c>
      <c r="P349" s="155">
        <f>+IF(OR($Q349=Parametres!$G$2,$Q349=Parametres!$G$3),K349,E349)</f>
        <v>5397.13</v>
      </c>
      <c r="Q349" s="154" t="str">
        <f t="shared" si="27"/>
        <v>7-Dépenses</v>
      </c>
      <c r="R349" s="153" t="str">
        <f t="shared" si="28"/>
        <v>6114</v>
      </c>
      <c r="S349" s="154">
        <f t="shared" si="29"/>
        <v>0</v>
      </c>
      <c r="T349" s="156" t="str">
        <f>+VLOOKUP($L349,Data_Validation!$A:$D,1,0)</f>
        <v>6714</v>
      </c>
      <c r="U349" s="156" t="str">
        <f>+VLOOKUP($L349,Data_Validation!$A:$D,3,0)</f>
        <v>Pièces</v>
      </c>
      <c r="V349" s="156" t="str">
        <f>+VLOOKUP($L349,Data_Validation!$A:$D,4,0)</f>
        <v>Publicité 2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72" t="s">
        <v>1357</v>
      </c>
      <c r="B350" s="1072" t="s">
        <v>2715</v>
      </c>
      <c r="C350" s="1074">
        <v>0</v>
      </c>
      <c r="D350" s="1074">
        <v>729.17</v>
      </c>
      <c r="E350" s="1074">
        <v>729.17</v>
      </c>
      <c r="F350" s="1072" t="s">
        <v>401</v>
      </c>
      <c r="G350" s="1072" t="s">
        <v>2648</v>
      </c>
      <c r="H350" s="150"/>
      <c r="I350" s="152"/>
      <c r="J350" s="152"/>
      <c r="K350" s="152"/>
      <c r="L350" s="153" t="str">
        <f t="shared" si="25"/>
        <v>6721</v>
      </c>
      <c r="M350" s="154" t="str">
        <f t="shared" si="26"/>
        <v>SALAIRES - PROPRIEATIRES</v>
      </c>
      <c r="N350" s="155">
        <f>+IF(OR($Q350=Parametres!$G$2,$Q350=Parametres!$G$3),I350,C350)</f>
        <v>0</v>
      </c>
      <c r="O350" s="610">
        <f>+IF(OR($Q350=Parametres!$G$2,$Q350=Parametres!$G$3),J350,D350)</f>
        <v>729.17</v>
      </c>
      <c r="P350" s="155">
        <f>+IF(OR($Q350=Parametres!$G$2,$Q350=Parametres!$G$3),K350,E350)</f>
        <v>729.17</v>
      </c>
      <c r="Q350" s="154" t="str">
        <f t="shared" si="27"/>
        <v>7-Dépenses</v>
      </c>
      <c r="R350" s="153" t="str">
        <f t="shared" si="28"/>
        <v>6121</v>
      </c>
      <c r="S350" s="154">
        <f t="shared" si="29"/>
        <v>0</v>
      </c>
      <c r="T350" s="156" t="str">
        <f>+VLOOKUP($L350,Data_Validation!$A:$D,1,0)</f>
        <v>6721</v>
      </c>
      <c r="U350" s="156" t="str">
        <f>+VLOOKUP($L350,Data_Validation!$A:$D,3,0)</f>
        <v>Pièces</v>
      </c>
      <c r="V350" s="156" t="str">
        <f>+VLOOKUP($L350,Data_Validation!$A:$D,4,0)</f>
        <v>Salaires propriétaire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72" t="s">
        <v>2624</v>
      </c>
      <c r="B351" s="1072" t="s">
        <v>2765</v>
      </c>
      <c r="C351" s="1074">
        <v>0</v>
      </c>
      <c r="D351" s="1074">
        <v>3692.69</v>
      </c>
      <c r="E351" s="1074">
        <v>3692.69</v>
      </c>
      <c r="F351" s="1072" t="s">
        <v>401</v>
      </c>
      <c r="G351" s="1072" t="s">
        <v>2626</v>
      </c>
      <c r="H351" s="150"/>
      <c r="I351" s="157"/>
      <c r="J351" s="157"/>
      <c r="K351" s="157"/>
      <c r="L351" s="153" t="str">
        <f t="shared" si="25"/>
        <v>6722</v>
      </c>
      <c r="M351" s="154" t="str">
        <f t="shared" si="26"/>
        <v>SAL SUPERVISION / GERANT</v>
      </c>
      <c r="N351" s="155">
        <f>+IF(OR($Q351=Parametres!$G$2,$Q351=Parametres!$G$3),I351,C351)</f>
        <v>0</v>
      </c>
      <c r="O351" s="155">
        <f>+IF(OR($Q351=Parametres!$G$2,$Q351=Parametres!$G$3),J351,D351)</f>
        <v>3692.69</v>
      </c>
      <c r="P351" s="155">
        <f>+IF(OR($Q351=Parametres!$G$2,$Q351=Parametres!$G$3),K351,E351)</f>
        <v>3692.69</v>
      </c>
      <c r="Q351" s="154" t="str">
        <f t="shared" si="27"/>
        <v>7-Dépenses</v>
      </c>
      <c r="R351" s="153" t="str">
        <f t="shared" si="28"/>
        <v>6122</v>
      </c>
      <c r="S351" s="154">
        <f t="shared" si="29"/>
        <v>0</v>
      </c>
      <c r="T351" s="156" t="str">
        <f>+VLOOKUP($L351,Data_Validation!$A:$D,1,0)</f>
        <v>6722</v>
      </c>
      <c r="U351" s="156" t="str">
        <f>+VLOOKUP($L351,Data_Validation!$A:$D,3,0)</f>
        <v>Pièces</v>
      </c>
      <c r="V351" s="156" t="str">
        <f>+VLOOKUP($L351,Data_Validation!$A:$D,4,0)</f>
        <v>Salaires cadres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72" t="s">
        <v>1342</v>
      </c>
      <c r="B352" s="1072" t="s">
        <v>2731</v>
      </c>
      <c r="C352" s="1074">
        <v>0</v>
      </c>
      <c r="D352" s="1074">
        <v>4211.63</v>
      </c>
      <c r="E352" s="1074">
        <v>4211.63</v>
      </c>
      <c r="F352" s="1072" t="s">
        <v>401</v>
      </c>
      <c r="G352" s="1072" t="s">
        <v>2679</v>
      </c>
      <c r="H352" s="150"/>
      <c r="I352" s="151"/>
      <c r="J352" s="151"/>
      <c r="K352" s="151"/>
      <c r="L352" s="153" t="str">
        <f t="shared" si="25"/>
        <v>6723</v>
      </c>
      <c r="M352" s="154" t="str">
        <f t="shared" si="26"/>
        <v>SAL. &amp; RENUM. - CLERICAL</v>
      </c>
      <c r="N352" s="155">
        <f>+IF(OR($Q352=Parametres!$G$2,$Q352=Parametres!$G$3),I352,C352)</f>
        <v>0</v>
      </c>
      <c r="O352" s="155">
        <f>+IF(OR($Q352=Parametres!$G$2,$Q352=Parametres!$G$3),J352,D352)</f>
        <v>4211.63</v>
      </c>
      <c r="P352" s="155">
        <f>+IF(OR($Q352=Parametres!$G$2,$Q352=Parametres!$G$3),K352,E352)</f>
        <v>4211.63</v>
      </c>
      <c r="Q352" s="154" t="str">
        <f t="shared" si="27"/>
        <v>7-Dépenses</v>
      </c>
      <c r="R352" s="153" t="str">
        <f t="shared" si="28"/>
        <v>6123</v>
      </c>
      <c r="S352" s="154">
        <f t="shared" si="29"/>
        <v>0</v>
      </c>
      <c r="T352" s="156" t="str">
        <f>+VLOOKUP($L352,Data_Validation!$A:$D,1,0)</f>
        <v>6723</v>
      </c>
      <c r="U352" s="156" t="str">
        <f>+VLOOKUP($L352,Data_Validation!$A:$D,3,0)</f>
        <v>Pièces</v>
      </c>
      <c r="V352" s="156" t="str">
        <f>+VLOOKUP($L352,Data_Validation!$A:$D,4,0)</f>
        <v>Salaires commis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72" t="s">
        <v>1249</v>
      </c>
      <c r="B353" s="1072" t="s">
        <v>2800</v>
      </c>
      <c r="C353" s="1074">
        <v>0</v>
      </c>
      <c r="D353" s="1074">
        <v>23019.06</v>
      </c>
      <c r="E353" s="1074">
        <v>23019.06</v>
      </c>
      <c r="F353" s="1072" t="s">
        <v>401</v>
      </c>
      <c r="G353" s="1072" t="s">
        <v>2735</v>
      </c>
      <c r="H353" s="1050"/>
      <c r="I353" s="1049"/>
      <c r="J353" s="1049"/>
      <c r="K353" s="1049"/>
      <c r="L353" s="153" t="str">
        <f t="shared" si="25"/>
        <v>6724</v>
      </c>
      <c r="M353" s="154" t="str">
        <f t="shared" si="26"/>
        <v>SALAIRES &amp; RENUM. - AUTRES</v>
      </c>
      <c r="N353" s="155">
        <f>+IF(OR($Q353=Parametres!$G$2,$Q353=Parametres!$G$3),I353,C353)</f>
        <v>0</v>
      </c>
      <c r="O353" s="155">
        <f>+IF(OR($Q353=Parametres!$G$2,$Q353=Parametres!$G$3),J353,D353)</f>
        <v>23019.06</v>
      </c>
      <c r="P353" s="155">
        <f>+IF(OR($Q353=Parametres!$G$2,$Q353=Parametres!$G$3),K353,E353)</f>
        <v>23019.06</v>
      </c>
      <c r="Q353" s="154" t="str">
        <f t="shared" si="27"/>
        <v>7-Dépenses</v>
      </c>
      <c r="R353" s="153" t="str">
        <f t="shared" si="28"/>
        <v>6124</v>
      </c>
      <c r="S353" s="154">
        <f t="shared" si="29"/>
        <v>0</v>
      </c>
      <c r="T353" s="156" t="str">
        <f>+VLOOKUP($L353,Data_Validation!$A:$D,1,0)</f>
        <v>6724</v>
      </c>
      <c r="U353" s="156" t="str">
        <f>+VLOOKUP($L353,Data_Validation!$A:$D,3,0)</f>
        <v>Pièces</v>
      </c>
      <c r="V353" s="156" t="str">
        <f>+VLOOKUP($L353,Data_Validation!$A:$D,4,0)</f>
        <v>Salaires autres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72" t="s">
        <v>1328</v>
      </c>
      <c r="B354" s="1072" t="s">
        <v>2722</v>
      </c>
      <c r="C354" s="1074">
        <v>0</v>
      </c>
      <c r="D354" s="1074">
        <v>2490.75</v>
      </c>
      <c r="E354" s="1074">
        <v>2490.75</v>
      </c>
      <c r="F354" s="1072" t="s">
        <v>401</v>
      </c>
      <c r="G354" s="1072" t="s">
        <v>2641</v>
      </c>
      <c r="H354" s="150"/>
      <c r="I354" s="157"/>
      <c r="J354" s="157"/>
      <c r="K354" s="157"/>
      <c r="L354" s="153" t="str">
        <f t="shared" si="25"/>
        <v>6729</v>
      </c>
      <c r="M354" s="154" t="str">
        <f t="shared" si="26"/>
        <v>ABSENCES, VACANCES, ETC</v>
      </c>
      <c r="N354" s="155">
        <f>+IF(OR($Q354=Parametres!$G$2,$Q354=Parametres!$G$3),I354,C354)</f>
        <v>0</v>
      </c>
      <c r="O354" s="155">
        <f>+IF(OR($Q354=Parametres!$G$2,$Q354=Parametres!$G$3),J354,D354)</f>
        <v>2490.75</v>
      </c>
      <c r="P354" s="155">
        <f>+IF(OR($Q354=Parametres!$G$2,$Q354=Parametres!$G$3),K354,E354)</f>
        <v>2490.75</v>
      </c>
      <c r="Q354" s="154" t="str">
        <f t="shared" si="27"/>
        <v>7-Dépenses</v>
      </c>
      <c r="R354" s="153" t="str">
        <f t="shared" si="28"/>
        <v>6129</v>
      </c>
      <c r="S354" s="154">
        <f t="shared" si="29"/>
        <v>0</v>
      </c>
      <c r="T354" s="156" t="str">
        <f>+VLOOKUP($L354,Data_Validation!$A:$D,1,0)</f>
        <v>6729</v>
      </c>
      <c r="U354" s="156" t="str">
        <f>+VLOOKUP($L354,Data_Validation!$A:$D,3,0)</f>
        <v>Pièces</v>
      </c>
      <c r="V354" s="156" t="str">
        <f>+VLOOKUP($L354,Data_Validation!$A:$D,4,0)</f>
        <v>Salaires en absences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72" t="s">
        <v>1283</v>
      </c>
      <c r="B355" s="1072" t="s">
        <v>2733</v>
      </c>
      <c r="C355" s="1074">
        <v>0</v>
      </c>
      <c r="D355" s="1074">
        <v>5020.3100000000004</v>
      </c>
      <c r="E355" s="1074">
        <v>5020.3100000000004</v>
      </c>
      <c r="F355" s="1072" t="s">
        <v>401</v>
      </c>
      <c r="G355" s="1072" t="s">
        <v>2685</v>
      </c>
      <c r="H355" s="150"/>
      <c r="I355" s="157"/>
      <c r="J355" s="157"/>
      <c r="K355" s="157"/>
      <c r="L355" s="153" t="str">
        <f t="shared" si="25"/>
        <v>6732</v>
      </c>
      <c r="M355" s="154" t="str">
        <f t="shared" si="26"/>
        <v>RRQ RAMQ AC</v>
      </c>
      <c r="N355" s="155">
        <f>+IF(OR($Q355=Parametres!$G$2,$Q355=Parametres!$G$3),I355,C355)</f>
        <v>0</v>
      </c>
      <c r="O355" s="608">
        <f>+IF(OR($Q355=Parametres!$G$2,$Q355=Parametres!$G$3),J355,D355)</f>
        <v>5020.3100000000004</v>
      </c>
      <c r="P355" s="155">
        <f>+IF(OR($Q355=Parametres!$G$2,$Q355=Parametres!$G$3),K355,E355)</f>
        <v>5020.3100000000004</v>
      </c>
      <c r="Q355" s="154" t="str">
        <f t="shared" si="27"/>
        <v>7-Dépenses</v>
      </c>
      <c r="R355" s="153" t="str">
        <f t="shared" si="28"/>
        <v>6132</v>
      </c>
      <c r="S355" s="154">
        <f t="shared" si="29"/>
        <v>0</v>
      </c>
      <c r="T355" s="156" t="str">
        <f>+VLOOKUP($L355,Data_Validation!$A:$D,1,0)</f>
        <v>6732</v>
      </c>
      <c r="U355" s="156" t="str">
        <f>+VLOOKUP($L355,Data_Validation!$A:$D,3,0)</f>
        <v>Pièces</v>
      </c>
      <c r="V355" s="156" t="str">
        <f>+VLOOKUP($L355,Data_Validation!$A:$D,4,0)</f>
        <v>Csst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72" t="s">
        <v>1164</v>
      </c>
      <c r="B356" s="1072" t="s">
        <v>2578</v>
      </c>
      <c r="C356" s="1074">
        <v>0</v>
      </c>
      <c r="D356" s="1074">
        <v>36.33</v>
      </c>
      <c r="E356" s="1074">
        <v>36.33</v>
      </c>
      <c r="F356" s="1072" t="s">
        <v>401</v>
      </c>
      <c r="G356" s="1072" t="s">
        <v>2579</v>
      </c>
      <c r="H356" s="1050"/>
      <c r="I356" s="1049"/>
      <c r="J356" s="1049"/>
      <c r="K356" s="1049"/>
      <c r="L356" s="153" t="str">
        <f t="shared" si="25"/>
        <v>6733</v>
      </c>
      <c r="M356" s="154" t="str">
        <f t="shared" si="26"/>
        <v>FOND PENSION - PIECES</v>
      </c>
      <c r="N356" s="155">
        <f>+IF(OR($Q356=Parametres!$G$2,$Q356=Parametres!$G$3),I356,C356)</f>
        <v>0</v>
      </c>
      <c r="O356" s="155">
        <f>+IF(OR($Q356=Parametres!$G$2,$Q356=Parametres!$G$3),J356,D356)</f>
        <v>36.33</v>
      </c>
      <c r="P356" s="155">
        <f>+IF(OR($Q356=Parametres!$G$2,$Q356=Parametres!$G$3),K356,E356)</f>
        <v>36.33</v>
      </c>
      <c r="Q356" s="154" t="str">
        <f t="shared" si="27"/>
        <v>7-Dépenses</v>
      </c>
      <c r="R356" s="153" t="str">
        <f t="shared" si="28"/>
        <v>6133</v>
      </c>
      <c r="S356" s="154">
        <f t="shared" si="29"/>
        <v>0</v>
      </c>
      <c r="T356" s="156" t="str">
        <f>+VLOOKUP($L356,Data_Validation!$A:$D,1,0)</f>
        <v>6733</v>
      </c>
      <c r="U356" s="156" t="str">
        <f>+VLOOKUP($L356,Data_Validation!$A:$D,3,0)</f>
        <v>Pièces</v>
      </c>
      <c r="V356" s="156" t="str">
        <f>+VLOOKUP($L356,Data_Validation!$A:$D,4,0)</f>
        <v>Déduction à la source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72" t="s">
        <v>1305</v>
      </c>
      <c r="B357" s="1072" t="s">
        <v>2744</v>
      </c>
      <c r="C357" s="1074">
        <v>0</v>
      </c>
      <c r="D357" s="1074">
        <v>4575.01</v>
      </c>
      <c r="E357" s="1074">
        <v>4575.01</v>
      </c>
      <c r="F357" s="1072" t="s">
        <v>401</v>
      </c>
      <c r="G357" s="1072" t="s">
        <v>2694</v>
      </c>
      <c r="H357" s="150"/>
      <c r="I357" s="151"/>
      <c r="J357" s="151"/>
      <c r="K357" s="151"/>
      <c r="L357" s="153" t="str">
        <f t="shared" si="25"/>
        <v>6739</v>
      </c>
      <c r="M357" s="154" t="str">
        <f t="shared" si="26"/>
        <v>ASSURANCE GROUPE</v>
      </c>
      <c r="N357" s="155">
        <f>+IF(OR($Q357=Parametres!$G$2,$Q357=Parametres!$G$3),I357,C357)</f>
        <v>0</v>
      </c>
      <c r="O357" s="155">
        <f>+IF(OR($Q357=Parametres!$G$2,$Q357=Parametres!$G$3),J357,D357)</f>
        <v>4575.01</v>
      </c>
      <c r="P357" s="155">
        <f>+IF(OR($Q357=Parametres!$G$2,$Q357=Parametres!$G$3),K357,E357)</f>
        <v>4575.01</v>
      </c>
      <c r="Q357" s="154" t="str">
        <f t="shared" si="27"/>
        <v>7-Dépenses</v>
      </c>
      <c r="R357" s="153" t="str">
        <f t="shared" si="28"/>
        <v>6139</v>
      </c>
      <c r="S357" s="154">
        <f t="shared" si="29"/>
        <v>0</v>
      </c>
      <c r="T357" s="156" t="str">
        <f>+VLOOKUP($L357,Data_Validation!$A:$D,1,0)</f>
        <v>6739</v>
      </c>
      <c r="U357" s="156" t="str">
        <f>+VLOOKUP($L357,Data_Validation!$A:$D,3,0)</f>
        <v>Pièces</v>
      </c>
      <c r="V357" s="156" t="str">
        <f>+VLOOKUP($L357,Data_Validation!$A:$D,4,0)</f>
        <v>Bénéfices marginaux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72" t="s">
        <v>1157</v>
      </c>
      <c r="B358" s="1072" t="s">
        <v>2598</v>
      </c>
      <c r="C358" s="1074">
        <v>0</v>
      </c>
      <c r="D358" s="1074">
        <v>164.65</v>
      </c>
      <c r="E358" s="1074">
        <v>164.65</v>
      </c>
      <c r="F358" s="1072" t="s">
        <v>401</v>
      </c>
      <c r="G358" s="1072" t="s">
        <v>2563</v>
      </c>
      <c r="H358" s="150"/>
      <c r="I358" s="151"/>
      <c r="J358" s="151"/>
      <c r="K358" s="151"/>
      <c r="L358" s="153" t="str">
        <f t="shared" si="25"/>
        <v>6742</v>
      </c>
      <c r="M358" s="154" t="str">
        <f t="shared" si="26"/>
        <v>FOURNITURES &amp; PETITS OUTILS</v>
      </c>
      <c r="N358" s="155">
        <f>+IF(OR($Q358=Parametres!$G$2,$Q358=Parametres!$G$3),I358,C358)</f>
        <v>0</v>
      </c>
      <c r="O358" s="155">
        <f>+IF(OR($Q358=Parametres!$G$2,$Q358=Parametres!$G$3),J358,D358)</f>
        <v>164.65</v>
      </c>
      <c r="P358" s="155">
        <f>+IF(OR($Q358=Parametres!$G$2,$Q358=Parametres!$G$3),K358,E358)</f>
        <v>164.65</v>
      </c>
      <c r="Q358" s="154" t="str">
        <f t="shared" si="27"/>
        <v>7-Dépenses</v>
      </c>
      <c r="R358" s="153" t="str">
        <f t="shared" si="28"/>
        <v>6142</v>
      </c>
      <c r="S358" s="154">
        <f t="shared" si="29"/>
        <v>0</v>
      </c>
      <c r="T358" s="156" t="str">
        <f>+VLOOKUP($L358,Data_Validation!$A:$D,1,0)</f>
        <v>6742</v>
      </c>
      <c r="U358" s="156" t="str">
        <f>+VLOOKUP($L358,Data_Validation!$A:$D,3,0)</f>
        <v>Pièces</v>
      </c>
      <c r="V358" s="156" t="str">
        <f>+VLOOKUP($L358,Data_Validation!$A:$D,4,0)</f>
        <v>Fournitures autres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72" t="s">
        <v>934</v>
      </c>
      <c r="B359" s="1072" t="s">
        <v>2573</v>
      </c>
      <c r="C359" s="1074">
        <v>0</v>
      </c>
      <c r="D359" s="1074">
        <v>22.14</v>
      </c>
      <c r="E359" s="1074">
        <v>22.14</v>
      </c>
      <c r="F359" s="1072" t="s">
        <v>401</v>
      </c>
      <c r="G359" s="1072" t="s">
        <v>2561</v>
      </c>
      <c r="H359" s="150"/>
      <c r="I359" s="151"/>
      <c r="J359" s="151"/>
      <c r="K359" s="151"/>
      <c r="L359" s="153" t="str">
        <f t="shared" si="25"/>
        <v>6744</v>
      </c>
      <c r="M359" s="154" t="str">
        <f t="shared" si="26"/>
        <v>FORMATION</v>
      </c>
      <c r="N359" s="155">
        <f>+IF(OR($Q359=Parametres!$G$2,$Q359=Parametres!$G$3),I359,C359)</f>
        <v>0</v>
      </c>
      <c r="O359" s="155">
        <f>+IF(OR($Q359=Parametres!$G$2,$Q359=Parametres!$G$3),J359,D359)</f>
        <v>22.14</v>
      </c>
      <c r="P359" s="155">
        <f>+IF(OR($Q359=Parametres!$G$2,$Q359=Parametres!$G$3),K359,E359)</f>
        <v>22.14</v>
      </c>
      <c r="Q359" s="154" t="str">
        <f t="shared" si="27"/>
        <v>7-Dépenses</v>
      </c>
      <c r="R359" s="153" t="str">
        <f t="shared" si="28"/>
        <v>6144</v>
      </c>
      <c r="S359" s="154">
        <f t="shared" si="29"/>
        <v>0</v>
      </c>
      <c r="T359" s="156" t="str">
        <f>+VLOOKUP($L359,Data_Validation!$A:$D,1,0)</f>
        <v>6744</v>
      </c>
      <c r="U359" s="156" t="str">
        <f>+VLOOKUP($L359,Data_Validation!$A:$D,3,0)</f>
        <v>Pièces</v>
      </c>
      <c r="V359" s="156" t="str">
        <f>+VLOOKUP($L359,Data_Validation!$A:$D,4,0)</f>
        <v>Formation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72" t="s">
        <v>1186</v>
      </c>
      <c r="B360" s="1072" t="s">
        <v>2631</v>
      </c>
      <c r="C360" s="1074">
        <v>0</v>
      </c>
      <c r="D360" s="1074">
        <v>290.89</v>
      </c>
      <c r="E360" s="1074">
        <v>290.89</v>
      </c>
      <c r="F360" s="1072" t="s">
        <v>401</v>
      </c>
      <c r="G360" s="1072" t="s">
        <v>2632</v>
      </c>
      <c r="H360" s="150"/>
      <c r="I360" s="157"/>
      <c r="J360" s="157"/>
      <c r="K360" s="157"/>
      <c r="L360" s="153" t="str">
        <f t="shared" si="25"/>
        <v>6745</v>
      </c>
      <c r="M360" s="154" t="str">
        <f t="shared" si="26"/>
        <v>VEHICULE DE COMPAGNIE - DEPENS</v>
      </c>
      <c r="N360" s="155">
        <f>+IF(OR($Q360=Parametres!$G$2,$Q360=Parametres!$G$3),I360,C360)</f>
        <v>0</v>
      </c>
      <c r="O360" s="155">
        <f>+IF(OR($Q360=Parametres!$G$2,$Q360=Parametres!$G$3),J360,D360)</f>
        <v>290.89</v>
      </c>
      <c r="P360" s="155">
        <f>+IF(OR($Q360=Parametres!$G$2,$Q360=Parametres!$G$3),K360,E360)</f>
        <v>290.89</v>
      </c>
      <c r="Q360" s="154" t="str">
        <f t="shared" si="27"/>
        <v>7-Dépenses</v>
      </c>
      <c r="R360" s="153" t="str">
        <f t="shared" si="28"/>
        <v>6145</v>
      </c>
      <c r="S360" s="154">
        <f t="shared" si="29"/>
        <v>0</v>
      </c>
      <c r="T360" s="156" t="str">
        <f>+VLOOKUP($L360,Data_Validation!$A:$D,1,0)</f>
        <v>6745</v>
      </c>
      <c r="U360" s="156" t="str">
        <f>+VLOOKUP($L360,Data_Validation!$A:$D,3,0)</f>
        <v>Pièces</v>
      </c>
      <c r="V360" s="156" t="str">
        <f>+VLOOKUP($L360,Data_Validation!$A:$D,4,0)</f>
        <v>Frais véhicules de cie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72" t="s">
        <v>1180</v>
      </c>
      <c r="B361" s="1072" t="s">
        <v>2610</v>
      </c>
      <c r="C361" s="1074">
        <v>0</v>
      </c>
      <c r="D361" s="1074">
        <v>15.97</v>
      </c>
      <c r="E361" s="1074">
        <v>15.97</v>
      </c>
      <c r="F361" s="1072" t="s">
        <v>401</v>
      </c>
      <c r="G361" s="1072" t="s">
        <v>2581</v>
      </c>
      <c r="H361" s="150"/>
      <c r="I361" s="151"/>
      <c r="J361" s="151"/>
      <c r="K361" s="151"/>
      <c r="L361" s="153" t="str">
        <f t="shared" si="25"/>
        <v>6747</v>
      </c>
      <c r="M361" s="154" t="str">
        <f t="shared" si="26"/>
        <v>FRET/EXPRESS/TRANS. PAR CAMION</v>
      </c>
      <c r="N361" s="155">
        <f>+IF(OR($Q361=Parametres!$G$2,$Q361=Parametres!$G$3),I361,C361)</f>
        <v>0</v>
      </c>
      <c r="O361" s="155">
        <f>+IF(OR($Q361=Parametres!$G$2,$Q361=Parametres!$G$3),J361,D361)</f>
        <v>15.97</v>
      </c>
      <c r="P361" s="155">
        <f>+IF(OR($Q361=Parametres!$G$2,$Q361=Parametres!$G$3),K361,E361)</f>
        <v>15.97</v>
      </c>
      <c r="Q361" s="154" t="str">
        <f t="shared" si="27"/>
        <v>7-Dépenses</v>
      </c>
      <c r="R361" s="153" t="str">
        <f t="shared" si="28"/>
        <v>6147</v>
      </c>
      <c r="S361" s="154">
        <f t="shared" si="29"/>
        <v>0</v>
      </c>
      <c r="T361" s="156" t="str">
        <f>+VLOOKUP($L361,Data_Validation!$A:$D,1,0)</f>
        <v>6747</v>
      </c>
      <c r="U361" s="156" t="str">
        <f>+VLOOKUP($L361,Data_Validation!$A:$D,3,0)</f>
        <v>Pièces</v>
      </c>
      <c r="V361" s="156" t="str">
        <f>+VLOOKUP($L361,Data_Validation!$A:$D,4,0)</f>
        <v>Frais postaux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72" t="s">
        <v>1286</v>
      </c>
      <c r="B362" s="1072" t="s">
        <v>2739</v>
      </c>
      <c r="C362" s="1074">
        <v>0</v>
      </c>
      <c r="D362" s="1074">
        <v>3781.12</v>
      </c>
      <c r="E362" s="1074">
        <v>3781.12</v>
      </c>
      <c r="F362" s="1072" t="s">
        <v>401</v>
      </c>
      <c r="G362" s="1072" t="s">
        <v>2702</v>
      </c>
      <c r="H362" s="150"/>
      <c r="I362" s="151"/>
      <c r="J362" s="151"/>
      <c r="K362" s="151"/>
      <c r="L362" s="153" t="str">
        <f t="shared" si="25"/>
        <v>6751</v>
      </c>
      <c r="M362" s="154" t="str">
        <f t="shared" si="26"/>
        <v>DEP. DU TRAITEMENT DES DONNEES</v>
      </c>
      <c r="N362" s="155">
        <f>+IF(OR($Q362=Parametres!$G$2,$Q362=Parametres!$G$3),I362,C362)</f>
        <v>0</v>
      </c>
      <c r="O362" s="155">
        <f>+IF(OR($Q362=Parametres!$G$2,$Q362=Parametres!$G$3),J362,D362)</f>
        <v>3781.12</v>
      </c>
      <c r="P362" s="155">
        <f>+IF(OR($Q362=Parametres!$G$2,$Q362=Parametres!$G$3),K362,E362)</f>
        <v>3781.12</v>
      </c>
      <c r="Q362" s="154" t="str">
        <f t="shared" si="27"/>
        <v>7-Dépenses</v>
      </c>
      <c r="R362" s="153" t="str">
        <f t="shared" si="28"/>
        <v>6151</v>
      </c>
      <c r="S362" s="154">
        <f t="shared" si="29"/>
        <v>0</v>
      </c>
      <c r="T362" s="156" t="str">
        <f>+VLOOKUP($L362,Data_Validation!$A:$D,1,0)</f>
        <v>6751</v>
      </c>
      <c r="U362" s="156" t="str">
        <f>+VLOOKUP($L362,Data_Validation!$A:$D,3,0)</f>
        <v>Pièces</v>
      </c>
      <c r="V362" s="156" t="str">
        <f>+VLOOKUP($L362,Data_Validation!$A:$D,4,0)</f>
        <v>Informatique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72" t="s">
        <v>1206</v>
      </c>
      <c r="B363" s="1072" t="s">
        <v>2646</v>
      </c>
      <c r="C363" s="1074">
        <v>0</v>
      </c>
      <c r="D363" s="1074">
        <v>424.01</v>
      </c>
      <c r="E363" s="1074">
        <v>424.01</v>
      </c>
      <c r="F363" s="1072" t="s">
        <v>401</v>
      </c>
      <c r="G363" s="1072" t="s">
        <v>2588</v>
      </c>
      <c r="H363" s="150"/>
      <c r="I363" s="151"/>
      <c r="J363" s="151"/>
      <c r="K363" s="151"/>
      <c r="L363" s="153" t="str">
        <f t="shared" si="25"/>
        <v>6752</v>
      </c>
      <c r="M363" s="154" t="str">
        <f t="shared" si="26"/>
        <v>PAPETERIE</v>
      </c>
      <c r="N363" s="155">
        <f>+IF(OR($Q363=Parametres!$G$2,$Q363=Parametres!$G$3),I363,C363)</f>
        <v>0</v>
      </c>
      <c r="O363" s="155">
        <f>+IF(OR($Q363=Parametres!$G$2,$Q363=Parametres!$G$3),J363,D363)</f>
        <v>424.01</v>
      </c>
      <c r="P363" s="155">
        <f>+IF(OR($Q363=Parametres!$G$2,$Q363=Parametres!$G$3),K363,E363)</f>
        <v>424.01</v>
      </c>
      <c r="Q363" s="154" t="str">
        <f t="shared" si="27"/>
        <v>7-Dépenses</v>
      </c>
      <c r="R363" s="153" t="str">
        <f t="shared" si="28"/>
        <v>6152</v>
      </c>
      <c r="S363" s="154">
        <f t="shared" si="29"/>
        <v>0</v>
      </c>
      <c r="T363" s="156" t="str">
        <f>+VLOOKUP($L363,Data_Validation!$A:$D,1,0)</f>
        <v>6752</v>
      </c>
      <c r="U363" s="156" t="str">
        <f>+VLOOKUP($L363,Data_Validation!$A:$D,3,0)</f>
        <v>Pièces</v>
      </c>
      <c r="V363" s="156" t="str">
        <f>+VLOOKUP($L363,Data_Validation!$A:$D,4,0)</f>
        <v>Papeterie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72" t="s">
        <v>1154</v>
      </c>
      <c r="B364" s="1072" t="s">
        <v>2630</v>
      </c>
      <c r="C364" s="1074">
        <v>0</v>
      </c>
      <c r="D364" s="1074">
        <v>256.82</v>
      </c>
      <c r="E364" s="1074">
        <v>256.82</v>
      </c>
      <c r="F364" s="1072" t="s">
        <v>401</v>
      </c>
      <c r="G364" s="1072" t="s">
        <v>2592</v>
      </c>
      <c r="H364" s="150"/>
      <c r="I364" s="151"/>
      <c r="J364" s="151"/>
      <c r="K364" s="151"/>
      <c r="L364" s="153" t="str">
        <f t="shared" si="25"/>
        <v>6753</v>
      </c>
      <c r="M364" s="154" t="str">
        <f t="shared" si="26"/>
        <v>TELEPHONE ET TELEX</v>
      </c>
      <c r="N364" s="155">
        <f>+IF(OR($Q364=Parametres!$G$2,$Q364=Parametres!$G$3),I364,C364)</f>
        <v>0</v>
      </c>
      <c r="O364" s="155">
        <f>+IF(OR($Q364=Parametres!$G$2,$Q364=Parametres!$G$3),J364,D364)</f>
        <v>256.82</v>
      </c>
      <c r="P364" s="155">
        <f>+IF(OR($Q364=Parametres!$G$2,$Q364=Parametres!$G$3),K364,E364)</f>
        <v>256.82</v>
      </c>
      <c r="Q364" s="154" t="str">
        <f t="shared" si="27"/>
        <v>7-Dépenses</v>
      </c>
      <c r="R364" s="153" t="str">
        <f t="shared" si="28"/>
        <v>6153</v>
      </c>
      <c r="S364" s="154">
        <f t="shared" si="29"/>
        <v>0</v>
      </c>
      <c r="T364" s="156" t="str">
        <f>+VLOOKUP($L364,Data_Validation!$A:$D,1,0)</f>
        <v>6753</v>
      </c>
      <c r="U364" s="156" t="str">
        <f>+VLOOKUP($L364,Data_Validation!$A:$D,3,0)</f>
        <v>Pièces</v>
      </c>
      <c r="V364" s="156" t="str">
        <f>+VLOOKUP($L364,Data_Validation!$A:$D,4,0)</f>
        <v>Téléphone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72" t="s">
        <v>1237</v>
      </c>
      <c r="B365" s="1072" t="s">
        <v>2704</v>
      </c>
      <c r="C365" s="1074">
        <v>0</v>
      </c>
      <c r="D365" s="1074">
        <v>197.1</v>
      </c>
      <c r="E365" s="1074">
        <v>197.1</v>
      </c>
      <c r="F365" s="1072" t="s">
        <v>401</v>
      </c>
      <c r="G365" s="1072" t="s">
        <v>2637</v>
      </c>
      <c r="H365" s="1050"/>
      <c r="I365" s="1049"/>
      <c r="J365" s="1049"/>
      <c r="K365" s="1049"/>
      <c r="L365" s="153" t="str">
        <f t="shared" si="25"/>
        <v>6755</v>
      </c>
      <c r="M365" s="154" t="str">
        <f t="shared" si="26"/>
        <v>DEPENSES DIVERS</v>
      </c>
      <c r="N365" s="155">
        <f>+IF(OR($Q365=Parametres!$G$2,$Q365=Parametres!$G$3),I365,C365)</f>
        <v>0</v>
      </c>
      <c r="O365" s="155">
        <f>+IF(OR($Q365=Parametres!$G$2,$Q365=Parametres!$G$3),J365,D365)</f>
        <v>197.1</v>
      </c>
      <c r="P365" s="155">
        <f>+IF(OR($Q365=Parametres!$G$2,$Q365=Parametres!$G$3),K365,E365)</f>
        <v>197.1</v>
      </c>
      <c r="Q365" s="154" t="str">
        <f t="shared" si="27"/>
        <v>7-Dépenses</v>
      </c>
      <c r="R365" s="153" t="str">
        <f t="shared" si="28"/>
        <v>6155</v>
      </c>
      <c r="S365" s="154">
        <f t="shared" si="29"/>
        <v>0</v>
      </c>
      <c r="T365" s="156" t="str">
        <f>+VLOOKUP($L365,Data_Validation!$A:$D,1,0)</f>
        <v>6755</v>
      </c>
      <c r="U365" s="156" t="str">
        <f>+VLOOKUP($L365,Data_Validation!$A:$D,3,0)</f>
        <v>Pièces</v>
      </c>
      <c r="V365" s="156" t="str">
        <f>+VLOOKUP($L365,Data_Validation!$A:$D,4,0)</f>
        <v>Divers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72" t="s">
        <v>1294</v>
      </c>
      <c r="B366" s="1072" t="s">
        <v>2475</v>
      </c>
      <c r="C366" s="1074">
        <v>0</v>
      </c>
      <c r="D366" s="1074">
        <v>48.43</v>
      </c>
      <c r="E366" s="1074">
        <v>48.43</v>
      </c>
      <c r="F366" s="1072" t="s">
        <v>401</v>
      </c>
      <c r="G366" s="1072" t="s">
        <v>2470</v>
      </c>
      <c r="H366" s="1050"/>
      <c r="I366" s="1050"/>
      <c r="J366" s="1050"/>
      <c r="K366" s="1050"/>
      <c r="L366" s="153" t="str">
        <f t="shared" si="25"/>
        <v>6756</v>
      </c>
      <c r="M366" s="154" t="str">
        <f t="shared" si="26"/>
        <v>FRAIS REPRESENTATION - PIECES</v>
      </c>
      <c r="N366" s="155">
        <f>+IF(OR($Q366=Parametres!$G$2,$Q366=Parametres!$G$3),I366,C366)</f>
        <v>0</v>
      </c>
      <c r="O366" s="608">
        <f>+IF(OR($Q366=Parametres!$G$2,$Q366=Parametres!$G$3),J366,D366)</f>
        <v>48.43</v>
      </c>
      <c r="P366" s="155">
        <f>+IF(OR($Q366=Parametres!$G$2,$Q366=Parametres!$G$3),K366,E366)</f>
        <v>48.43</v>
      </c>
      <c r="Q366" s="154" t="str">
        <f t="shared" si="27"/>
        <v>7-Dépenses</v>
      </c>
      <c r="R366" s="153" t="str">
        <f t="shared" si="28"/>
        <v>6156</v>
      </c>
      <c r="S366" s="154">
        <f t="shared" si="29"/>
        <v>0</v>
      </c>
      <c r="T366" s="156" t="str">
        <f>+VLOOKUP($L366,Data_Validation!$A:$D,1,0)</f>
        <v>6756</v>
      </c>
      <c r="U366" s="156" t="str">
        <f>+VLOOKUP($L366,Data_Validation!$A:$D,3,0)</f>
        <v>Pièces</v>
      </c>
      <c r="V366" s="156" t="str">
        <f>+VLOOKUP($L366,Data_Validation!$A:$D,4,0)</f>
        <v>Frais de déplacement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72" t="s">
        <v>1308</v>
      </c>
      <c r="B367" s="1072" t="s">
        <v>2775</v>
      </c>
      <c r="C367" s="1074">
        <v>0</v>
      </c>
      <c r="D367" s="1074">
        <v>5169.6099999999997</v>
      </c>
      <c r="E367" s="1074">
        <v>5169.6099999999997</v>
      </c>
      <c r="F367" s="1072" t="s">
        <v>401</v>
      </c>
      <c r="G367" s="1072" t="s">
        <v>2662</v>
      </c>
      <c r="H367" s="1050"/>
      <c r="I367" s="1050"/>
      <c r="J367" s="1050"/>
      <c r="K367" s="1050"/>
      <c r="L367" s="153" t="str">
        <f t="shared" si="25"/>
        <v>6759</v>
      </c>
      <c r="M367" s="154" t="str">
        <f t="shared" si="26"/>
        <v>SERVICE EXTERIEUR</v>
      </c>
      <c r="N367" s="155">
        <f>+IF(OR($Q367=Parametres!$G$2,$Q367=Parametres!$G$3),I367,C367)</f>
        <v>0</v>
      </c>
      <c r="O367" s="155">
        <f>+IF(OR($Q367=Parametres!$G$2,$Q367=Parametres!$G$3),J367,D367)</f>
        <v>5169.6099999999997</v>
      </c>
      <c r="P367" s="155">
        <f>+IF(OR($Q367=Parametres!$G$2,$Q367=Parametres!$G$3),K367,E367)</f>
        <v>5169.6099999999997</v>
      </c>
      <c r="Q367" s="154" t="str">
        <f t="shared" si="27"/>
        <v>7-Dépenses</v>
      </c>
      <c r="R367" s="153" t="str">
        <f t="shared" si="28"/>
        <v>6159</v>
      </c>
      <c r="S367" s="154">
        <f t="shared" si="29"/>
        <v>0</v>
      </c>
      <c r="T367" s="156" t="str">
        <f>+VLOOKUP($L367,Data_Validation!$A:$D,1,0)</f>
        <v>6759</v>
      </c>
      <c r="U367" s="156" t="str">
        <f>+VLOOKUP($L367,Data_Validation!$A:$D,3,0)</f>
        <v>Pièces</v>
      </c>
      <c r="V367" s="156" t="str">
        <f>+VLOOKUP($L367,Data_Validation!$A:$D,4,0)</f>
        <v>Services extérieurs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72" t="s">
        <v>1333</v>
      </c>
      <c r="B368" s="1072" t="s">
        <v>2718</v>
      </c>
      <c r="C368" s="1074">
        <v>0</v>
      </c>
      <c r="D368" s="1074">
        <v>2291.75</v>
      </c>
      <c r="E368" s="1074">
        <v>2291.75</v>
      </c>
      <c r="F368" s="1072" t="s">
        <v>401</v>
      </c>
      <c r="G368" s="1072" t="s">
        <v>2653</v>
      </c>
      <c r="H368" s="1050"/>
      <c r="I368" s="1050"/>
      <c r="J368" s="1050"/>
      <c r="K368" s="1050"/>
      <c r="L368" s="153" t="str">
        <f t="shared" si="25"/>
        <v>6761</v>
      </c>
      <c r="M368" s="154" t="str">
        <f t="shared" si="26"/>
        <v>DEPRECIATION EQUIP. &amp; FIXTURES</v>
      </c>
      <c r="N368" s="155">
        <f>+IF(OR($Q368=Parametres!$G$2,$Q368=Parametres!$G$3),I368,C368)</f>
        <v>0</v>
      </c>
      <c r="O368" s="608">
        <f>+IF(OR($Q368=Parametres!$G$2,$Q368=Parametres!$G$3),J368,D368)</f>
        <v>2291.75</v>
      </c>
      <c r="P368" s="155">
        <f>+IF(OR($Q368=Parametres!$G$2,$Q368=Parametres!$G$3),K368,E368)</f>
        <v>2291.75</v>
      </c>
      <c r="Q368" s="154" t="str">
        <f t="shared" si="27"/>
        <v>7-Dépenses</v>
      </c>
      <c r="R368" s="153" t="str">
        <f t="shared" si="28"/>
        <v>6161</v>
      </c>
      <c r="S368" s="154">
        <f t="shared" si="29"/>
        <v>0</v>
      </c>
      <c r="T368" s="156" t="str">
        <f>+VLOOKUP($L368,Data_Validation!$A:$D,1,0)</f>
        <v>6761</v>
      </c>
      <c r="U368" s="156" t="str">
        <f>+VLOOKUP($L368,Data_Validation!$A:$D,3,0)</f>
        <v>Pièces</v>
      </c>
      <c r="V368" s="156" t="str">
        <f>+VLOOKUP($L368,Data_Validation!$A:$D,4,0)</f>
        <v>Amortissement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72" t="s">
        <v>1316</v>
      </c>
      <c r="B369" s="1072" t="s">
        <v>2671</v>
      </c>
      <c r="C369" s="1074">
        <v>0</v>
      </c>
      <c r="D369" s="1074">
        <v>423.95</v>
      </c>
      <c r="E369" s="1074">
        <v>423.95</v>
      </c>
      <c r="F369" s="1072" t="s">
        <v>401</v>
      </c>
      <c r="G369" s="1072" t="s">
        <v>2604</v>
      </c>
      <c r="H369" s="150"/>
      <c r="I369" s="152"/>
      <c r="J369" s="152"/>
      <c r="K369" s="152"/>
      <c r="L369" s="153" t="str">
        <f t="shared" si="25"/>
        <v>6781</v>
      </c>
      <c r="M369" s="154" t="str">
        <f t="shared" si="26"/>
        <v>CHAUFFAGE,ELECTRICITE,EAU-PIECES</v>
      </c>
      <c r="N369" s="155">
        <f>+IF(OR($Q369=Parametres!$G$2,$Q369=Parametres!$G$3),I369,C369)</f>
        <v>0</v>
      </c>
      <c r="O369" s="155">
        <f>+IF(OR($Q369=Parametres!$G$2,$Q369=Parametres!$G$3),J369,D369)</f>
        <v>423.95</v>
      </c>
      <c r="P369" s="155">
        <f>+IF(OR($Q369=Parametres!$G$2,$Q369=Parametres!$G$3),K369,E369)</f>
        <v>423.95</v>
      </c>
      <c r="Q369" s="154" t="str">
        <f t="shared" si="27"/>
        <v>7-Dépenses</v>
      </c>
      <c r="R369" s="153" t="str">
        <f t="shared" si="28"/>
        <v>6181</v>
      </c>
      <c r="S369" s="154">
        <f t="shared" si="29"/>
        <v>0</v>
      </c>
      <c r="T369" s="156" t="str">
        <f>+VLOOKUP($L369,Data_Validation!$A:$D,1,0)</f>
        <v>6781</v>
      </c>
      <c r="U369" s="156" t="str">
        <f>+VLOOKUP($L369,Data_Validation!$A:$D,3,0)</f>
        <v>Pièces</v>
      </c>
      <c r="V369" s="156" t="str">
        <f>+VLOOKUP($L369,Data_Validation!$A:$D,4,0)</f>
        <v>Chauffage, éclairage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72" t="s">
        <v>1457</v>
      </c>
      <c r="B370" s="1072" t="s">
        <v>2760</v>
      </c>
      <c r="C370" s="1074">
        <v>0</v>
      </c>
      <c r="D370" s="1074">
        <v>6500</v>
      </c>
      <c r="E370" s="1074">
        <v>6500</v>
      </c>
      <c r="F370" s="1072" t="s">
        <v>401</v>
      </c>
      <c r="G370" s="1072" t="s">
        <v>2709</v>
      </c>
      <c r="H370" s="150"/>
      <c r="I370" s="157"/>
      <c r="J370" s="157"/>
      <c r="K370" s="157"/>
      <c r="L370" s="153" t="str">
        <f t="shared" si="25"/>
        <v>6782</v>
      </c>
      <c r="M370" s="154" t="str">
        <f t="shared" si="26"/>
        <v>LOYER - PIECES</v>
      </c>
      <c r="N370" s="155">
        <f>+IF(OR($Q370=Parametres!$G$2,$Q370=Parametres!$G$3),I370,C370)</f>
        <v>0</v>
      </c>
      <c r="O370" s="155">
        <f>+IF(OR($Q370=Parametres!$G$2,$Q370=Parametres!$G$3),J370,D370)</f>
        <v>6500</v>
      </c>
      <c r="P370" s="155">
        <f>+IF(OR($Q370=Parametres!$G$2,$Q370=Parametres!$G$3),K370,E370)</f>
        <v>6500</v>
      </c>
      <c r="Q370" s="154" t="str">
        <f t="shared" si="27"/>
        <v>7-Dépenses</v>
      </c>
      <c r="R370" s="153" t="str">
        <f t="shared" si="28"/>
        <v>6182</v>
      </c>
      <c r="S370" s="154">
        <f t="shared" si="29"/>
        <v>0</v>
      </c>
      <c r="T370" s="156" t="str">
        <f>+VLOOKUP($L370,Data_Validation!$A:$D,1,0)</f>
        <v>6782</v>
      </c>
      <c r="U370" s="156" t="str">
        <f>+VLOOKUP($L370,Data_Validation!$A:$D,3,0)</f>
        <v>Pièces</v>
      </c>
      <c r="V370" s="156" t="str">
        <f>+VLOOKUP($L370,Data_Validation!$A:$D,4,0)</f>
        <v>Loyer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72" t="s">
        <v>1352</v>
      </c>
      <c r="B371" s="1072" t="s">
        <v>2660</v>
      </c>
      <c r="C371" s="1074">
        <v>0</v>
      </c>
      <c r="D371" s="1074">
        <v>927.02</v>
      </c>
      <c r="E371" s="1074">
        <v>927.02</v>
      </c>
      <c r="F371" s="1072" t="s">
        <v>401</v>
      </c>
      <c r="G371" s="1072" t="s">
        <v>2594</v>
      </c>
      <c r="H371" s="150"/>
      <c r="I371" s="151"/>
      <c r="J371" s="151"/>
      <c r="K371" s="151"/>
      <c r="L371" s="153" t="str">
        <f t="shared" si="25"/>
        <v>6786</v>
      </c>
      <c r="M371" s="154" t="str">
        <f t="shared" si="26"/>
        <v>ASSURANCE BATISSE &amp; AMEL.-PIECES</v>
      </c>
      <c r="N371" s="155">
        <f>+IF(OR($Q371=Parametres!$G$2,$Q371=Parametres!$G$3),I371,C371)</f>
        <v>0</v>
      </c>
      <c r="O371" s="155">
        <f>+IF(OR($Q371=Parametres!$G$2,$Q371=Parametres!$G$3),J371,D371)</f>
        <v>927.02</v>
      </c>
      <c r="P371" s="155">
        <f>+IF(OR($Q371=Parametres!$G$2,$Q371=Parametres!$G$3),K371,E371)</f>
        <v>927.02</v>
      </c>
      <c r="Q371" s="154" t="str">
        <f t="shared" si="27"/>
        <v>7-Dépenses</v>
      </c>
      <c r="R371" s="153" t="str">
        <f t="shared" si="28"/>
        <v>6186</v>
      </c>
      <c r="S371" s="154">
        <f t="shared" si="29"/>
        <v>0</v>
      </c>
      <c r="T371" s="156" t="str">
        <f>+VLOOKUP($L371,Data_Validation!$A:$D,1,0)</f>
        <v>6786</v>
      </c>
      <c r="U371" s="156" t="str">
        <f>+VLOOKUP($L371,Data_Validation!$A:$D,3,0)</f>
        <v>Pièces</v>
      </c>
      <c r="V371" s="156" t="str">
        <f>+VLOOKUP($L371,Data_Validation!$A:$D,4,0)</f>
        <v>Assurances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72" t="s">
        <v>1344</v>
      </c>
      <c r="B372" s="1072" t="s">
        <v>2686</v>
      </c>
      <c r="C372" s="1074">
        <v>0</v>
      </c>
      <c r="D372" s="1074">
        <v>1202.5</v>
      </c>
      <c r="E372" s="1074">
        <v>1202.5</v>
      </c>
      <c r="F372" s="1072" t="s">
        <v>401</v>
      </c>
      <c r="G372" s="1072" t="s">
        <v>2614</v>
      </c>
      <c r="H372" s="150"/>
      <c r="I372" s="157"/>
      <c r="J372" s="157"/>
      <c r="K372" s="157"/>
      <c r="L372" s="153" t="str">
        <f t="shared" si="25"/>
        <v>6787</v>
      </c>
      <c r="M372" s="154" t="str">
        <f t="shared" si="26"/>
        <v>TAXES FONCIERES - PIECES</v>
      </c>
      <c r="N372" s="155">
        <f>+IF(OR($Q372=Parametres!$G$2,$Q372=Parametres!$G$3),I372,C372)</f>
        <v>0</v>
      </c>
      <c r="O372" s="155">
        <f>+IF(OR($Q372=Parametres!$G$2,$Q372=Parametres!$G$3),J372,D372)</f>
        <v>1202.5</v>
      </c>
      <c r="P372" s="155">
        <f>+IF(OR($Q372=Parametres!$G$2,$Q372=Parametres!$G$3),K372,E372)</f>
        <v>1202.5</v>
      </c>
      <c r="Q372" s="154" t="str">
        <f t="shared" si="27"/>
        <v>7-Dépenses</v>
      </c>
      <c r="R372" s="153" t="str">
        <f t="shared" si="28"/>
        <v>6187</v>
      </c>
      <c r="S372" s="154">
        <f t="shared" si="29"/>
        <v>0</v>
      </c>
      <c r="T372" s="156" t="str">
        <f>+VLOOKUP($L372,Data_Validation!$A:$D,1,0)</f>
        <v>6787</v>
      </c>
      <c r="U372" s="156" t="str">
        <f>+VLOOKUP($L372,Data_Validation!$A:$D,3,0)</f>
        <v>Pièces</v>
      </c>
      <c r="V372" s="156" t="str">
        <f>+VLOOKUP($L372,Data_Validation!$A:$D,4,0)</f>
        <v>Taxes foncières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72" t="s">
        <v>1278</v>
      </c>
      <c r="B373" s="1072" t="s">
        <v>2665</v>
      </c>
      <c r="C373" s="1074">
        <v>0</v>
      </c>
      <c r="D373" s="1074">
        <v>800</v>
      </c>
      <c r="E373" s="1074">
        <v>800</v>
      </c>
      <c r="F373" s="1072" t="s">
        <v>401</v>
      </c>
      <c r="G373" s="1072" t="s">
        <v>2597</v>
      </c>
      <c r="H373" s="150"/>
      <c r="I373" s="157"/>
      <c r="J373" s="157"/>
      <c r="K373" s="157"/>
      <c r="L373" s="153" t="str">
        <f t="shared" si="25"/>
        <v>6793</v>
      </c>
      <c r="M373" s="154" t="str">
        <f t="shared" si="26"/>
        <v>AUTRES TAXES - PIECES</v>
      </c>
      <c r="N373" s="155">
        <f>+IF(OR($Q373=Parametres!$G$2,$Q373=Parametres!$G$3),I373,C373)</f>
        <v>0</v>
      </c>
      <c r="O373" s="155">
        <f>+IF(OR($Q373=Parametres!$G$2,$Q373=Parametres!$G$3),J373,D373)</f>
        <v>800</v>
      </c>
      <c r="P373" s="155">
        <f>+IF(OR($Q373=Parametres!$G$2,$Q373=Parametres!$G$3),K373,E373)</f>
        <v>800</v>
      </c>
      <c r="Q373" s="154" t="str">
        <f t="shared" si="27"/>
        <v>7-Dépenses</v>
      </c>
      <c r="R373" s="153" t="str">
        <f t="shared" si="28"/>
        <v>6193</v>
      </c>
      <c r="S373" s="154">
        <f t="shared" si="29"/>
        <v>0</v>
      </c>
      <c r="T373" s="156" t="str">
        <f>+VLOOKUP($L373,Data_Validation!$A:$D,1,0)</f>
        <v>6793</v>
      </c>
      <c r="U373" s="156" t="str">
        <f>+VLOOKUP($L373,Data_Validation!$A:$D,3,0)</f>
        <v>Pièces</v>
      </c>
      <c r="V373" s="156" t="str">
        <f>+VLOOKUP($L373,Data_Validation!$A:$D,4,0)</f>
        <v>Taxes d`affaires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72" t="s">
        <v>1371</v>
      </c>
      <c r="B374" s="1072" t="s">
        <v>2703</v>
      </c>
      <c r="C374" s="1074">
        <v>0</v>
      </c>
      <c r="D374" s="1074">
        <v>1554.27</v>
      </c>
      <c r="E374" s="1074">
        <v>1554.27</v>
      </c>
      <c r="F374" s="1072" t="s">
        <v>401</v>
      </c>
      <c r="G374" s="1072" t="s">
        <v>2635</v>
      </c>
      <c r="H374" s="150"/>
      <c r="I374" s="151"/>
      <c r="J374" s="151"/>
      <c r="K374" s="151"/>
      <c r="L374" s="153" t="str">
        <f t="shared" si="25"/>
        <v>6794</v>
      </c>
      <c r="M374" s="154" t="str">
        <f t="shared" si="26"/>
        <v>FRAIS PROFESSIONNEL-PIECES</v>
      </c>
      <c r="N374" s="155">
        <f>+IF(OR($Q374=Parametres!$G$2,$Q374=Parametres!$G$3),I374,C374)</f>
        <v>0</v>
      </c>
      <c r="O374" s="155">
        <f>+IF(OR($Q374=Parametres!$G$2,$Q374=Parametres!$G$3),J374,D374)</f>
        <v>1554.27</v>
      </c>
      <c r="P374" s="155">
        <f>+IF(OR($Q374=Parametres!$G$2,$Q374=Parametres!$G$3),K374,E374)</f>
        <v>1554.27</v>
      </c>
      <c r="Q374" s="154" t="str">
        <f t="shared" si="27"/>
        <v>7-Dépenses</v>
      </c>
      <c r="R374" s="153" t="str">
        <f t="shared" si="28"/>
        <v>6194</v>
      </c>
      <c r="S374" s="154">
        <f t="shared" si="29"/>
        <v>0</v>
      </c>
      <c r="T374" s="156" t="str">
        <f>+VLOOKUP($L374,Data_Validation!$A:$D,1,0)</f>
        <v>6794</v>
      </c>
      <c r="U374" s="156" t="str">
        <f>+VLOOKUP($L374,Data_Validation!$A:$D,3,0)</f>
        <v>Pièces</v>
      </c>
      <c r="V374" s="156" t="str">
        <f>+VLOOKUP($L374,Data_Validation!$A:$D,4,0)</f>
        <v>Honoraires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72" t="s">
        <v>2053</v>
      </c>
      <c r="B375" s="1072" t="s">
        <v>2054</v>
      </c>
      <c r="C375" s="1074">
        <v>0</v>
      </c>
      <c r="D375" s="1074">
        <v>-22341</v>
      </c>
      <c r="E375" s="1074">
        <v>-22341</v>
      </c>
      <c r="F375" s="1072" t="s">
        <v>304</v>
      </c>
      <c r="G375" s="1072" t="s">
        <v>2055</v>
      </c>
      <c r="H375" s="150"/>
      <c r="I375" s="151"/>
      <c r="J375" s="151"/>
      <c r="K375" s="151"/>
      <c r="L375" s="153" t="str">
        <f t="shared" si="25"/>
        <v>9149</v>
      </c>
      <c r="M375" s="154" t="str">
        <f t="shared" si="26"/>
        <v>REVENU RESERVE VOLKS</v>
      </c>
      <c r="N375" s="155">
        <f>+IF(OR($Q375=Parametres!$G$2,$Q375=Parametres!$G$3),I375,C375)</f>
        <v>0</v>
      </c>
      <c r="O375" s="155">
        <f>+IF(OR($Q375=Parametres!$G$2,$Q375=Parametres!$G$3),J375,D375)</f>
        <v>-22341</v>
      </c>
      <c r="P375" s="155">
        <f>+IF(OR($Q375=Parametres!$G$2,$Q375=Parametres!$G$3),K375,E375)</f>
        <v>-22341</v>
      </c>
      <c r="Q375" s="154" t="str">
        <f t="shared" si="27"/>
        <v>8-Autres revenus</v>
      </c>
      <c r="R375" s="153" t="str">
        <f t="shared" si="28"/>
        <v>9101</v>
      </c>
      <c r="S375" s="154">
        <f t="shared" si="29"/>
        <v>0</v>
      </c>
      <c r="T375" s="156" t="str">
        <f>+VLOOKUP($L375,Data_Validation!$A:$D,1,0)</f>
        <v>9149</v>
      </c>
      <c r="U375" s="156" t="str">
        <f>+VLOOKUP($L375,Data_Validation!$A:$D,3,0)</f>
        <v>Véhicules neufs</v>
      </c>
      <c r="V375" s="156" t="str">
        <f>+VLOOKUP($L375,Data_Validation!$A:$D,4,0)</f>
        <v>Holdbacks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72" t="s">
        <v>2138</v>
      </c>
      <c r="B376" s="1072" t="s">
        <v>2139</v>
      </c>
      <c r="C376" s="1074">
        <v>0</v>
      </c>
      <c r="D376" s="1074">
        <v>-3812.19</v>
      </c>
      <c r="E376" s="1074">
        <v>-3812.19</v>
      </c>
      <c r="F376" s="1072" t="s">
        <v>304</v>
      </c>
      <c r="G376" s="1072" t="s">
        <v>2139</v>
      </c>
      <c r="H376" s="150"/>
      <c r="I376" s="151"/>
      <c r="J376" s="151"/>
      <c r="K376" s="151"/>
      <c r="L376" s="153" t="str">
        <f t="shared" si="25"/>
        <v>9152</v>
      </c>
      <c r="M376" s="154" t="str">
        <f t="shared" si="26"/>
        <v>ESCOMPTES SUR ACHAT PIECES</v>
      </c>
      <c r="N376" s="155">
        <f>+IF(OR($Q376=Parametres!$G$2,$Q376=Parametres!$G$3),I376,C376)</f>
        <v>0</v>
      </c>
      <c r="O376" s="155">
        <f>+IF(OR($Q376=Parametres!$G$2,$Q376=Parametres!$G$3),J376,D376)</f>
        <v>-3812.19</v>
      </c>
      <c r="P376" s="155">
        <f>+IF(OR($Q376=Parametres!$G$2,$Q376=Parametres!$G$3),K376,E376)</f>
        <v>-3812.19</v>
      </c>
      <c r="Q376" s="154" t="str">
        <f t="shared" si="27"/>
        <v>8-Autres revenus</v>
      </c>
      <c r="R376" s="153" t="str">
        <f t="shared" si="28"/>
        <v>9152</v>
      </c>
      <c r="S376" s="154">
        <f t="shared" si="29"/>
        <v>0</v>
      </c>
      <c r="T376" s="156" t="str">
        <f>+VLOOKUP($L376,Data_Validation!$A:$D,1,0)</f>
        <v>9152</v>
      </c>
      <c r="U376" s="156" t="str">
        <f>+VLOOKUP($L376,Data_Validation!$A:$D,3,0)</f>
        <v>Pièces</v>
      </c>
      <c r="V376" s="156" t="str">
        <f>+VLOOKUP($L376,Data_Validation!$A:$D,4,0)</f>
        <v>Escomptes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72" t="s">
        <v>2077</v>
      </c>
      <c r="B377" s="1072" t="s">
        <v>2078</v>
      </c>
      <c r="C377" s="1074">
        <v>0</v>
      </c>
      <c r="D377" s="1074">
        <v>-11500</v>
      </c>
      <c r="E377" s="1074">
        <v>-11500</v>
      </c>
      <c r="F377" s="1072" t="s">
        <v>304</v>
      </c>
      <c r="G377" s="1072" t="s">
        <v>2079</v>
      </c>
      <c r="H377" s="150"/>
      <c r="I377" s="151"/>
      <c r="J377" s="151"/>
      <c r="K377" s="151"/>
      <c r="L377" s="153" t="str">
        <f t="shared" si="25"/>
        <v>9157</v>
      </c>
      <c r="M377" s="154" t="str">
        <f t="shared" si="26"/>
        <v>PRIMES DE RENDEMENT (ToT)- BONUS EXPERIENCE +</v>
      </c>
      <c r="N377" s="155">
        <f>+IF(OR($Q377=Parametres!$G$2,$Q377=Parametres!$G$3),I377,C377)</f>
        <v>0</v>
      </c>
      <c r="O377" s="155">
        <f>+IF(OR($Q377=Parametres!$G$2,$Q377=Parametres!$G$3),J377,D377)</f>
        <v>-11500</v>
      </c>
      <c r="P377" s="155">
        <f>+IF(OR($Q377=Parametres!$G$2,$Q377=Parametres!$G$3),K377,E377)</f>
        <v>-11500</v>
      </c>
      <c r="Q377" s="154" t="str">
        <f t="shared" si="27"/>
        <v>8-Autres revenus</v>
      </c>
      <c r="R377" s="153" t="str">
        <f t="shared" si="28"/>
        <v>915</v>
      </c>
      <c r="S377" s="154">
        <f t="shared" si="29"/>
        <v>0</v>
      </c>
      <c r="T377" s="156" t="str">
        <f>+VLOOKUP($L377,Data_Validation!$A:$D,1,0)</f>
        <v>9157</v>
      </c>
      <c r="U377" s="156" t="str">
        <f>+VLOOKUP($L377,Data_Validation!$A:$D,3,0)</f>
        <v>Véhicules neufs</v>
      </c>
      <c r="V377" s="156" t="str">
        <f>+VLOOKUP($L377,Data_Validation!$A:$D,4,0)</f>
        <v>Programme neuf 1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72" t="s">
        <v>2084</v>
      </c>
      <c r="B378" s="1072" t="s">
        <v>2085</v>
      </c>
      <c r="C378" s="1074">
        <v>0</v>
      </c>
      <c r="D378" s="1074">
        <v>-4641.1099999999997</v>
      </c>
      <c r="E378" s="1074">
        <v>-4641.1099999999997</v>
      </c>
      <c r="F378" s="1072" t="s">
        <v>304</v>
      </c>
      <c r="G378" s="1072" t="s">
        <v>2085</v>
      </c>
      <c r="H378" s="1050"/>
      <c r="I378" s="1050"/>
      <c r="J378" s="1050"/>
      <c r="K378" s="1050"/>
      <c r="L378" s="153" t="str">
        <f t="shared" si="25"/>
        <v>9163</v>
      </c>
      <c r="M378" s="154" t="str">
        <f t="shared" si="26"/>
        <v>RESERVE FIN ET ASS VEH OCCASION</v>
      </c>
      <c r="N378" s="155">
        <f>+IF(OR($Q378=Parametres!$G$2,$Q378=Parametres!$G$3),I378,C378)</f>
        <v>0</v>
      </c>
      <c r="O378" s="155">
        <f>+IF(OR($Q378=Parametres!$G$2,$Q378=Parametres!$G$3),J378,D378)</f>
        <v>-4641.1099999999997</v>
      </c>
      <c r="P378" s="155">
        <f>+IF(OR($Q378=Parametres!$G$2,$Q378=Parametres!$G$3),K378,E378)</f>
        <v>-4641.1099999999997</v>
      </c>
      <c r="Q378" s="154" t="str">
        <f t="shared" si="27"/>
        <v>8-Autres revenus</v>
      </c>
      <c r="R378" s="153" t="str">
        <f t="shared" si="28"/>
        <v>9163</v>
      </c>
      <c r="S378" s="154">
        <f t="shared" si="29"/>
        <v>0</v>
      </c>
      <c r="T378" s="156" t="str">
        <f>+VLOOKUP($L378,Data_Validation!$A:$D,1,0)</f>
        <v>9163</v>
      </c>
      <c r="U378" s="156" t="str">
        <f>+VLOOKUP($L378,Data_Validation!$A:$D,3,0)</f>
        <v>Véhicules usagés</v>
      </c>
      <c r="V378" s="156" t="str">
        <f>+VLOOKUP($L378,Data_Validation!$A:$D,4,0)</f>
        <v>Rev. Finances</v>
      </c>
      <c r="W378" s="156" t="str">
        <f>+VLOOKUP($L378,Data_Validation!$A:$E,5,0)</f>
        <v>$</v>
      </c>
      <c r="X378" s="156" t="str">
        <f>+VLOOKUP($L378,Data_Validation!$A:$F,6,0)</f>
        <v>oui</v>
      </c>
    </row>
    <row r="379" spans="1:24" ht="15.75" hidden="1" customHeight="1">
      <c r="A379" s="1072" t="s">
        <v>2171</v>
      </c>
      <c r="B379" s="1072" t="s">
        <v>2172</v>
      </c>
      <c r="C379" s="1074">
        <v>0</v>
      </c>
      <c r="D379" s="1074">
        <v>-340.86</v>
      </c>
      <c r="E379" s="1074">
        <v>-340.86</v>
      </c>
      <c r="F379" s="1072" t="s">
        <v>304</v>
      </c>
      <c r="G379" s="1072" t="s">
        <v>2076</v>
      </c>
      <c r="H379" s="150"/>
      <c r="I379" s="157"/>
      <c r="J379" s="157"/>
      <c r="K379" s="157"/>
      <c r="L379" s="153" t="str">
        <f t="shared" si="25"/>
        <v>9165</v>
      </c>
      <c r="M379" s="154" t="str">
        <f t="shared" si="26"/>
        <v>REV. ASSURANCES NEUF</v>
      </c>
      <c r="N379" s="155">
        <f>+IF(OR($Q379=Parametres!$G$2,$Q379=Parametres!$G$3),I379,C379)</f>
        <v>0</v>
      </c>
      <c r="O379" s="155">
        <f>+IF(OR($Q379=Parametres!$G$2,$Q379=Parametres!$G$3),J379,D379)</f>
        <v>-340.86</v>
      </c>
      <c r="P379" s="155">
        <f>+IF(OR($Q379=Parametres!$G$2,$Q379=Parametres!$G$3),K379,E379)</f>
        <v>-340.86</v>
      </c>
      <c r="Q379" s="154" t="str">
        <f t="shared" si="27"/>
        <v>8-Autres revenus</v>
      </c>
      <c r="R379" s="153" t="str">
        <f t="shared" si="28"/>
        <v>9161</v>
      </c>
      <c r="S379" s="154">
        <f t="shared" si="29"/>
        <v>0</v>
      </c>
      <c r="T379" s="156" t="str">
        <f>+VLOOKUP($L379,Data_Validation!$A:$D,1,0)</f>
        <v>9165</v>
      </c>
      <c r="U379" s="156" t="str">
        <f>+VLOOKUP($L379,Data_Validation!$A:$D,3,0)</f>
        <v>Véhicules neufs</v>
      </c>
      <c r="V379" s="156" t="str">
        <f>+VLOOKUP($L379,Data_Validation!$A:$D,4,0)</f>
        <v>Rev. Autres</v>
      </c>
      <c r="W379" s="156" t="str">
        <f>+VLOOKUP($L379,Data_Validation!$A:$E,5,0)</f>
        <v>$</v>
      </c>
      <c r="X379" s="156" t="str">
        <f>+VLOOKUP($L379,Data_Validation!$A:$F,6,0)</f>
        <v>oui</v>
      </c>
    </row>
    <row r="380" spans="1:24" ht="15" hidden="1" customHeight="1">
      <c r="A380" s="1072" t="s">
        <v>2179</v>
      </c>
      <c r="B380" s="1072" t="s">
        <v>2180</v>
      </c>
      <c r="C380" s="1074">
        <v>0</v>
      </c>
      <c r="D380" s="1074">
        <v>-647.89</v>
      </c>
      <c r="E380" s="1074">
        <v>-647.89</v>
      </c>
      <c r="F380" s="1072" t="s">
        <v>304</v>
      </c>
      <c r="G380" s="1072" t="s">
        <v>2085</v>
      </c>
      <c r="H380" s="150"/>
      <c r="I380" s="151"/>
      <c r="J380" s="151"/>
      <c r="K380" s="151"/>
      <c r="L380" s="153" t="str">
        <f t="shared" si="25"/>
        <v>9167</v>
      </c>
      <c r="M380" s="154" t="str">
        <f t="shared" si="26"/>
        <v>REV ASSURANCE USAGE</v>
      </c>
      <c r="N380" s="155">
        <f>+IF(OR($Q380=Parametres!$G$2,$Q380=Parametres!$G$3),I380,C380)</f>
        <v>0</v>
      </c>
      <c r="O380" s="155">
        <f>+IF(OR($Q380=Parametres!$G$2,$Q380=Parametres!$G$3),J380,D380)</f>
        <v>-647.89</v>
      </c>
      <c r="P380" s="155">
        <f>+IF(OR($Q380=Parametres!$G$2,$Q380=Parametres!$G$3),K380,E380)</f>
        <v>-647.89</v>
      </c>
      <c r="Q380" s="154" t="str">
        <f t="shared" si="27"/>
        <v>8-Autres revenus</v>
      </c>
      <c r="R380" s="153" t="str">
        <f t="shared" si="28"/>
        <v>9163</v>
      </c>
      <c r="S380" s="154">
        <f t="shared" si="29"/>
        <v>0</v>
      </c>
      <c r="T380" s="156" t="str">
        <f>+VLOOKUP($L380,Data_Validation!$A:$D,1,0)</f>
        <v>9167</v>
      </c>
      <c r="U380" s="156" t="str">
        <f>+VLOOKUP($L380,Data_Validation!$A:$D,3,0)</f>
        <v>Véhicules usagés</v>
      </c>
      <c r="V380" s="156" t="str">
        <f>+VLOOKUP($L380,Data_Validation!$A:$D,4,0)</f>
        <v>Rev. Autres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72" t="s">
        <v>2092</v>
      </c>
      <c r="B381" s="1072" t="s">
        <v>2093</v>
      </c>
      <c r="C381" s="1074">
        <v>0</v>
      </c>
      <c r="D381" s="1074">
        <v>-7100</v>
      </c>
      <c r="E381" s="1074">
        <v>-7100</v>
      </c>
      <c r="F381" s="1072" t="s">
        <v>304</v>
      </c>
      <c r="G381" s="1072" t="s">
        <v>2076</v>
      </c>
      <c r="H381" s="150"/>
      <c r="I381" s="157"/>
      <c r="J381" s="157"/>
      <c r="K381" s="157"/>
      <c r="L381" s="153" t="str">
        <f t="shared" si="25"/>
        <v>9169</v>
      </c>
      <c r="M381" s="154" t="str">
        <f t="shared" si="26"/>
        <v>REV GARANTIE PROLONGEE NEUF</v>
      </c>
      <c r="N381" s="155">
        <f>+IF(OR($Q381=Parametres!$G$2,$Q381=Parametres!$G$3),I381,C381)</f>
        <v>0</v>
      </c>
      <c r="O381" s="155">
        <f>+IF(OR($Q381=Parametres!$G$2,$Q381=Parametres!$G$3),J381,D381)</f>
        <v>-7100</v>
      </c>
      <c r="P381" s="155">
        <f>+IF(OR($Q381=Parametres!$G$2,$Q381=Parametres!$G$3),K381,E381)</f>
        <v>-7100</v>
      </c>
      <c r="Q381" s="154" t="str">
        <f t="shared" si="27"/>
        <v>8-Autres revenus</v>
      </c>
      <c r="R381" s="153" t="str">
        <f t="shared" si="28"/>
        <v>9161</v>
      </c>
      <c r="S381" s="154">
        <f t="shared" si="29"/>
        <v>0</v>
      </c>
      <c r="T381" s="156" t="str">
        <f>+VLOOKUP($L381,Data_Validation!$A:$D,1,0)</f>
        <v>9169</v>
      </c>
      <c r="U381" s="156" t="str">
        <f>+VLOOKUP($L381,Data_Validation!$A:$D,3,0)</f>
        <v>Véhicules neufs</v>
      </c>
      <c r="V381" s="156" t="str">
        <f>+VLOOKUP($L381,Data_Validation!$A:$D,4,0)</f>
        <v>Rev. Protections</v>
      </c>
      <c r="W381" s="156" t="str">
        <f>+VLOOKUP($L381,Data_Validation!$A:$E,5,0)</f>
        <v>$</v>
      </c>
      <c r="X381" s="156" t="str">
        <f>+VLOOKUP($L381,Data_Validation!$A:$F,6,0)</f>
        <v>oui</v>
      </c>
    </row>
    <row r="382" spans="1:24" ht="15" hidden="1" customHeight="1">
      <c r="A382" s="1072" t="s">
        <v>2074</v>
      </c>
      <c r="B382" s="1072" t="s">
        <v>2075</v>
      </c>
      <c r="C382" s="1074">
        <v>0</v>
      </c>
      <c r="D382" s="1074">
        <v>-9151.56</v>
      </c>
      <c r="E382" s="1074">
        <v>-9151.56</v>
      </c>
      <c r="F382" s="1072" t="s">
        <v>304</v>
      </c>
      <c r="G382" s="1072" t="s">
        <v>2076</v>
      </c>
      <c r="H382" s="150"/>
      <c r="I382" s="151"/>
      <c r="J382" s="151"/>
      <c r="K382" s="151"/>
      <c r="L382" s="153" t="str">
        <f t="shared" si="25"/>
        <v>9170</v>
      </c>
      <c r="M382" s="154" t="str">
        <f t="shared" si="26"/>
        <v>PROFIT PROTECTIONS - NEUFS</v>
      </c>
      <c r="N382" s="155">
        <f>+IF(OR($Q382=Parametres!$G$2,$Q382=Parametres!$G$3),I382,C382)</f>
        <v>0</v>
      </c>
      <c r="O382" s="155">
        <f>+IF(OR($Q382=Parametres!$G$2,$Q382=Parametres!$G$3),J382,D382)</f>
        <v>-9151.56</v>
      </c>
      <c r="P382" s="155">
        <f>+IF(OR($Q382=Parametres!$G$2,$Q382=Parametres!$G$3),K382,E382)</f>
        <v>-9151.56</v>
      </c>
      <c r="Q382" s="154" t="str">
        <f t="shared" si="27"/>
        <v>8-Autres revenus</v>
      </c>
      <c r="R382" s="153" t="str">
        <f t="shared" si="28"/>
        <v>9161</v>
      </c>
      <c r="S382" s="154">
        <f t="shared" si="29"/>
        <v>0</v>
      </c>
      <c r="T382" s="156" t="str">
        <f>+VLOOKUP($L382,Data_Validation!$A:$D,1,0)</f>
        <v>9170</v>
      </c>
      <c r="U382" s="156" t="str">
        <f>+VLOOKUP($L382,Data_Validation!$A:$D,3,0)</f>
        <v>Véhicules neufs</v>
      </c>
      <c r="V382" s="156" t="str">
        <f>+VLOOKUP($L382,Data_Validation!$A:$D,4,0)</f>
        <v>Rev. Protections</v>
      </c>
      <c r="W382" s="156" t="str">
        <f>+VLOOKUP($L382,Data_Validation!$A:$E,5,0)</f>
        <v>$</v>
      </c>
      <c r="X382" s="156" t="str">
        <f>+VLOOKUP($L382,Data_Validation!$A:$F,6,0)</f>
        <v>oui</v>
      </c>
    </row>
    <row r="383" spans="1:24" ht="15.75" hidden="1" customHeight="1">
      <c r="A383" s="1072" t="s">
        <v>2088</v>
      </c>
      <c r="B383" s="1072" t="s">
        <v>2089</v>
      </c>
      <c r="C383" s="1074">
        <v>0</v>
      </c>
      <c r="D383" s="1074">
        <v>-13914</v>
      </c>
      <c r="E383" s="1074">
        <v>-13914</v>
      </c>
      <c r="F383" s="1072" t="s">
        <v>304</v>
      </c>
      <c r="G383" s="1072" t="s">
        <v>2085</v>
      </c>
      <c r="H383" s="150"/>
      <c r="I383" s="157"/>
      <c r="J383" s="157"/>
      <c r="K383" s="157"/>
      <c r="L383" s="153" t="str">
        <f t="shared" si="25"/>
        <v>9171</v>
      </c>
      <c r="M383" s="154" t="str">
        <f t="shared" si="26"/>
        <v>REV GARANTIE PROLONGEE USAGE</v>
      </c>
      <c r="N383" s="155">
        <f>+IF(OR($Q383=Parametres!$G$2,$Q383=Parametres!$G$3),I383,C383)</f>
        <v>0</v>
      </c>
      <c r="O383" s="155">
        <f>+IF(OR($Q383=Parametres!$G$2,$Q383=Parametres!$G$3),J383,D383)</f>
        <v>-13914</v>
      </c>
      <c r="P383" s="155">
        <f>+IF(OR($Q383=Parametres!$G$2,$Q383=Parametres!$G$3),K383,E383)</f>
        <v>-13914</v>
      </c>
      <c r="Q383" s="154" t="str">
        <f t="shared" si="27"/>
        <v>8-Autres revenus</v>
      </c>
      <c r="R383" s="153" t="str">
        <f t="shared" si="28"/>
        <v>9163</v>
      </c>
      <c r="S383" s="154">
        <f t="shared" si="29"/>
        <v>0</v>
      </c>
      <c r="T383" s="156" t="str">
        <f>+VLOOKUP($L383,Data_Validation!$A:$D,1,0)</f>
        <v>9171</v>
      </c>
      <c r="U383" s="156" t="str">
        <f>+VLOOKUP($L383,Data_Validation!$A:$D,3,0)</f>
        <v>Véhicules usagés</v>
      </c>
      <c r="V383" s="156" t="str">
        <f>+VLOOKUP($L383,Data_Validation!$A:$D,4,0)</f>
        <v>Rev. Protections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48" t="s">
        <v>2096</v>
      </c>
      <c r="B384" s="1048" t="s">
        <v>2097</v>
      </c>
      <c r="C384" s="1049">
        <v>0</v>
      </c>
      <c r="D384" s="1049">
        <v>-6372.14</v>
      </c>
      <c r="E384" s="1049">
        <v>-6372.14</v>
      </c>
      <c r="F384" s="1048" t="s">
        <v>304</v>
      </c>
      <c r="G384" s="1048" t="s">
        <v>2085</v>
      </c>
      <c r="H384" s="150"/>
      <c r="I384" s="151"/>
      <c r="J384" s="151"/>
      <c r="K384" s="151"/>
      <c r="L384" s="153" t="str">
        <f t="shared" si="25"/>
        <v>9172</v>
      </c>
      <c r="M384" s="154" t="str">
        <f t="shared" si="26"/>
        <v>PROFIT PROTECTIONS - USAGES</v>
      </c>
      <c r="N384" s="155">
        <f>+IF(OR($Q384=Parametres!$G$2,$Q384=Parametres!$G$3),I384,C384)</f>
        <v>0</v>
      </c>
      <c r="O384" s="155">
        <f>+IF(OR($Q384=Parametres!$G$2,$Q384=Parametres!$G$3),J384,D384)</f>
        <v>-6372.14</v>
      </c>
      <c r="P384" s="155">
        <f>+IF(OR($Q384=Parametres!$G$2,$Q384=Parametres!$G$3),K384,E384)</f>
        <v>-6372.14</v>
      </c>
      <c r="Q384" s="154" t="str">
        <f t="shared" si="27"/>
        <v>8-Autres revenus</v>
      </c>
      <c r="R384" s="153" t="str">
        <f t="shared" si="28"/>
        <v>9163</v>
      </c>
      <c r="S384" s="154">
        <f t="shared" si="29"/>
        <v>0</v>
      </c>
      <c r="T384" s="156" t="str">
        <f>+VLOOKUP($L384,Data_Validation!$A:$D,1,0)</f>
        <v>9172</v>
      </c>
      <c r="U384" s="156" t="str">
        <f>+VLOOKUP($L384,Data_Validation!$A:$D,3,0)</f>
        <v>Véhicules usagés</v>
      </c>
      <c r="V384" s="156" t="str">
        <f>+VLOOKUP($L384,Data_Validation!$A:$D,4,0)</f>
        <v>Rev. Protections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48" t="s">
        <v>2080</v>
      </c>
      <c r="B385" s="1048" t="s">
        <v>2081</v>
      </c>
      <c r="C385" s="1049">
        <v>0</v>
      </c>
      <c r="D385" s="1049">
        <v>-11496</v>
      </c>
      <c r="E385" s="1049">
        <v>-11496</v>
      </c>
      <c r="F385" s="1048" t="s">
        <v>304</v>
      </c>
      <c r="G385" s="1048" t="s">
        <v>2063</v>
      </c>
      <c r="H385" s="150"/>
      <c r="I385" s="151"/>
      <c r="J385" s="151"/>
      <c r="K385" s="151"/>
      <c r="L385" s="153" t="str">
        <f t="shared" si="25"/>
        <v>9173</v>
      </c>
      <c r="M385" s="154" t="str">
        <f t="shared" si="26"/>
        <v>FRAIS ADMIN. VOLKS</v>
      </c>
      <c r="N385" s="155">
        <f>+IF(OR($Q385=Parametres!$G$2,$Q385=Parametres!$G$3),I385,C385)</f>
        <v>0</v>
      </c>
      <c r="O385" s="155">
        <f>+IF(OR($Q385=Parametres!$G$2,$Q385=Parametres!$G$3),J385,D385)</f>
        <v>-11496</v>
      </c>
      <c r="P385" s="155">
        <f>+IF(OR($Q385=Parametres!$G$2,$Q385=Parametres!$G$3),K385,E385)</f>
        <v>-11496</v>
      </c>
      <c r="Q385" s="154" t="str">
        <f t="shared" si="27"/>
        <v>8-Autres revenus</v>
      </c>
      <c r="R385" s="153" t="str">
        <f t="shared" si="28"/>
        <v>9191</v>
      </c>
      <c r="S385" s="154">
        <f t="shared" si="29"/>
        <v>0</v>
      </c>
      <c r="T385" s="156" t="str">
        <f>+VLOOKUP($L385,Data_Validation!$A:$D,1,0)</f>
        <v>9173</v>
      </c>
      <c r="U385" s="156" t="str">
        <f>+VLOOKUP($L385,Data_Validation!$A:$D,3,0)</f>
        <v>Véhicules neufs</v>
      </c>
      <c r="V385" s="156" t="str">
        <f>+VLOOKUP($L385,Data_Validation!$A:$D,4,0)</f>
        <v>Frais administration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48" t="s">
        <v>2062</v>
      </c>
      <c r="B386" s="1048" t="s">
        <v>2063</v>
      </c>
      <c r="C386" s="1049">
        <v>0</v>
      </c>
      <c r="D386" s="1049">
        <v>-33828.54</v>
      </c>
      <c r="E386" s="1049">
        <v>-33828.54</v>
      </c>
      <c r="F386" s="1048" t="s">
        <v>304</v>
      </c>
      <c r="G386" s="1048" t="s">
        <v>2063</v>
      </c>
      <c r="H386" s="150"/>
      <c r="I386" s="151"/>
      <c r="J386" s="151"/>
      <c r="K386" s="151"/>
      <c r="L386" s="153" t="str">
        <f t="shared" ref="L386:L449" si="30">+B386</f>
        <v>9191</v>
      </c>
      <c r="M386" s="154" t="str">
        <f t="shared" ref="M386:M449" si="31">+A386</f>
        <v>REVENUS DIVERS</v>
      </c>
      <c r="N386" s="155">
        <f>+IF(OR($Q386=Parametres!$G$2,$Q386=Parametres!$G$3),I386,C386)</f>
        <v>0</v>
      </c>
      <c r="O386" s="155">
        <f>+IF(OR($Q386=Parametres!$G$2,$Q386=Parametres!$G$3),J386,D386)</f>
        <v>-33828.54</v>
      </c>
      <c r="P386" s="155">
        <f>+IF(OR($Q386=Parametres!$G$2,$Q386=Parametres!$G$3),K386,E386)</f>
        <v>-33828.54</v>
      </c>
      <c r="Q386" s="154" t="str">
        <f t="shared" ref="Q386:Q449" si="32">+F386</f>
        <v>8-Autres revenus</v>
      </c>
      <c r="R386" s="153" t="str">
        <f t="shared" ref="R386:R449" si="33">+G386</f>
        <v>9191</v>
      </c>
      <c r="S386" s="154">
        <f t="shared" ref="S386:S449" si="34">+H386</f>
        <v>0</v>
      </c>
      <c r="T386" s="156" t="str">
        <f>+VLOOKUP($L386,Data_Validation!$A:$D,1,0)</f>
        <v>9191</v>
      </c>
      <c r="U386" s="156" t="str">
        <f>+VLOOKUP($L386,Data_Validation!$A:$D,3,0)</f>
        <v>TOTAL  DES  REVENUS  ET  DÉPENSES</v>
      </c>
      <c r="V386" s="156" t="str">
        <f>+VLOOKUP($L386,Data_Validation!$A:$D,4,0)</f>
        <v>Revenus autres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48" t="s">
        <v>2650</v>
      </c>
      <c r="B387" s="1048" t="s">
        <v>2176</v>
      </c>
      <c r="C387" s="1049">
        <v>0</v>
      </c>
      <c r="D387" s="1049">
        <v>398.34</v>
      </c>
      <c r="E387" s="1049">
        <v>398.34</v>
      </c>
      <c r="F387" s="1048" t="s">
        <v>1235</v>
      </c>
      <c r="G387" s="1048" t="s">
        <v>2176</v>
      </c>
      <c r="H387" s="150"/>
      <c r="I387" s="151"/>
      <c r="J387" s="151"/>
      <c r="K387" s="151"/>
      <c r="L387" s="153" t="str">
        <f t="shared" si="30"/>
        <v>9402</v>
      </c>
      <c r="M387" s="154" t="str">
        <f t="shared" si="31"/>
        <v>DEPENSE D'INTERETS</v>
      </c>
      <c r="N387" s="155">
        <f>+IF(OR($Q387=Parametres!$G$2,$Q387=Parametres!$G$3),I387,C387)</f>
        <v>0</v>
      </c>
      <c r="O387" s="155">
        <f>+IF(OR($Q387=Parametres!$G$2,$Q387=Parametres!$G$3),J387,D387)</f>
        <v>398.34</v>
      </c>
      <c r="P387" s="155">
        <f>+IF(OR($Q387=Parametres!$G$2,$Q387=Parametres!$G$3),K387,E387)</f>
        <v>398.34</v>
      </c>
      <c r="Q387" s="154" t="str">
        <f t="shared" si="32"/>
        <v>9-Autres déductions</v>
      </c>
      <c r="R387" s="153" t="str">
        <f t="shared" si="33"/>
        <v>9402</v>
      </c>
      <c r="S387" s="154">
        <f t="shared" si="34"/>
        <v>0</v>
      </c>
      <c r="T387" s="156" t="str">
        <f>+VLOOKUP($L387,Data_Validation!$A:$D,1,0)</f>
        <v>9402</v>
      </c>
      <c r="U387" s="156" t="str">
        <f>+VLOOKUP($L387,Data_Validation!$A:$D,3,0)</f>
        <v>TOTAL  DES  REVENUS  ET  DÉPENSES</v>
      </c>
      <c r="V387" s="156" t="str">
        <f>+VLOOKUP($L387,Data_Validation!$A:$D,4,0)</f>
        <v>Intérêts sur prêt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48" t="s">
        <v>2174</v>
      </c>
      <c r="B388" s="1048" t="s">
        <v>2175</v>
      </c>
      <c r="C388" s="1049">
        <v>0</v>
      </c>
      <c r="D388" s="1049">
        <v>-3540.56</v>
      </c>
      <c r="E388" s="1049">
        <v>-3540.56</v>
      </c>
      <c r="F388" s="1048" t="s">
        <v>1235</v>
      </c>
      <c r="G388" s="1048" t="s">
        <v>2176</v>
      </c>
      <c r="H388" s="150"/>
      <c r="I388" s="151"/>
      <c r="J388" s="151"/>
      <c r="K388" s="151"/>
      <c r="L388" s="153" t="str">
        <f t="shared" si="30"/>
        <v>9403</v>
      </c>
      <c r="M388" s="154" t="str">
        <f t="shared" si="31"/>
        <v>INTERETS SUR MARGE CREDIT</v>
      </c>
      <c r="N388" s="155">
        <f>+IF(OR($Q388=Parametres!$G$2,$Q388=Parametres!$G$3),I388,C388)</f>
        <v>0</v>
      </c>
      <c r="O388" s="155">
        <f>+IF(OR($Q388=Parametres!$G$2,$Q388=Parametres!$G$3),J388,D388)</f>
        <v>-3540.56</v>
      </c>
      <c r="P388" s="155">
        <f>+IF(OR($Q388=Parametres!$G$2,$Q388=Parametres!$G$3),K388,E388)</f>
        <v>-3540.56</v>
      </c>
      <c r="Q388" s="154" t="str">
        <f t="shared" si="32"/>
        <v>9-Autres déductions</v>
      </c>
      <c r="R388" s="153" t="str">
        <f t="shared" si="33"/>
        <v>9402</v>
      </c>
      <c r="S388" s="154">
        <f t="shared" si="34"/>
        <v>0</v>
      </c>
      <c r="T388" s="156" t="str">
        <f>+VLOOKUP($L388,Data_Validation!$A:$D,1,0)</f>
        <v>9403</v>
      </c>
      <c r="U388" s="156" t="str">
        <f>+VLOOKUP($L388,Data_Validation!$A:$D,3,0)</f>
        <v>TOTAL  DES  REVENUS  ET  DÉPENSES</v>
      </c>
      <c r="V388" s="156" t="str">
        <f>+VLOOKUP($L388,Data_Validation!$A:$D,4,0)</f>
        <v>Intérêts sur marge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48" t="s">
        <v>1389</v>
      </c>
      <c r="B389" s="1048" t="s">
        <v>2599</v>
      </c>
      <c r="C389" s="1049">
        <v>0</v>
      </c>
      <c r="D389" s="1049">
        <v>172.25</v>
      </c>
      <c r="E389" s="1049">
        <v>172.25</v>
      </c>
      <c r="F389" s="1048" t="s">
        <v>1235</v>
      </c>
      <c r="G389" s="1048" t="s">
        <v>2176</v>
      </c>
      <c r="H389" s="150"/>
      <c r="I389" s="157"/>
      <c r="J389" s="157"/>
      <c r="K389" s="157"/>
      <c r="L389" s="153" t="str">
        <f t="shared" si="30"/>
        <v>9404</v>
      </c>
      <c r="M389" s="154" t="str">
        <f t="shared" si="31"/>
        <v>INTERETS SUR PRET</v>
      </c>
      <c r="N389" s="155">
        <f>+IF(OR($Q389=Parametres!$G$2,$Q389=Parametres!$G$3),I389,C389)</f>
        <v>0</v>
      </c>
      <c r="O389" s="155">
        <f>+IF(OR($Q389=Parametres!$G$2,$Q389=Parametres!$G$3),J389,D389)</f>
        <v>172.25</v>
      </c>
      <c r="P389" s="155">
        <f>+IF(OR($Q389=Parametres!$G$2,$Q389=Parametres!$G$3),K389,E389)</f>
        <v>172.25</v>
      </c>
      <c r="Q389" s="154" t="str">
        <f t="shared" si="32"/>
        <v>9-Autres déductions</v>
      </c>
      <c r="R389" s="153" t="str">
        <f t="shared" si="33"/>
        <v>9402</v>
      </c>
      <c r="S389" s="154">
        <f t="shared" si="34"/>
        <v>0</v>
      </c>
      <c r="T389" s="156" t="str">
        <f>+VLOOKUP($L389,Data_Validation!$A:$D,1,0)</f>
        <v>9404</v>
      </c>
      <c r="U389" s="156" t="str">
        <f>+VLOOKUP($L389,Data_Validation!$A:$D,3,0)</f>
        <v>TOTAL  DES  REVENUS  ET  DÉPENSES</v>
      </c>
      <c r="V389" s="156" t="str">
        <f>+VLOOKUP($L389,Data_Validation!$A:$D,4,0)</f>
        <v>Intérêts sur prêt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48" t="s">
        <v>1385</v>
      </c>
      <c r="B390" s="1048" t="s">
        <v>2782</v>
      </c>
      <c r="C390" s="1049">
        <v>0</v>
      </c>
      <c r="D390" s="1049">
        <v>4281.22</v>
      </c>
      <c r="E390" s="1049">
        <v>4281.22</v>
      </c>
      <c r="F390" s="1048" t="s">
        <v>1235</v>
      </c>
      <c r="G390" s="1048" t="s">
        <v>2176</v>
      </c>
      <c r="H390" s="150"/>
      <c r="I390" s="152"/>
      <c r="J390" s="152"/>
      <c r="K390" s="152"/>
      <c r="L390" s="153" t="str">
        <f t="shared" si="30"/>
        <v>9406</v>
      </c>
      <c r="M390" s="154" t="str">
        <f t="shared" si="31"/>
        <v>FRAIS BANCAIRES</v>
      </c>
      <c r="N390" s="155">
        <f>+IF(OR($Q390=Parametres!$G$2,$Q390=Parametres!$G$3),I390,C390)</f>
        <v>0</v>
      </c>
      <c r="O390" s="155">
        <f>+IF(OR($Q390=Parametres!$G$2,$Q390=Parametres!$G$3),J390,D390)</f>
        <v>4281.22</v>
      </c>
      <c r="P390" s="155">
        <f>+IF(OR($Q390=Parametres!$G$2,$Q390=Parametres!$G$3),K390,E390)</f>
        <v>4281.22</v>
      </c>
      <c r="Q390" s="154" t="str">
        <f t="shared" si="32"/>
        <v>9-Autres déductions</v>
      </c>
      <c r="R390" s="153" t="str">
        <f t="shared" si="33"/>
        <v>9402</v>
      </c>
      <c r="S390" s="154">
        <f t="shared" si="34"/>
        <v>0</v>
      </c>
      <c r="T390" s="156" t="str">
        <f>+VLOOKUP($L390,Data_Validation!$A:$D,1,0)</f>
        <v>9406</v>
      </c>
      <c r="U390" s="156" t="str">
        <f>+VLOOKUP($L390,Data_Validation!$A:$D,3,0)</f>
        <v>Véhicules neufs</v>
      </c>
      <c r="V390" s="156" t="str">
        <f>+VLOOKUP($L390,Data_Validation!$A:$D,4,0)</f>
        <v>Frais bancaires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48"/>
      <c r="B391" s="1048"/>
      <c r="C391" s="1049"/>
      <c r="D391" s="1049"/>
      <c r="E391" s="1049"/>
      <c r="F391" s="1048"/>
      <c r="G391" s="1048"/>
      <c r="H391" s="150"/>
      <c r="I391" s="157"/>
      <c r="J391" s="157"/>
      <c r="K391" s="157"/>
      <c r="L391" s="153">
        <f t="shared" si="30"/>
        <v>0</v>
      </c>
      <c r="M391" s="154">
        <f t="shared" si="31"/>
        <v>0</v>
      </c>
      <c r="N391" s="155">
        <f>+IF(OR($Q391=Parametres!$G$2,$Q391=Parametres!$G$3),I391,C391)</f>
        <v>0</v>
      </c>
      <c r="O391" s="155">
        <f>+IF(OR($Q391=Parametres!$G$2,$Q391=Parametres!$G$3),J391,D391)</f>
        <v>0</v>
      </c>
      <c r="P391" s="155">
        <f>+IF(OR($Q391=Parametres!$G$2,$Q391=Parametres!$G$3),K391,E391)</f>
        <v>0</v>
      </c>
      <c r="Q391" s="154">
        <f t="shared" si="32"/>
        <v>0</v>
      </c>
      <c r="R391" s="153">
        <f t="shared" si="33"/>
        <v>0</v>
      </c>
      <c r="S391" s="154">
        <f t="shared" si="34"/>
        <v>0</v>
      </c>
      <c r="T391" s="156" t="e">
        <f>+VLOOKUP($L391,Data_Validation!$A:$D,1,0)</f>
        <v>#N/A</v>
      </c>
      <c r="U391" s="156" t="e">
        <f>+VLOOKUP($L391,Data_Validation!$A:$D,3,0)</f>
        <v>#N/A</v>
      </c>
      <c r="V391" s="156" t="e">
        <f>+VLOOKUP($L391,Data_Validation!$A:$D,4,0)</f>
        <v>#N/A</v>
      </c>
      <c r="W391" s="156" t="e">
        <f>+VLOOKUP($L391,Data_Validation!$A:$E,5,0)</f>
        <v>#N/A</v>
      </c>
      <c r="X391" s="156" t="e">
        <f>+VLOOKUP($L391,Data_Validation!$A:$F,6,0)</f>
        <v>#N/A</v>
      </c>
    </row>
    <row r="392" spans="1:24" ht="15" hidden="1" customHeight="1">
      <c r="A392" s="1048"/>
      <c r="B392" s="1048"/>
      <c r="C392" s="1049"/>
      <c r="D392" s="1049"/>
      <c r="E392" s="1049"/>
      <c r="F392" s="1048"/>
      <c r="G392" s="1048"/>
      <c r="H392" s="150"/>
      <c r="I392" s="157"/>
      <c r="J392" s="157"/>
      <c r="K392" s="157"/>
      <c r="L392" s="153">
        <f t="shared" si="30"/>
        <v>0</v>
      </c>
      <c r="M392" s="154">
        <f t="shared" si="31"/>
        <v>0</v>
      </c>
      <c r="N392" s="155">
        <f>+IF(OR($Q392=Parametres!$G$2,$Q392=Parametres!$G$3),I392,C392)</f>
        <v>0</v>
      </c>
      <c r="O392" s="155">
        <f>+IF(OR($Q392=Parametres!$G$2,$Q392=Parametres!$G$3),J392,D392)</f>
        <v>0</v>
      </c>
      <c r="P392" s="155">
        <f>+IF(OR($Q392=Parametres!$G$2,$Q392=Parametres!$G$3),K392,E392)</f>
        <v>0</v>
      </c>
      <c r="Q392" s="154">
        <f t="shared" si="32"/>
        <v>0</v>
      </c>
      <c r="R392" s="153">
        <f t="shared" si="33"/>
        <v>0</v>
      </c>
      <c r="S392" s="154">
        <f t="shared" si="34"/>
        <v>0</v>
      </c>
      <c r="T392" s="156" t="e">
        <f>+VLOOKUP($L392,Data_Validation!$A:$D,1,0)</f>
        <v>#N/A</v>
      </c>
      <c r="U392" s="156" t="e">
        <f>+VLOOKUP($L392,Data_Validation!$A:$D,3,0)</f>
        <v>#N/A</v>
      </c>
      <c r="V392" s="156" t="e">
        <f>+VLOOKUP($L392,Data_Validation!$A:$D,4,0)</f>
        <v>#N/A</v>
      </c>
      <c r="W392" s="156" t="e">
        <f>+VLOOKUP($L392,Data_Validation!$A:$E,5,0)</f>
        <v>#N/A</v>
      </c>
      <c r="X392" s="156" t="e">
        <f>+VLOOKUP($L392,Data_Validation!$A:$F,6,0)</f>
        <v>#N/A</v>
      </c>
    </row>
    <row r="393" spans="1:24" ht="15" hidden="1" customHeight="1">
      <c r="A393" s="1048"/>
      <c r="B393" s="1048"/>
      <c r="C393" s="1049"/>
      <c r="D393" s="1049"/>
      <c r="E393" s="1049"/>
      <c r="F393" s="1048"/>
      <c r="G393" s="1048"/>
      <c r="H393" s="150"/>
      <c r="I393" s="157"/>
      <c r="J393" s="157"/>
      <c r="K393" s="157"/>
      <c r="L393" s="153">
        <f t="shared" si="30"/>
        <v>0</v>
      </c>
      <c r="M393" s="154">
        <f t="shared" si="31"/>
        <v>0</v>
      </c>
      <c r="N393" s="155">
        <f>+IF(OR($Q393=Parametres!$G$2,$Q393=Parametres!$G$3),I393,C393)</f>
        <v>0</v>
      </c>
      <c r="O393" s="155">
        <f>+IF(OR($Q393=Parametres!$G$2,$Q393=Parametres!$G$3),J393,D393)</f>
        <v>0</v>
      </c>
      <c r="P393" s="155">
        <f>+IF(OR($Q393=Parametres!$G$2,$Q393=Parametres!$G$3),K393,E393)</f>
        <v>0</v>
      </c>
      <c r="Q393" s="154">
        <f t="shared" si="32"/>
        <v>0</v>
      </c>
      <c r="R393" s="153">
        <f t="shared" si="33"/>
        <v>0</v>
      </c>
      <c r="S393" s="154">
        <f t="shared" si="34"/>
        <v>0</v>
      </c>
      <c r="T393" s="156" t="e">
        <f>+VLOOKUP($L393,Data_Validation!$A:$D,1,0)</f>
        <v>#N/A</v>
      </c>
      <c r="U393" s="156" t="e">
        <f>+VLOOKUP($L393,Data_Validation!$A:$D,3,0)</f>
        <v>#N/A</v>
      </c>
      <c r="V393" s="156" t="e">
        <f>+VLOOKUP($L393,Data_Validation!$A:$D,4,0)</f>
        <v>#N/A</v>
      </c>
      <c r="W393" s="156" t="e">
        <f>+VLOOKUP($L393,Data_Validation!$A:$E,5,0)</f>
        <v>#N/A</v>
      </c>
      <c r="X393" s="156" t="e">
        <f>+VLOOKUP($L393,Data_Validation!$A:$F,6,0)</f>
        <v>#N/A</v>
      </c>
    </row>
    <row r="394" spans="1:24" ht="15" hidden="1" customHeight="1">
      <c r="A394" s="1048"/>
      <c r="B394" s="1048"/>
      <c r="C394" s="1049"/>
      <c r="D394" s="1049"/>
      <c r="E394" s="1049"/>
      <c r="F394" s="1048"/>
      <c r="G394" s="1048"/>
      <c r="H394" s="150"/>
      <c r="I394" s="151"/>
      <c r="J394" s="151"/>
      <c r="K394" s="151"/>
      <c r="L394" s="153">
        <f t="shared" si="30"/>
        <v>0</v>
      </c>
      <c r="M394" s="154">
        <f t="shared" si="31"/>
        <v>0</v>
      </c>
      <c r="N394" s="155">
        <f>+IF(OR($Q394=Parametres!$G$2,$Q394=Parametres!$G$3),I394,C394)</f>
        <v>0</v>
      </c>
      <c r="O394" s="155">
        <f>+IF(OR($Q394=Parametres!$G$2,$Q394=Parametres!$G$3),J394,D394)</f>
        <v>0</v>
      </c>
      <c r="P394" s="155">
        <f>+IF(OR($Q394=Parametres!$G$2,$Q394=Parametres!$G$3),K394,E394)</f>
        <v>0</v>
      </c>
      <c r="Q394" s="154">
        <f t="shared" si="32"/>
        <v>0</v>
      </c>
      <c r="R394" s="153">
        <f t="shared" si="33"/>
        <v>0</v>
      </c>
      <c r="S394" s="154">
        <f t="shared" si="34"/>
        <v>0</v>
      </c>
      <c r="T394" s="156" t="e">
        <f>+VLOOKUP($L394,Data_Validation!$A:$D,1,0)</f>
        <v>#N/A</v>
      </c>
      <c r="U394" s="156" t="e">
        <f>+VLOOKUP($L394,Data_Validation!$A:$D,3,0)</f>
        <v>#N/A</v>
      </c>
      <c r="V394" s="156" t="e">
        <f>+VLOOKUP($L394,Data_Validation!$A:$D,4,0)</f>
        <v>#N/A</v>
      </c>
      <c r="W394" s="156" t="e">
        <f>+VLOOKUP($L394,Data_Validation!$A:$E,5,0)</f>
        <v>#N/A</v>
      </c>
      <c r="X394" s="156" t="e">
        <f>+VLOOKUP($L394,Data_Validation!$A:$F,6,0)</f>
        <v>#N/A</v>
      </c>
    </row>
    <row r="395" spans="1:24" ht="15.75" hidden="1" customHeight="1">
      <c r="A395" s="1048"/>
      <c r="B395" s="1048"/>
      <c r="C395" s="1049"/>
      <c r="D395" s="1049"/>
      <c r="E395" s="1049"/>
      <c r="F395" s="1048"/>
      <c r="G395" s="1048"/>
      <c r="H395" s="150"/>
      <c r="I395" s="157"/>
      <c r="J395" s="157"/>
      <c r="K395" s="157"/>
      <c r="L395" s="153">
        <f t="shared" si="30"/>
        <v>0</v>
      </c>
      <c r="M395" s="154">
        <f t="shared" si="31"/>
        <v>0</v>
      </c>
      <c r="N395" s="155">
        <f>+IF(OR($Q395=Parametres!$G$2,$Q395=Parametres!$G$3),I395,C395)</f>
        <v>0</v>
      </c>
      <c r="O395" s="155">
        <f>+IF(OR($Q395=Parametres!$G$2,$Q395=Parametres!$G$3),J395,D395)</f>
        <v>0</v>
      </c>
      <c r="P395" s="155">
        <f>+IF(OR($Q395=Parametres!$G$2,$Q395=Parametres!$G$3),K395,E395)</f>
        <v>0</v>
      </c>
      <c r="Q395" s="154">
        <f t="shared" si="32"/>
        <v>0</v>
      </c>
      <c r="R395" s="153">
        <f t="shared" si="33"/>
        <v>0</v>
      </c>
      <c r="S395" s="154">
        <f t="shared" si="34"/>
        <v>0</v>
      </c>
      <c r="T395" s="156" t="e">
        <f>+VLOOKUP($L395,Data_Validation!$A:$D,1,0)</f>
        <v>#N/A</v>
      </c>
      <c r="U395" s="156" t="e">
        <f>+VLOOKUP($L395,Data_Validation!$A:$D,3,0)</f>
        <v>#N/A</v>
      </c>
      <c r="V395" s="156" t="e">
        <f>+VLOOKUP($L395,Data_Validation!$A:$D,4,0)</f>
        <v>#N/A</v>
      </c>
      <c r="W395" s="156" t="e">
        <f>+VLOOKUP($L395,Data_Validation!$A:$E,5,0)</f>
        <v>#N/A</v>
      </c>
      <c r="X395" s="156" t="e">
        <f>+VLOOKUP($L395,Data_Validation!$A:$F,6,0)</f>
        <v>#N/A</v>
      </c>
    </row>
    <row r="396" spans="1:24" ht="15" hidden="1" customHeight="1">
      <c r="A396" s="1048"/>
      <c r="B396" s="1048"/>
      <c r="C396" s="1049"/>
      <c r="D396" s="1049"/>
      <c r="E396" s="1049"/>
      <c r="F396" s="1048"/>
      <c r="G396" s="1048"/>
      <c r="H396" s="150"/>
      <c r="I396" s="157"/>
      <c r="J396" s="157"/>
      <c r="K396" s="157"/>
      <c r="L396" s="153">
        <f t="shared" si="30"/>
        <v>0</v>
      </c>
      <c r="M396" s="154">
        <f t="shared" si="31"/>
        <v>0</v>
      </c>
      <c r="N396" s="155">
        <f>+IF(OR($Q396=Parametres!$G$2,$Q396=Parametres!$G$3),I396,C396)</f>
        <v>0</v>
      </c>
      <c r="O396" s="155">
        <f>+IF(OR($Q396=Parametres!$G$2,$Q396=Parametres!$G$3),J396,D396)</f>
        <v>0</v>
      </c>
      <c r="P396" s="155">
        <f>+IF(OR($Q396=Parametres!$G$2,$Q396=Parametres!$G$3),K396,E396)</f>
        <v>0</v>
      </c>
      <c r="Q396" s="154">
        <f t="shared" si="32"/>
        <v>0</v>
      </c>
      <c r="R396" s="153">
        <f t="shared" si="33"/>
        <v>0</v>
      </c>
      <c r="S396" s="154">
        <f t="shared" si="34"/>
        <v>0</v>
      </c>
      <c r="T396" s="156" t="e">
        <f>+VLOOKUP($L396,Data_Validation!$A:$D,1,0)</f>
        <v>#N/A</v>
      </c>
      <c r="U396" s="156" t="e">
        <f>+VLOOKUP($L396,Data_Validation!$A:$D,3,0)</f>
        <v>#N/A</v>
      </c>
      <c r="V396" s="156" t="e">
        <f>+VLOOKUP($L396,Data_Validation!$A:$D,4,0)</f>
        <v>#N/A</v>
      </c>
      <c r="W396" s="156" t="e">
        <f>+VLOOKUP($L396,Data_Validation!$A:$E,5,0)</f>
        <v>#N/A</v>
      </c>
      <c r="X396" s="156" t="e">
        <f>+VLOOKUP($L396,Data_Validation!$A:$F,6,0)</f>
        <v>#N/A</v>
      </c>
    </row>
    <row r="397" spans="1:24" ht="15" hidden="1" customHeight="1">
      <c r="A397" s="1048"/>
      <c r="B397" s="1048"/>
      <c r="C397" s="1049"/>
      <c r="D397" s="1049"/>
      <c r="E397" s="1049"/>
      <c r="F397" s="1048"/>
      <c r="G397" s="1048"/>
      <c r="H397" s="150"/>
      <c r="I397" s="151"/>
      <c r="J397" s="151"/>
      <c r="K397" s="151"/>
      <c r="L397" s="153">
        <f t="shared" si="30"/>
        <v>0</v>
      </c>
      <c r="M397" s="154">
        <f t="shared" si="31"/>
        <v>0</v>
      </c>
      <c r="N397" s="155">
        <f>+IF(OR($Q397=Parametres!$G$2,$Q397=Parametres!$G$3),I397,C397)</f>
        <v>0</v>
      </c>
      <c r="O397" s="155">
        <f>+IF(OR($Q397=Parametres!$G$2,$Q397=Parametres!$G$3),J397,D397)</f>
        <v>0</v>
      </c>
      <c r="P397" s="155">
        <f>+IF(OR($Q397=Parametres!$G$2,$Q397=Parametres!$G$3),K397,E397)</f>
        <v>0</v>
      </c>
      <c r="Q397" s="154">
        <f t="shared" si="32"/>
        <v>0</v>
      </c>
      <c r="R397" s="153">
        <f t="shared" si="33"/>
        <v>0</v>
      </c>
      <c r="S397" s="154">
        <f t="shared" si="34"/>
        <v>0</v>
      </c>
      <c r="T397" s="156" t="e">
        <f>+VLOOKUP($L397,Data_Validation!$A:$D,1,0)</f>
        <v>#N/A</v>
      </c>
      <c r="U397" s="156" t="e">
        <f>+VLOOKUP($L397,Data_Validation!$A:$D,3,0)</f>
        <v>#N/A</v>
      </c>
      <c r="V397" s="156" t="e">
        <f>+VLOOKUP($L397,Data_Validation!$A:$D,4,0)</f>
        <v>#N/A</v>
      </c>
      <c r="W397" s="156" t="e">
        <f>+VLOOKUP($L397,Data_Validation!$A:$E,5,0)</f>
        <v>#N/A</v>
      </c>
      <c r="X397" s="156" t="e">
        <f>+VLOOKUP($L397,Data_Validation!$A:$F,6,0)</f>
        <v>#N/A</v>
      </c>
    </row>
    <row r="398" spans="1:24" ht="15" hidden="1" customHeight="1">
      <c r="A398" s="1048"/>
      <c r="B398" s="1048"/>
      <c r="C398" s="1050"/>
      <c r="D398" s="1050"/>
      <c r="E398" s="1050"/>
      <c r="F398" s="1048"/>
      <c r="G398" s="1048"/>
      <c r="H398" s="1050"/>
      <c r="I398" s="1049"/>
      <c r="J398" s="1049"/>
      <c r="K398" s="1049"/>
      <c r="L398" s="153">
        <f t="shared" si="30"/>
        <v>0</v>
      </c>
      <c r="M398" s="154">
        <f t="shared" si="31"/>
        <v>0</v>
      </c>
      <c r="N398" s="155">
        <f>+IF(OR($Q398=Parametres!$G$2,$Q398=Parametres!$G$3),I398,C398)</f>
        <v>0</v>
      </c>
      <c r="O398" s="155">
        <f>+IF(OR($Q398=Parametres!$G$2,$Q398=Parametres!$G$3),J398,D398)</f>
        <v>0</v>
      </c>
      <c r="P398" s="155">
        <f>+IF(OR($Q398=Parametres!$G$2,$Q398=Parametres!$G$3),K398,E398)</f>
        <v>0</v>
      </c>
      <c r="Q398" s="154">
        <f t="shared" si="32"/>
        <v>0</v>
      </c>
      <c r="R398" s="153">
        <f t="shared" si="33"/>
        <v>0</v>
      </c>
      <c r="S398" s="154">
        <f t="shared" si="34"/>
        <v>0</v>
      </c>
      <c r="T398" s="156" t="e">
        <f>+VLOOKUP($L398,Data_Validation!$A:$D,1,0)</f>
        <v>#N/A</v>
      </c>
      <c r="U398" s="156" t="e">
        <f>+VLOOKUP($L398,Data_Validation!$A:$D,3,0)</f>
        <v>#N/A</v>
      </c>
      <c r="V398" s="156" t="e">
        <f>+VLOOKUP($L398,Data_Validation!$A:$D,4,0)</f>
        <v>#N/A</v>
      </c>
      <c r="W398" s="156" t="e">
        <f>+VLOOKUP($L398,Data_Validation!$A:$E,5,0)</f>
        <v>#N/A</v>
      </c>
      <c r="X398" s="156" t="e">
        <f>+VLOOKUP($L398,Data_Validation!$A:$F,6,0)</f>
        <v>#N/A</v>
      </c>
    </row>
    <row r="399" spans="1:24" ht="15.75" hidden="1" customHeight="1">
      <c r="A399" s="1048"/>
      <c r="B399" s="1048"/>
      <c r="C399" s="1049"/>
      <c r="D399" s="1049"/>
      <c r="E399" s="1049"/>
      <c r="F399" s="1048"/>
      <c r="G399" s="1048"/>
      <c r="H399" s="1050"/>
      <c r="I399" s="1050"/>
      <c r="J399" s="1050"/>
      <c r="K399" s="1050"/>
      <c r="L399" s="153">
        <f t="shared" si="30"/>
        <v>0</v>
      </c>
      <c r="M399" s="154">
        <f t="shared" si="31"/>
        <v>0</v>
      </c>
      <c r="N399" s="155">
        <f>+IF(OR($Q399=Parametres!$G$2,$Q399=Parametres!$G$3),I399,C399)</f>
        <v>0</v>
      </c>
      <c r="O399" s="155">
        <f>+IF(OR($Q399=Parametres!$G$2,$Q399=Parametres!$G$3),J399,D399)</f>
        <v>0</v>
      </c>
      <c r="P399" s="155">
        <f>+IF(OR($Q399=Parametres!$G$2,$Q399=Parametres!$G$3),K399,E399)</f>
        <v>0</v>
      </c>
      <c r="Q399" s="154">
        <f t="shared" si="32"/>
        <v>0</v>
      </c>
      <c r="R399" s="153">
        <f t="shared" si="33"/>
        <v>0</v>
      </c>
      <c r="S399" s="154">
        <f t="shared" si="34"/>
        <v>0</v>
      </c>
      <c r="T399" s="156" t="e">
        <f>+VLOOKUP($L399,Data_Validation!$A:$D,1,0)</f>
        <v>#N/A</v>
      </c>
      <c r="U399" s="156" t="e">
        <f>+VLOOKUP($L399,Data_Validation!$A:$D,3,0)</f>
        <v>#N/A</v>
      </c>
      <c r="V399" s="156" t="e">
        <f>+VLOOKUP($L399,Data_Validation!$A:$D,4,0)</f>
        <v>#N/A</v>
      </c>
      <c r="W399" s="156" t="e">
        <f>+VLOOKUP($L399,Data_Validation!$A:$E,5,0)</f>
        <v>#N/A</v>
      </c>
      <c r="X399" s="156" t="e">
        <f>+VLOOKUP($L399,Data_Validation!$A:$F,6,0)</f>
        <v>#N/A</v>
      </c>
    </row>
    <row r="400" spans="1:24" ht="15" hidden="1" customHeight="1">
      <c r="A400" s="1048"/>
      <c r="B400" s="1048"/>
      <c r="C400" s="1049"/>
      <c r="D400" s="1049"/>
      <c r="E400" s="1049"/>
      <c r="F400" s="1048"/>
      <c r="G400" s="1048"/>
      <c r="H400" s="150"/>
      <c r="I400" s="151"/>
      <c r="J400" s="151"/>
      <c r="K400" s="151"/>
      <c r="L400" s="153">
        <f t="shared" si="30"/>
        <v>0</v>
      </c>
      <c r="M400" s="154">
        <f t="shared" si="31"/>
        <v>0</v>
      </c>
      <c r="N400" s="155">
        <f>+IF(OR($Q400=Parametres!$G$2,$Q400=Parametres!$G$3),I400,C400)</f>
        <v>0</v>
      </c>
      <c r="O400" s="155">
        <f>+IF(OR($Q400=Parametres!$G$2,$Q400=Parametres!$G$3),J400,D400)</f>
        <v>0</v>
      </c>
      <c r="P400" s="155">
        <f>+IF(OR($Q400=Parametres!$G$2,$Q400=Parametres!$G$3),K400,E400)</f>
        <v>0</v>
      </c>
      <c r="Q400" s="154">
        <f t="shared" si="32"/>
        <v>0</v>
      </c>
      <c r="R400" s="153">
        <f t="shared" si="33"/>
        <v>0</v>
      </c>
      <c r="S400" s="154">
        <f t="shared" si="34"/>
        <v>0</v>
      </c>
      <c r="T400" s="156" t="e">
        <f>+VLOOKUP($L400,Data_Validation!$A:$D,1,0)</f>
        <v>#N/A</v>
      </c>
      <c r="U400" s="156" t="e">
        <f>+VLOOKUP($L400,Data_Validation!$A:$D,3,0)</f>
        <v>#N/A</v>
      </c>
      <c r="V400" s="156" t="e">
        <f>+VLOOKUP($L400,Data_Validation!$A:$D,4,0)</f>
        <v>#N/A</v>
      </c>
      <c r="W400" s="156" t="e">
        <f>+VLOOKUP($L400,Data_Validation!$A:$E,5,0)</f>
        <v>#N/A</v>
      </c>
      <c r="X400" s="156" t="e">
        <f>+VLOOKUP($L400,Data_Validation!$A:$F,6,0)</f>
        <v>#N/A</v>
      </c>
    </row>
    <row r="401" spans="1:24" ht="15" hidden="1" customHeight="1">
      <c r="A401" s="1048"/>
      <c r="B401" s="1048"/>
      <c r="C401" s="1049"/>
      <c r="D401" s="1049"/>
      <c r="E401" s="1049"/>
      <c r="F401" s="1048"/>
      <c r="G401" s="1048"/>
      <c r="H401" s="150"/>
      <c r="I401" s="157"/>
      <c r="J401" s="157"/>
      <c r="K401" s="157"/>
      <c r="L401" s="153">
        <f t="shared" si="30"/>
        <v>0</v>
      </c>
      <c r="M401" s="154">
        <f t="shared" si="31"/>
        <v>0</v>
      </c>
      <c r="N401" s="155">
        <f>+IF(OR($Q401=Parametres!$G$2,$Q401=Parametres!$G$3),I401,C401)</f>
        <v>0</v>
      </c>
      <c r="O401" s="155">
        <f>+IF(OR($Q401=Parametres!$G$2,$Q401=Parametres!$G$3),J401,D401)</f>
        <v>0</v>
      </c>
      <c r="P401" s="155">
        <f>+IF(OR($Q401=Parametres!$G$2,$Q401=Parametres!$G$3),K401,E401)</f>
        <v>0</v>
      </c>
      <c r="Q401" s="154">
        <f t="shared" si="32"/>
        <v>0</v>
      </c>
      <c r="R401" s="153">
        <f t="shared" si="33"/>
        <v>0</v>
      </c>
      <c r="S401" s="154">
        <f t="shared" si="34"/>
        <v>0</v>
      </c>
      <c r="T401" s="156" t="e">
        <f>+VLOOKUP($L401,Data_Validation!$A:$D,1,0)</f>
        <v>#N/A</v>
      </c>
      <c r="U401" s="156" t="e">
        <f>+VLOOKUP($L401,Data_Validation!$A:$D,3,0)</f>
        <v>#N/A</v>
      </c>
      <c r="V401" s="156" t="e">
        <f>+VLOOKUP($L401,Data_Validation!$A:$D,4,0)</f>
        <v>#N/A</v>
      </c>
      <c r="W401" s="156" t="e">
        <f>+VLOOKUP($L401,Data_Validation!$A:$E,5,0)</f>
        <v>#N/A</v>
      </c>
      <c r="X401" s="156" t="e">
        <f>+VLOOKUP($L401,Data_Validation!$A:$F,6,0)</f>
        <v>#N/A</v>
      </c>
    </row>
    <row r="402" spans="1:24" ht="15" hidden="1" customHeight="1">
      <c r="A402" s="1048"/>
      <c r="B402" s="1048"/>
      <c r="C402" s="1049"/>
      <c r="D402" s="1049"/>
      <c r="E402" s="1049"/>
      <c r="F402" s="1048"/>
      <c r="G402" s="1048"/>
      <c r="H402" s="150"/>
      <c r="I402" s="157"/>
      <c r="J402" s="157"/>
      <c r="K402" s="157"/>
      <c r="L402" s="153">
        <f t="shared" si="30"/>
        <v>0</v>
      </c>
      <c r="M402" s="154">
        <f t="shared" si="31"/>
        <v>0</v>
      </c>
      <c r="N402" s="155">
        <f>+IF(OR($Q402=Parametres!$G$2,$Q402=Parametres!$G$3),I402,C402)</f>
        <v>0</v>
      </c>
      <c r="O402" s="608">
        <f>+IF(OR($Q402=Parametres!$G$2,$Q402=Parametres!$G$3),J402,D402)</f>
        <v>0</v>
      </c>
      <c r="P402" s="155">
        <f>+IF(OR($Q402=Parametres!$G$2,$Q402=Parametres!$G$3),K402,E402)</f>
        <v>0</v>
      </c>
      <c r="Q402" s="154">
        <f t="shared" si="32"/>
        <v>0</v>
      </c>
      <c r="R402" s="153">
        <f t="shared" si="33"/>
        <v>0</v>
      </c>
      <c r="S402" s="154">
        <f t="shared" si="34"/>
        <v>0</v>
      </c>
      <c r="T402" s="156" t="e">
        <f>+VLOOKUP($L402,Data_Validation!$A:$D,1,0)</f>
        <v>#N/A</v>
      </c>
      <c r="U402" s="156" t="e">
        <f>+VLOOKUP($L402,Data_Validation!$A:$D,3,0)</f>
        <v>#N/A</v>
      </c>
      <c r="V402" s="156" t="e">
        <f>+VLOOKUP($L402,Data_Validation!$A:$D,4,0)</f>
        <v>#N/A</v>
      </c>
      <c r="W402" s="156" t="e">
        <f>+VLOOKUP($L402,Data_Validation!$A:$E,5,0)</f>
        <v>#N/A</v>
      </c>
      <c r="X402" s="156" t="e">
        <f>+VLOOKUP($L402,Data_Validation!$A:$F,6,0)</f>
        <v>#N/A</v>
      </c>
    </row>
    <row r="403" spans="1:24" ht="15.75" hidden="1" customHeight="1">
      <c r="A403" s="1048"/>
      <c r="B403" s="1048"/>
      <c r="C403" s="1049"/>
      <c r="D403" s="1049"/>
      <c r="E403" s="1049"/>
      <c r="F403" s="1048"/>
      <c r="G403" s="1048"/>
      <c r="H403" s="150"/>
      <c r="I403" s="157"/>
      <c r="J403" s="157"/>
      <c r="K403" s="157"/>
      <c r="L403" s="153">
        <f t="shared" si="30"/>
        <v>0</v>
      </c>
      <c r="M403" s="154">
        <f t="shared" si="31"/>
        <v>0</v>
      </c>
      <c r="N403" s="155">
        <f>+IF(OR($Q403=Parametres!$G$2,$Q403=Parametres!$G$3),I403,C403)</f>
        <v>0</v>
      </c>
      <c r="O403" s="155">
        <f>+IF(OR($Q403=Parametres!$G$2,$Q403=Parametres!$G$3),J403,D403)</f>
        <v>0</v>
      </c>
      <c r="P403" s="155">
        <f>+IF(OR($Q403=Parametres!$G$2,$Q403=Parametres!$G$3),K403,E403)</f>
        <v>0</v>
      </c>
      <c r="Q403" s="154">
        <f t="shared" si="32"/>
        <v>0</v>
      </c>
      <c r="R403" s="153">
        <f t="shared" si="33"/>
        <v>0</v>
      </c>
      <c r="S403" s="154">
        <f t="shared" si="34"/>
        <v>0</v>
      </c>
      <c r="T403" s="156" t="e">
        <f>+VLOOKUP($L403,Data_Validation!$A:$D,1,0)</f>
        <v>#N/A</v>
      </c>
      <c r="U403" s="156" t="e">
        <f>+VLOOKUP($L403,Data_Validation!$A:$D,3,0)</f>
        <v>#N/A</v>
      </c>
      <c r="V403" s="156" t="e">
        <f>+VLOOKUP($L403,Data_Validation!$A:$D,4,0)</f>
        <v>#N/A</v>
      </c>
      <c r="W403" s="156" t="e">
        <f>+VLOOKUP($L403,Data_Validation!$A:$E,5,0)</f>
        <v>#N/A</v>
      </c>
      <c r="X403" s="156" t="e">
        <f>+VLOOKUP($L403,Data_Validation!$A:$F,6,0)</f>
        <v>#N/A</v>
      </c>
    </row>
    <row r="404" spans="1:24" ht="15" hidden="1" customHeight="1">
      <c r="A404" s="1048"/>
      <c r="B404" s="1048"/>
      <c r="C404" s="1049"/>
      <c r="D404" s="1049"/>
      <c r="E404" s="1049"/>
      <c r="F404" s="1048"/>
      <c r="G404" s="1048"/>
      <c r="H404" s="150"/>
      <c r="I404" s="157"/>
      <c r="J404" s="157"/>
      <c r="K404" s="157"/>
      <c r="L404" s="153">
        <f t="shared" si="30"/>
        <v>0</v>
      </c>
      <c r="M404" s="154">
        <f t="shared" si="31"/>
        <v>0</v>
      </c>
      <c r="N404" s="155">
        <f>+IF(OR($Q404=Parametres!$G$2,$Q404=Parametres!$G$3),I404,C404)</f>
        <v>0</v>
      </c>
      <c r="O404" s="155">
        <f>+IF(OR($Q404=Parametres!$G$2,$Q404=Parametres!$G$3),J404,D404)</f>
        <v>0</v>
      </c>
      <c r="P404" s="155">
        <f>+IF(OR($Q404=Parametres!$G$2,$Q404=Parametres!$G$3),K404,E404)</f>
        <v>0</v>
      </c>
      <c r="Q404" s="154">
        <f t="shared" si="32"/>
        <v>0</v>
      </c>
      <c r="R404" s="153">
        <f t="shared" si="33"/>
        <v>0</v>
      </c>
      <c r="S404" s="154">
        <f t="shared" si="34"/>
        <v>0</v>
      </c>
      <c r="T404" s="156" t="e">
        <f>+VLOOKUP($L404,Data_Validation!$A:$D,1,0)</f>
        <v>#N/A</v>
      </c>
      <c r="U404" s="156" t="e">
        <f>+VLOOKUP($L404,Data_Validation!$A:$D,3,0)</f>
        <v>#N/A</v>
      </c>
      <c r="V404" s="156" t="e">
        <f>+VLOOKUP($L404,Data_Validation!$A:$D,4,0)</f>
        <v>#N/A</v>
      </c>
      <c r="W404" s="156" t="e">
        <f>+VLOOKUP($L404,Data_Validation!$A:$E,5,0)</f>
        <v>#N/A</v>
      </c>
      <c r="X404" s="156" t="e">
        <f>+VLOOKUP($L404,Data_Validation!$A:$F,6,0)</f>
        <v>#N/A</v>
      </c>
    </row>
    <row r="405" spans="1:24" ht="15" hidden="1" customHeight="1">
      <c r="A405" s="1048"/>
      <c r="B405" s="1048"/>
      <c r="C405" s="1049"/>
      <c r="D405" s="1049"/>
      <c r="E405" s="1049"/>
      <c r="F405" s="1048"/>
      <c r="G405" s="1048"/>
      <c r="H405" s="150"/>
      <c r="I405" s="151"/>
      <c r="J405" s="151"/>
      <c r="K405" s="151"/>
      <c r="L405" s="153">
        <f t="shared" si="30"/>
        <v>0</v>
      </c>
      <c r="M405" s="154">
        <f t="shared" si="31"/>
        <v>0</v>
      </c>
      <c r="N405" s="155">
        <f>+IF(OR($Q405=Parametres!$G$2,$Q405=Parametres!$G$3),I405,C405)</f>
        <v>0</v>
      </c>
      <c r="O405" s="155">
        <f>+IF(OR($Q405=Parametres!$G$2,$Q405=Parametres!$G$3),J405,D405)</f>
        <v>0</v>
      </c>
      <c r="P405" s="155">
        <f>+IF(OR($Q405=Parametres!$G$2,$Q405=Parametres!$G$3),K405,E405)</f>
        <v>0</v>
      </c>
      <c r="Q405" s="154">
        <f t="shared" si="32"/>
        <v>0</v>
      </c>
      <c r="R405" s="153">
        <f t="shared" si="33"/>
        <v>0</v>
      </c>
      <c r="S405" s="154">
        <f t="shared" si="34"/>
        <v>0</v>
      </c>
      <c r="T405" s="156" t="e">
        <f>+VLOOKUP($L405,Data_Validation!$A:$D,1,0)</f>
        <v>#N/A</v>
      </c>
      <c r="U405" s="156" t="e">
        <f>+VLOOKUP($L405,Data_Validation!$A:$D,3,0)</f>
        <v>#N/A</v>
      </c>
      <c r="V405" s="156" t="e">
        <f>+VLOOKUP($L405,Data_Validation!$A:$D,4,0)</f>
        <v>#N/A</v>
      </c>
      <c r="W405" s="156" t="e">
        <f>+VLOOKUP($L405,Data_Validation!$A:$E,5,0)</f>
        <v>#N/A</v>
      </c>
      <c r="X405" s="156" t="e">
        <f>+VLOOKUP($L405,Data_Validation!$A:$F,6,0)</f>
        <v>#N/A</v>
      </c>
    </row>
    <row r="406" spans="1:24" ht="15" hidden="1" customHeight="1">
      <c r="A406" s="1048"/>
      <c r="B406" s="1048"/>
      <c r="C406" s="1049"/>
      <c r="D406" s="1049"/>
      <c r="E406" s="1049"/>
      <c r="F406" s="1048"/>
      <c r="G406" s="1048"/>
      <c r="H406" s="150"/>
      <c r="I406" s="157"/>
      <c r="J406" s="157"/>
      <c r="K406" s="157"/>
      <c r="L406" s="153">
        <f t="shared" si="30"/>
        <v>0</v>
      </c>
      <c r="M406" s="154">
        <f t="shared" si="31"/>
        <v>0</v>
      </c>
      <c r="N406" s="155">
        <f>+IF(OR($Q406=Parametres!$G$2,$Q406=Parametres!$G$3),I406,C406)</f>
        <v>0</v>
      </c>
      <c r="O406" s="155">
        <f>+IF(OR($Q406=Parametres!$G$2,$Q406=Parametres!$G$3),J406,D406)</f>
        <v>0</v>
      </c>
      <c r="P406" s="155">
        <f>+IF(OR($Q406=Parametres!$G$2,$Q406=Parametres!$G$3),K406,E406)</f>
        <v>0</v>
      </c>
      <c r="Q406" s="154">
        <f t="shared" si="32"/>
        <v>0</v>
      </c>
      <c r="R406" s="153">
        <f t="shared" si="33"/>
        <v>0</v>
      </c>
      <c r="S406" s="154">
        <f t="shared" si="34"/>
        <v>0</v>
      </c>
      <c r="T406" s="156" t="e">
        <f>+VLOOKUP($L406,Data_Validation!$A:$D,1,0)</f>
        <v>#N/A</v>
      </c>
      <c r="U406" s="156" t="e">
        <f>+VLOOKUP($L406,Data_Validation!$A:$D,3,0)</f>
        <v>#N/A</v>
      </c>
      <c r="V406" s="156" t="e">
        <f>+VLOOKUP($L406,Data_Validation!$A:$D,4,0)</f>
        <v>#N/A</v>
      </c>
      <c r="W406" s="156" t="e">
        <f>+VLOOKUP($L406,Data_Validation!$A:$E,5,0)</f>
        <v>#N/A</v>
      </c>
      <c r="X406" s="156" t="e">
        <f>+VLOOKUP($L406,Data_Validation!$A:$F,6,0)</f>
        <v>#N/A</v>
      </c>
    </row>
    <row r="407" spans="1:24" ht="15.75" hidden="1" customHeight="1">
      <c r="A407" s="1048"/>
      <c r="B407" s="1048"/>
      <c r="C407" s="1049"/>
      <c r="D407" s="1049"/>
      <c r="E407" s="1049"/>
      <c r="F407" s="1048"/>
      <c r="G407" s="1048"/>
      <c r="H407" s="150"/>
      <c r="I407" s="157"/>
      <c r="J407" s="157"/>
      <c r="K407" s="157"/>
      <c r="L407" s="153">
        <f t="shared" si="30"/>
        <v>0</v>
      </c>
      <c r="M407" s="154">
        <f t="shared" si="31"/>
        <v>0</v>
      </c>
      <c r="N407" s="155">
        <f>+IF(OR($Q407=Parametres!$G$2,$Q407=Parametres!$G$3),I407,C407)</f>
        <v>0</v>
      </c>
      <c r="O407" s="155">
        <f>+IF(OR($Q407=Parametres!$G$2,$Q407=Parametres!$G$3),J407,D407)</f>
        <v>0</v>
      </c>
      <c r="P407" s="155">
        <f>+IF(OR($Q407=Parametres!$G$2,$Q407=Parametres!$G$3),K407,E407)</f>
        <v>0</v>
      </c>
      <c r="Q407" s="154">
        <f t="shared" si="32"/>
        <v>0</v>
      </c>
      <c r="R407" s="153">
        <f t="shared" si="33"/>
        <v>0</v>
      </c>
      <c r="S407" s="154">
        <f t="shared" si="34"/>
        <v>0</v>
      </c>
      <c r="T407" s="156" t="e">
        <f>+VLOOKUP($L407,Data_Validation!$A:$D,1,0)</f>
        <v>#N/A</v>
      </c>
      <c r="U407" s="156" t="e">
        <f>+VLOOKUP($L407,Data_Validation!$A:$D,3,0)</f>
        <v>#N/A</v>
      </c>
      <c r="V407" s="156" t="e">
        <f>+VLOOKUP($L407,Data_Validation!$A:$D,4,0)</f>
        <v>#N/A</v>
      </c>
      <c r="W407" s="156" t="e">
        <f>+VLOOKUP($L407,Data_Validation!$A:$E,5,0)</f>
        <v>#N/A</v>
      </c>
      <c r="X407" s="156" t="e">
        <f>+VLOOKUP($L407,Data_Validation!$A:$F,6,0)</f>
        <v>#N/A</v>
      </c>
    </row>
    <row r="408" spans="1:24" ht="15" hidden="1" customHeight="1">
      <c r="A408" s="1048"/>
      <c r="B408" s="1048"/>
      <c r="C408" s="1049"/>
      <c r="D408" s="1049"/>
      <c r="E408" s="1049"/>
      <c r="F408" s="1048"/>
      <c r="G408" s="1048"/>
      <c r="H408" s="150"/>
      <c r="I408" s="151"/>
      <c r="J408" s="151"/>
      <c r="K408" s="151"/>
      <c r="L408" s="153">
        <f t="shared" si="30"/>
        <v>0</v>
      </c>
      <c r="M408" s="154">
        <f t="shared" si="31"/>
        <v>0</v>
      </c>
      <c r="N408" s="155">
        <f>+IF(OR($Q408=Parametres!$G$2,$Q408=Parametres!$G$3),I408,C408)</f>
        <v>0</v>
      </c>
      <c r="O408" s="155">
        <f>+IF(OR($Q408=Parametres!$G$2,$Q408=Parametres!$G$3),J408,D408)</f>
        <v>0</v>
      </c>
      <c r="P408" s="155">
        <f>+IF(OR($Q408=Parametres!$G$2,$Q408=Parametres!$G$3),K408,E408)</f>
        <v>0</v>
      </c>
      <c r="Q408" s="154">
        <f t="shared" si="32"/>
        <v>0</v>
      </c>
      <c r="R408" s="153">
        <f t="shared" si="33"/>
        <v>0</v>
      </c>
      <c r="S408" s="154">
        <f t="shared" si="34"/>
        <v>0</v>
      </c>
      <c r="T408" s="156" t="e">
        <f>+VLOOKUP($L408,Data_Validation!$A:$D,1,0)</f>
        <v>#N/A</v>
      </c>
      <c r="U408" s="156" t="e">
        <f>+VLOOKUP($L408,Data_Validation!$A:$D,3,0)</f>
        <v>#N/A</v>
      </c>
      <c r="V408" s="156" t="e">
        <f>+VLOOKUP($L408,Data_Validation!$A:$D,4,0)</f>
        <v>#N/A</v>
      </c>
      <c r="W408" s="156" t="e">
        <f>+VLOOKUP($L408,Data_Validation!$A:$E,5,0)</f>
        <v>#N/A</v>
      </c>
      <c r="X408" s="156" t="e">
        <f>+VLOOKUP($L408,Data_Validation!$A:$F,6,0)</f>
        <v>#N/A</v>
      </c>
    </row>
    <row r="409" spans="1:24" ht="15" hidden="1" customHeight="1">
      <c r="A409" s="1048"/>
      <c r="B409" s="1048"/>
      <c r="C409" s="1049"/>
      <c r="D409" s="1049"/>
      <c r="E409" s="1049"/>
      <c r="F409" s="1048"/>
      <c r="G409" s="1048"/>
      <c r="H409" s="150"/>
      <c r="I409" s="151"/>
      <c r="J409" s="151"/>
      <c r="K409" s="151"/>
      <c r="L409" s="153">
        <f t="shared" si="30"/>
        <v>0</v>
      </c>
      <c r="M409" s="154">
        <f t="shared" si="31"/>
        <v>0</v>
      </c>
      <c r="N409" s="155">
        <f>+IF(OR($Q409=Parametres!$G$2,$Q409=Parametres!$G$3),I409,C409)</f>
        <v>0</v>
      </c>
      <c r="O409" s="155">
        <f>+IF(OR($Q409=Parametres!$G$2,$Q409=Parametres!$G$3),J409,D409)</f>
        <v>0</v>
      </c>
      <c r="P409" s="155">
        <f>+IF(OR($Q409=Parametres!$G$2,$Q409=Parametres!$G$3),K409,E409)</f>
        <v>0</v>
      </c>
      <c r="Q409" s="154">
        <f t="shared" si="32"/>
        <v>0</v>
      </c>
      <c r="R409" s="153">
        <f t="shared" si="33"/>
        <v>0</v>
      </c>
      <c r="S409" s="154">
        <f t="shared" si="34"/>
        <v>0</v>
      </c>
      <c r="T409" s="156" t="e">
        <f>+VLOOKUP($L409,Data_Validation!$A:$D,1,0)</f>
        <v>#N/A</v>
      </c>
      <c r="U409" s="156" t="e">
        <f>+VLOOKUP($L409,Data_Validation!$A:$D,3,0)</f>
        <v>#N/A</v>
      </c>
      <c r="V409" s="156" t="e">
        <f>+VLOOKUP($L409,Data_Validation!$A:$D,4,0)</f>
        <v>#N/A</v>
      </c>
      <c r="W409" s="156" t="e">
        <f>+VLOOKUP($L409,Data_Validation!$A:$E,5,0)</f>
        <v>#N/A</v>
      </c>
      <c r="X409" s="156" t="e">
        <f>+VLOOKUP($L409,Data_Validation!$A:$F,6,0)</f>
        <v>#N/A</v>
      </c>
    </row>
    <row r="410" spans="1:24" ht="15" hidden="1" customHeight="1">
      <c r="A410" s="1048"/>
      <c r="B410" s="1048"/>
      <c r="C410" s="1049"/>
      <c r="D410" s="1049"/>
      <c r="E410" s="1049"/>
      <c r="F410" s="1048"/>
      <c r="G410" s="1048"/>
      <c r="H410" s="150"/>
      <c r="I410" s="151"/>
      <c r="J410" s="151"/>
      <c r="K410" s="151"/>
      <c r="L410" s="153">
        <f t="shared" si="30"/>
        <v>0</v>
      </c>
      <c r="M410" s="154">
        <f t="shared" si="31"/>
        <v>0</v>
      </c>
      <c r="N410" s="155">
        <f>+IF(OR($Q410=Parametres!$G$2,$Q410=Parametres!$G$3),I410,C410)</f>
        <v>0</v>
      </c>
      <c r="O410" s="155">
        <f>+IF(OR($Q410=Parametres!$G$2,$Q410=Parametres!$G$3),J410,D410)</f>
        <v>0</v>
      </c>
      <c r="P410" s="155">
        <f>+IF(OR($Q410=Parametres!$G$2,$Q410=Parametres!$G$3),K410,E410)</f>
        <v>0</v>
      </c>
      <c r="Q410" s="154">
        <f t="shared" si="32"/>
        <v>0</v>
      </c>
      <c r="R410" s="153">
        <f t="shared" si="33"/>
        <v>0</v>
      </c>
      <c r="S410" s="154">
        <f t="shared" si="34"/>
        <v>0</v>
      </c>
      <c r="T410" s="156" t="e">
        <f>+VLOOKUP($L410,Data_Validation!$A:$D,1,0)</f>
        <v>#N/A</v>
      </c>
      <c r="U410" s="156" t="e">
        <f>+VLOOKUP($L410,Data_Validation!$A:$D,3,0)</f>
        <v>#N/A</v>
      </c>
      <c r="V410" s="156" t="e">
        <f>+VLOOKUP($L410,Data_Validation!$A:$D,4,0)</f>
        <v>#N/A</v>
      </c>
      <c r="W410" s="156" t="e">
        <f>+VLOOKUP($L410,Data_Validation!$A:$E,5,0)</f>
        <v>#N/A</v>
      </c>
      <c r="X410" s="156" t="e">
        <f>+VLOOKUP($L410,Data_Validation!$A:$F,6,0)</f>
        <v>#N/A</v>
      </c>
    </row>
    <row r="411" spans="1:24" ht="15.75" hidden="1" customHeight="1">
      <c r="A411" s="1048"/>
      <c r="B411" s="1048"/>
      <c r="C411" s="1049"/>
      <c r="D411" s="1049"/>
      <c r="E411" s="1049"/>
      <c r="F411" s="1048"/>
      <c r="G411" s="1048"/>
      <c r="H411" s="150"/>
      <c r="I411" s="151"/>
      <c r="J411" s="151"/>
      <c r="K411" s="151"/>
      <c r="L411" s="153">
        <f t="shared" si="30"/>
        <v>0</v>
      </c>
      <c r="M411" s="154">
        <f t="shared" si="31"/>
        <v>0</v>
      </c>
      <c r="N411" s="155">
        <f>+IF(OR($Q411=Parametres!$G$2,$Q411=Parametres!$G$3),I411,C411)</f>
        <v>0</v>
      </c>
      <c r="O411" s="155">
        <f>+IF(OR($Q411=Parametres!$G$2,$Q411=Parametres!$G$3),J411,D411)</f>
        <v>0</v>
      </c>
      <c r="P411" s="155">
        <f>+IF(OR($Q411=Parametres!$G$2,$Q411=Parametres!$G$3),K411,E411)</f>
        <v>0</v>
      </c>
      <c r="Q411" s="154">
        <f t="shared" si="32"/>
        <v>0</v>
      </c>
      <c r="R411" s="153">
        <f t="shared" si="33"/>
        <v>0</v>
      </c>
      <c r="S411" s="154">
        <f t="shared" si="34"/>
        <v>0</v>
      </c>
      <c r="T411" s="156" t="e">
        <f>+VLOOKUP($L411,Data_Validation!$A:$D,1,0)</f>
        <v>#N/A</v>
      </c>
      <c r="U411" s="156" t="e">
        <f>+VLOOKUP($L411,Data_Validation!$A:$D,3,0)</f>
        <v>#N/A</v>
      </c>
      <c r="V411" s="156" t="e">
        <f>+VLOOKUP($L411,Data_Validation!$A:$D,4,0)</f>
        <v>#N/A</v>
      </c>
      <c r="W411" s="156" t="e">
        <f>+VLOOKUP($L411,Data_Validation!$A:$E,5,0)</f>
        <v>#N/A</v>
      </c>
      <c r="X411" s="156" t="e">
        <f>+VLOOKUP($L411,Data_Validation!$A:$F,6,0)</f>
        <v>#N/A</v>
      </c>
    </row>
    <row r="412" spans="1:24" ht="15" hidden="1" customHeight="1">
      <c r="A412" s="1048"/>
      <c r="B412" s="1048"/>
      <c r="C412" s="1049"/>
      <c r="D412" s="1049"/>
      <c r="E412" s="1049"/>
      <c r="F412" s="1048"/>
      <c r="G412" s="1048"/>
      <c r="H412" s="150"/>
      <c r="I412" s="157"/>
      <c r="J412" s="157"/>
      <c r="K412" s="157"/>
      <c r="L412" s="153">
        <f t="shared" si="30"/>
        <v>0</v>
      </c>
      <c r="M412" s="154">
        <f t="shared" si="31"/>
        <v>0</v>
      </c>
      <c r="N412" s="155">
        <f>+IF(OR($Q412=Parametres!$G$2,$Q412=Parametres!$G$3),I412,C412)</f>
        <v>0</v>
      </c>
      <c r="O412" s="155">
        <f>+IF(OR($Q412=Parametres!$G$2,$Q412=Parametres!$G$3),J412,D412)</f>
        <v>0</v>
      </c>
      <c r="P412" s="155">
        <f>+IF(OR($Q412=Parametres!$G$2,$Q412=Parametres!$G$3),K412,E412)</f>
        <v>0</v>
      </c>
      <c r="Q412" s="154">
        <f t="shared" si="32"/>
        <v>0</v>
      </c>
      <c r="R412" s="153">
        <f t="shared" si="33"/>
        <v>0</v>
      </c>
      <c r="S412" s="154">
        <f t="shared" si="34"/>
        <v>0</v>
      </c>
      <c r="T412" s="156" t="e">
        <f>+VLOOKUP($L412,Data_Validation!$A:$D,1,0)</f>
        <v>#N/A</v>
      </c>
      <c r="U412" s="156" t="e">
        <f>+VLOOKUP($L412,Data_Validation!$A:$D,3,0)</f>
        <v>#N/A</v>
      </c>
      <c r="V412" s="156" t="e">
        <f>+VLOOKUP($L412,Data_Validation!$A:$D,4,0)</f>
        <v>#N/A</v>
      </c>
      <c r="W412" s="156" t="e">
        <f>+VLOOKUP($L412,Data_Validation!$A:$E,5,0)</f>
        <v>#N/A</v>
      </c>
      <c r="X412" s="156" t="e">
        <f>+VLOOKUP($L412,Data_Validation!$A:$F,6,0)</f>
        <v>#N/A</v>
      </c>
    </row>
    <row r="413" spans="1:24" ht="15" hidden="1" customHeight="1">
      <c r="A413" s="1048"/>
      <c r="B413" s="1048"/>
      <c r="C413" s="1049"/>
      <c r="D413" s="1049"/>
      <c r="E413" s="1049"/>
      <c r="F413" s="1048"/>
      <c r="G413" s="1048"/>
      <c r="H413" s="150"/>
      <c r="I413" s="157"/>
      <c r="J413" s="157"/>
      <c r="K413" s="157"/>
      <c r="L413" s="153">
        <f t="shared" si="30"/>
        <v>0</v>
      </c>
      <c r="M413" s="154">
        <f t="shared" si="31"/>
        <v>0</v>
      </c>
      <c r="N413" s="155">
        <f>+IF(OR($Q413=Parametres!$G$2,$Q413=Parametres!$G$3),I413,C413)</f>
        <v>0</v>
      </c>
      <c r="O413" s="155">
        <f>+IF(OR($Q413=Parametres!$G$2,$Q413=Parametres!$G$3),J413,D413)</f>
        <v>0</v>
      </c>
      <c r="P413" s="155">
        <f>+IF(OR($Q413=Parametres!$G$2,$Q413=Parametres!$G$3),K413,E413)</f>
        <v>0</v>
      </c>
      <c r="Q413" s="154">
        <f t="shared" si="32"/>
        <v>0</v>
      </c>
      <c r="R413" s="153">
        <f t="shared" si="33"/>
        <v>0</v>
      </c>
      <c r="S413" s="154">
        <f t="shared" si="34"/>
        <v>0</v>
      </c>
      <c r="T413" s="156" t="e">
        <f>+VLOOKUP($L413,Data_Validation!$A:$D,1,0)</f>
        <v>#N/A</v>
      </c>
      <c r="U413" s="156" t="e">
        <f>+VLOOKUP($L413,Data_Validation!$A:$D,3,0)</f>
        <v>#N/A</v>
      </c>
      <c r="V413" s="156" t="e">
        <f>+VLOOKUP($L413,Data_Validation!$A:$D,4,0)</f>
        <v>#N/A</v>
      </c>
      <c r="W413" s="156" t="e">
        <f>+VLOOKUP($L413,Data_Validation!$A:$E,5,0)</f>
        <v>#N/A</v>
      </c>
      <c r="X413" s="156" t="e">
        <f>+VLOOKUP($L413,Data_Validation!$A:$F,6,0)</f>
        <v>#N/A</v>
      </c>
    </row>
    <row r="414" spans="1:24" ht="15" hidden="1" customHeight="1">
      <c r="A414" s="1048"/>
      <c r="B414" s="1048"/>
      <c r="C414" s="1049"/>
      <c r="D414" s="1049"/>
      <c r="E414" s="1049"/>
      <c r="F414" s="1048"/>
      <c r="G414" s="1048"/>
      <c r="H414" s="150"/>
      <c r="I414" s="151"/>
      <c r="J414" s="151"/>
      <c r="K414" s="151"/>
      <c r="L414" s="153">
        <f t="shared" si="30"/>
        <v>0</v>
      </c>
      <c r="M414" s="154">
        <f t="shared" si="31"/>
        <v>0</v>
      </c>
      <c r="N414" s="155">
        <f>+IF(OR($Q414=Parametres!$G$2,$Q414=Parametres!$G$3),I414,C414)</f>
        <v>0</v>
      </c>
      <c r="O414" s="155">
        <f>+IF(OR($Q414=Parametres!$G$2,$Q414=Parametres!$G$3),J414,D414)</f>
        <v>0</v>
      </c>
      <c r="P414" s="155">
        <f>+IF(OR($Q414=Parametres!$G$2,$Q414=Parametres!$G$3),K414,E414)</f>
        <v>0</v>
      </c>
      <c r="Q414" s="154">
        <f t="shared" si="32"/>
        <v>0</v>
      </c>
      <c r="R414" s="153">
        <f t="shared" si="33"/>
        <v>0</v>
      </c>
      <c r="S414" s="154">
        <f t="shared" si="34"/>
        <v>0</v>
      </c>
      <c r="T414" s="156" t="e">
        <f>+VLOOKUP($L414,Data_Validation!$A:$D,1,0)</f>
        <v>#N/A</v>
      </c>
      <c r="U414" s="156" t="e">
        <f>+VLOOKUP($L414,Data_Validation!$A:$D,3,0)</f>
        <v>#N/A</v>
      </c>
      <c r="V414" s="156" t="e">
        <f>+VLOOKUP($L414,Data_Validation!$A:$D,4,0)</f>
        <v>#N/A</v>
      </c>
      <c r="W414" s="156" t="e">
        <f>+VLOOKUP($L414,Data_Validation!$A:$E,5,0)</f>
        <v>#N/A</v>
      </c>
      <c r="X414" s="156" t="e">
        <f>+VLOOKUP($L414,Data_Validation!$A:$F,6,0)</f>
        <v>#N/A</v>
      </c>
    </row>
    <row r="415" spans="1:24" ht="15.75" hidden="1" customHeight="1">
      <c r="A415" s="1048"/>
      <c r="B415" s="1048"/>
      <c r="C415" s="1049"/>
      <c r="D415" s="1049"/>
      <c r="E415" s="1049"/>
      <c r="F415" s="1048"/>
      <c r="G415" s="1048"/>
      <c r="H415" s="150"/>
      <c r="I415" s="152"/>
      <c r="J415" s="152"/>
      <c r="K415" s="152"/>
      <c r="L415" s="153">
        <f t="shared" si="30"/>
        <v>0</v>
      </c>
      <c r="M415" s="154">
        <f t="shared" si="31"/>
        <v>0</v>
      </c>
      <c r="N415" s="155">
        <f>+IF(OR($Q415=Parametres!$G$2,$Q415=Parametres!$G$3),I415,C415)</f>
        <v>0</v>
      </c>
      <c r="O415" s="155">
        <f>+IF(OR($Q415=Parametres!$G$2,$Q415=Parametres!$G$3),J415,D415)</f>
        <v>0</v>
      </c>
      <c r="P415" s="155">
        <f>+IF(OR($Q415=Parametres!$G$2,$Q415=Parametres!$G$3),K415,E415)</f>
        <v>0</v>
      </c>
      <c r="Q415" s="154">
        <f t="shared" si="32"/>
        <v>0</v>
      </c>
      <c r="R415" s="153">
        <f t="shared" si="33"/>
        <v>0</v>
      </c>
      <c r="S415" s="154">
        <f t="shared" si="34"/>
        <v>0</v>
      </c>
      <c r="T415" s="156" t="e">
        <f>+VLOOKUP($L415,Data_Validation!$A:$D,1,0)</f>
        <v>#N/A</v>
      </c>
      <c r="U415" s="156" t="e">
        <f>+VLOOKUP($L415,Data_Validation!$A:$D,3,0)</f>
        <v>#N/A</v>
      </c>
      <c r="V415" s="156" t="e">
        <f>+VLOOKUP($L415,Data_Validation!$A:$D,4,0)</f>
        <v>#N/A</v>
      </c>
      <c r="W415" s="156" t="e">
        <f>+VLOOKUP($L415,Data_Validation!$A:$E,5,0)</f>
        <v>#N/A</v>
      </c>
      <c r="X415" s="156" t="e">
        <f>+VLOOKUP($L415,Data_Validation!$A:$F,6,0)</f>
        <v>#N/A</v>
      </c>
    </row>
    <row r="416" spans="1:24" ht="15" hidden="1" customHeight="1">
      <c r="A416" s="1048"/>
      <c r="B416" s="1048"/>
      <c r="C416" s="1049"/>
      <c r="D416" s="1049"/>
      <c r="E416" s="1049"/>
      <c r="F416" s="1048"/>
      <c r="G416" s="1048"/>
      <c r="H416" s="150"/>
      <c r="I416" s="151"/>
      <c r="J416" s="151"/>
      <c r="K416" s="151"/>
      <c r="L416" s="153">
        <f t="shared" si="30"/>
        <v>0</v>
      </c>
      <c r="M416" s="154">
        <f t="shared" si="31"/>
        <v>0</v>
      </c>
      <c r="N416" s="155">
        <f>+IF(OR($Q416=Parametres!$G$2,$Q416=Parametres!$G$3),I416,C416)</f>
        <v>0</v>
      </c>
      <c r="O416" s="155">
        <f>+IF(OR($Q416=Parametres!$G$2,$Q416=Parametres!$G$3),J416,D416)</f>
        <v>0</v>
      </c>
      <c r="P416" s="155">
        <f>+IF(OR($Q416=Parametres!$G$2,$Q416=Parametres!$G$3),K416,E416)</f>
        <v>0</v>
      </c>
      <c r="Q416" s="154">
        <f t="shared" si="32"/>
        <v>0</v>
      </c>
      <c r="R416" s="153">
        <f t="shared" si="33"/>
        <v>0</v>
      </c>
      <c r="S416" s="154">
        <f t="shared" si="34"/>
        <v>0</v>
      </c>
      <c r="T416" s="156" t="e">
        <f>+VLOOKUP($L416,Data_Validation!$A:$D,1,0)</f>
        <v>#N/A</v>
      </c>
      <c r="U416" s="156" t="e">
        <f>+VLOOKUP($L416,Data_Validation!$A:$D,3,0)</f>
        <v>#N/A</v>
      </c>
      <c r="V416" s="156" t="e">
        <f>+VLOOKUP($L416,Data_Validation!$A:$D,4,0)</f>
        <v>#N/A</v>
      </c>
      <c r="W416" s="156" t="e">
        <f>+VLOOKUP($L416,Data_Validation!$A:$E,5,0)</f>
        <v>#N/A</v>
      </c>
      <c r="X416" s="156" t="e">
        <f>+VLOOKUP($L416,Data_Validation!$A:$F,6,0)</f>
        <v>#N/A</v>
      </c>
    </row>
    <row r="417" spans="1:24" ht="15" hidden="1" customHeight="1">
      <c r="A417" s="1048"/>
      <c r="B417" s="1048"/>
      <c r="C417" s="1049"/>
      <c r="D417" s="1049"/>
      <c r="E417" s="1049"/>
      <c r="F417" s="1048"/>
      <c r="G417" s="1048"/>
      <c r="H417" s="150"/>
      <c r="I417" s="151"/>
      <c r="J417" s="151"/>
      <c r="K417" s="151"/>
      <c r="L417" s="153">
        <f t="shared" si="30"/>
        <v>0</v>
      </c>
      <c r="M417" s="154">
        <f t="shared" si="31"/>
        <v>0</v>
      </c>
      <c r="N417" s="155">
        <f>+IF(OR($Q417=Parametres!$G$2,$Q417=Parametres!$G$3),I417,C417)</f>
        <v>0</v>
      </c>
      <c r="O417" s="155">
        <f>+IF(OR($Q417=Parametres!$G$2,$Q417=Parametres!$G$3),J417,D417)</f>
        <v>0</v>
      </c>
      <c r="P417" s="155">
        <f>+IF(OR($Q417=Parametres!$G$2,$Q417=Parametres!$G$3),K417,E417)</f>
        <v>0</v>
      </c>
      <c r="Q417" s="154">
        <f t="shared" si="32"/>
        <v>0</v>
      </c>
      <c r="R417" s="153">
        <f t="shared" si="33"/>
        <v>0</v>
      </c>
      <c r="S417" s="154">
        <f t="shared" si="34"/>
        <v>0</v>
      </c>
      <c r="T417" s="156" t="e">
        <f>+VLOOKUP($L417,Data_Validation!$A:$D,1,0)</f>
        <v>#N/A</v>
      </c>
      <c r="U417" s="156" t="e">
        <f>+VLOOKUP($L417,Data_Validation!$A:$D,3,0)</f>
        <v>#N/A</v>
      </c>
      <c r="V417" s="156" t="e">
        <f>+VLOOKUP($L417,Data_Validation!$A:$D,4,0)</f>
        <v>#N/A</v>
      </c>
      <c r="W417" s="156" t="e">
        <f>+VLOOKUP($L417,Data_Validation!$A:$E,5,0)</f>
        <v>#N/A</v>
      </c>
      <c r="X417" s="156" t="e">
        <f>+VLOOKUP($L417,Data_Validation!$A:$F,6,0)</f>
        <v>#N/A</v>
      </c>
    </row>
    <row r="418" spans="1:24" ht="15" hidden="1" customHeight="1">
      <c r="A418" s="1048"/>
      <c r="B418" s="1048"/>
      <c r="C418" s="1049"/>
      <c r="D418" s="1049"/>
      <c r="E418" s="1049"/>
      <c r="F418" s="1048"/>
      <c r="G418" s="1048"/>
      <c r="H418" s="150"/>
      <c r="I418" s="151"/>
      <c r="J418" s="151"/>
      <c r="K418" s="151"/>
      <c r="L418" s="153">
        <f t="shared" si="30"/>
        <v>0</v>
      </c>
      <c r="M418" s="154">
        <f t="shared" si="31"/>
        <v>0</v>
      </c>
      <c r="N418" s="155">
        <f>+IF(OR($Q418=Parametres!$G$2,$Q418=Parametres!$G$3),I418,C418)</f>
        <v>0</v>
      </c>
      <c r="O418" s="155">
        <f>+IF(OR($Q418=Parametres!$G$2,$Q418=Parametres!$G$3),J418,D418)</f>
        <v>0</v>
      </c>
      <c r="P418" s="155">
        <f>+IF(OR($Q418=Parametres!$G$2,$Q418=Parametres!$G$3),K418,E418)</f>
        <v>0</v>
      </c>
      <c r="Q418" s="154">
        <f t="shared" si="32"/>
        <v>0</v>
      </c>
      <c r="R418" s="153">
        <f t="shared" si="33"/>
        <v>0</v>
      </c>
      <c r="S418" s="154">
        <f t="shared" si="34"/>
        <v>0</v>
      </c>
      <c r="T418" s="156" t="e">
        <f>+VLOOKUP($L418,Data_Validation!$A:$D,1,0)</f>
        <v>#N/A</v>
      </c>
      <c r="U418" s="156" t="e">
        <f>+VLOOKUP($L418,Data_Validation!$A:$D,3,0)</f>
        <v>#N/A</v>
      </c>
      <c r="V418" s="156" t="e">
        <f>+VLOOKUP($L418,Data_Validation!$A:$D,4,0)</f>
        <v>#N/A</v>
      </c>
      <c r="W418" s="156" t="e">
        <f>+VLOOKUP($L418,Data_Validation!$A:$E,5,0)</f>
        <v>#N/A</v>
      </c>
      <c r="X418" s="156" t="e">
        <f>+VLOOKUP($L418,Data_Validation!$A:$F,6,0)</f>
        <v>#N/A</v>
      </c>
    </row>
    <row r="419" spans="1:24" ht="15.75" hidden="1" customHeight="1">
      <c r="A419" s="1048"/>
      <c r="B419" s="1048"/>
      <c r="C419" s="1049"/>
      <c r="D419" s="1049"/>
      <c r="E419" s="1049"/>
      <c r="F419" s="1048"/>
      <c r="G419" s="1048"/>
      <c r="H419" s="150"/>
      <c r="I419" s="151"/>
      <c r="J419" s="151"/>
      <c r="K419" s="151"/>
      <c r="L419" s="153">
        <f t="shared" si="30"/>
        <v>0</v>
      </c>
      <c r="M419" s="154">
        <f t="shared" si="31"/>
        <v>0</v>
      </c>
      <c r="N419" s="155">
        <f>+IF(OR($Q419=Parametres!$G$2,$Q419=Parametres!$G$3),I419,C419)</f>
        <v>0</v>
      </c>
      <c r="O419" s="155">
        <f>+IF(OR($Q419=Parametres!$G$2,$Q419=Parametres!$G$3),J419,D419)</f>
        <v>0</v>
      </c>
      <c r="P419" s="155">
        <f>+IF(OR($Q419=Parametres!$G$2,$Q419=Parametres!$G$3),K419,E419)</f>
        <v>0</v>
      </c>
      <c r="Q419" s="154">
        <f t="shared" si="32"/>
        <v>0</v>
      </c>
      <c r="R419" s="153">
        <f t="shared" si="33"/>
        <v>0</v>
      </c>
      <c r="S419" s="154">
        <f t="shared" si="34"/>
        <v>0</v>
      </c>
      <c r="T419" s="156" t="e">
        <f>+VLOOKUP($L419,Data_Validation!$A:$D,1,0)</f>
        <v>#N/A</v>
      </c>
      <c r="U419" s="156" t="e">
        <f>+VLOOKUP($L419,Data_Validation!$A:$D,3,0)</f>
        <v>#N/A</v>
      </c>
      <c r="V419" s="156" t="e">
        <f>+VLOOKUP($L419,Data_Validation!$A:$D,4,0)</f>
        <v>#N/A</v>
      </c>
      <c r="W419" s="156" t="e">
        <f>+VLOOKUP($L419,Data_Validation!$A:$E,5,0)</f>
        <v>#N/A</v>
      </c>
      <c r="X419" s="156" t="e">
        <f>+VLOOKUP($L419,Data_Validation!$A:$F,6,0)</f>
        <v>#N/A</v>
      </c>
    </row>
    <row r="420" spans="1:24" ht="15.75" hidden="1" customHeight="1">
      <c r="A420" s="1048"/>
      <c r="B420" s="1048"/>
      <c r="C420" s="1049"/>
      <c r="D420" s="1049"/>
      <c r="E420" s="1049"/>
      <c r="F420" s="1048"/>
      <c r="G420" s="1048"/>
      <c r="H420" s="150"/>
      <c r="I420" s="157"/>
      <c r="J420" s="157"/>
      <c r="K420" s="157"/>
      <c r="L420" s="153">
        <f t="shared" si="30"/>
        <v>0</v>
      </c>
      <c r="M420" s="154">
        <f t="shared" si="31"/>
        <v>0</v>
      </c>
      <c r="N420" s="155">
        <f>+IF(OR($Q420=Parametres!$G$2,$Q420=Parametres!$G$3),I420,C420)</f>
        <v>0</v>
      </c>
      <c r="O420" s="155">
        <f>+IF(OR($Q420=Parametres!$G$2,$Q420=Parametres!$G$3),J420,D420)</f>
        <v>0</v>
      </c>
      <c r="P420" s="155">
        <f>+IF(OR($Q420=Parametres!$G$2,$Q420=Parametres!$G$3),K420,E420)</f>
        <v>0</v>
      </c>
      <c r="Q420" s="154">
        <f t="shared" si="32"/>
        <v>0</v>
      </c>
      <c r="R420" s="153">
        <f t="shared" si="33"/>
        <v>0</v>
      </c>
      <c r="S420" s="154">
        <f t="shared" si="34"/>
        <v>0</v>
      </c>
      <c r="T420" s="156" t="e">
        <f>+VLOOKUP($L420,Data_Validation!$A:$D,1,0)</f>
        <v>#N/A</v>
      </c>
      <c r="U420" s="156" t="e">
        <f>+VLOOKUP($L420,Data_Validation!$A:$D,3,0)</f>
        <v>#N/A</v>
      </c>
      <c r="V420" s="156" t="e">
        <f>+VLOOKUP($L420,Data_Validation!$A:$D,4,0)</f>
        <v>#N/A</v>
      </c>
      <c r="W420" s="156" t="e">
        <f>+VLOOKUP($L420,Data_Validation!$A:$E,5,0)</f>
        <v>#N/A</v>
      </c>
      <c r="X420" s="156" t="e">
        <f>+VLOOKUP($L420,Data_Validation!$A:$F,6,0)</f>
        <v>#N/A</v>
      </c>
    </row>
    <row r="421" spans="1:24" ht="15" hidden="1" customHeight="1">
      <c r="A421" s="1048"/>
      <c r="B421" s="1048"/>
      <c r="C421" s="1050"/>
      <c r="D421" s="1050"/>
      <c r="E421" s="1050"/>
      <c r="F421" s="1048"/>
      <c r="G421" s="1048"/>
      <c r="H421" s="1050"/>
      <c r="I421" s="1049"/>
      <c r="J421" s="1049"/>
      <c r="K421" s="1049"/>
      <c r="L421" s="153">
        <f t="shared" si="30"/>
        <v>0</v>
      </c>
      <c r="M421" s="154">
        <f t="shared" si="31"/>
        <v>0</v>
      </c>
      <c r="N421" s="155">
        <f>+IF(OR($Q421=Parametres!$G$2,$Q421=Parametres!$G$3),I421,C421)</f>
        <v>0</v>
      </c>
      <c r="O421" s="155">
        <f>+IF(OR($Q421=Parametres!$G$2,$Q421=Parametres!$G$3),J421,D421)</f>
        <v>0</v>
      </c>
      <c r="P421" s="155">
        <f>+IF(OR($Q421=Parametres!$G$2,$Q421=Parametres!$G$3),K421,E421)</f>
        <v>0</v>
      </c>
      <c r="Q421" s="154">
        <f t="shared" si="32"/>
        <v>0</v>
      </c>
      <c r="R421" s="153">
        <f t="shared" si="33"/>
        <v>0</v>
      </c>
      <c r="S421" s="154">
        <f t="shared" si="34"/>
        <v>0</v>
      </c>
      <c r="T421" s="156" t="e">
        <f>+VLOOKUP($L421,Data_Validation!$A:$D,1,0)</f>
        <v>#N/A</v>
      </c>
      <c r="U421" s="156" t="e">
        <f>+VLOOKUP($L421,Data_Validation!$A:$D,3,0)</f>
        <v>#N/A</v>
      </c>
      <c r="V421" s="156" t="e">
        <f>+VLOOKUP($L421,Data_Validation!$A:$D,4,0)</f>
        <v>#N/A</v>
      </c>
      <c r="W421" s="156" t="e">
        <f>+VLOOKUP($L421,Data_Validation!$A:$E,5,0)</f>
        <v>#N/A</v>
      </c>
      <c r="X421" s="156" t="e">
        <f>+VLOOKUP($L421,Data_Validation!$A:$F,6,0)</f>
        <v>#N/A</v>
      </c>
    </row>
    <row r="422" spans="1:24" ht="15" hidden="1" customHeight="1">
      <c r="A422" s="1048"/>
      <c r="B422" s="1048"/>
      <c r="C422" s="1049"/>
      <c r="D422" s="1049"/>
      <c r="E422" s="1049"/>
      <c r="F422" s="1048"/>
      <c r="G422" s="1048"/>
      <c r="H422" s="1050"/>
      <c r="I422" s="1050"/>
      <c r="J422" s="1050"/>
      <c r="K422" s="1050"/>
      <c r="L422" s="153">
        <f t="shared" si="30"/>
        <v>0</v>
      </c>
      <c r="M422" s="154">
        <f t="shared" si="31"/>
        <v>0</v>
      </c>
      <c r="N422" s="155">
        <f>+IF(OR($Q422=Parametres!$G$2,$Q422=Parametres!$G$3),I422,C422)</f>
        <v>0</v>
      </c>
      <c r="O422" s="608">
        <f>+IF(OR($Q422=Parametres!$G$2,$Q422=Parametres!$G$3),J422,D422)</f>
        <v>0</v>
      </c>
      <c r="P422" s="155">
        <f>+IF(OR($Q422=Parametres!$G$2,$Q422=Parametres!$G$3),K422,E422)</f>
        <v>0</v>
      </c>
      <c r="Q422" s="154">
        <f t="shared" si="32"/>
        <v>0</v>
      </c>
      <c r="R422" s="153">
        <f t="shared" si="33"/>
        <v>0</v>
      </c>
      <c r="S422" s="154">
        <f t="shared" si="34"/>
        <v>0</v>
      </c>
      <c r="T422" s="156" t="e">
        <f>+VLOOKUP($L422,Data_Validation!$A:$D,1,0)</f>
        <v>#N/A</v>
      </c>
      <c r="U422" s="156" t="e">
        <f>+VLOOKUP($L422,Data_Validation!$A:$D,3,0)</f>
        <v>#N/A</v>
      </c>
      <c r="V422" s="156" t="e">
        <f>+VLOOKUP($L422,Data_Validation!$A:$D,4,0)</f>
        <v>#N/A</v>
      </c>
      <c r="W422" s="156" t="e">
        <f>+VLOOKUP($L422,Data_Validation!$A:$E,5,0)</f>
        <v>#N/A</v>
      </c>
      <c r="X422" s="156" t="e">
        <f>+VLOOKUP($L422,Data_Validation!$A:$F,6,0)</f>
        <v>#N/A</v>
      </c>
    </row>
    <row r="423" spans="1:24" ht="15" hidden="1" customHeight="1">
      <c r="A423" s="1048"/>
      <c r="B423" s="1048"/>
      <c r="C423" s="1050"/>
      <c r="D423" s="1050"/>
      <c r="E423" s="1050"/>
      <c r="F423" s="1048"/>
      <c r="G423" s="1048"/>
      <c r="H423" s="1050"/>
      <c r="I423" s="1049"/>
      <c r="J423" s="1049"/>
      <c r="K423" s="1049"/>
      <c r="L423" s="153">
        <f t="shared" si="30"/>
        <v>0</v>
      </c>
      <c r="M423" s="154">
        <f t="shared" si="31"/>
        <v>0</v>
      </c>
      <c r="N423" s="155">
        <f>+IF(OR($Q423=Parametres!$G$2,$Q423=Parametres!$G$3),I423,C423)</f>
        <v>0</v>
      </c>
      <c r="O423" s="155">
        <f>+IF(OR($Q423=Parametres!$G$2,$Q423=Parametres!$G$3),J423,D423)</f>
        <v>0</v>
      </c>
      <c r="P423" s="155">
        <f>+IF(OR($Q423=Parametres!$G$2,$Q423=Parametres!$G$3),K423,E423)</f>
        <v>0</v>
      </c>
      <c r="Q423" s="154">
        <f t="shared" si="32"/>
        <v>0</v>
      </c>
      <c r="R423" s="153">
        <f t="shared" si="33"/>
        <v>0</v>
      </c>
      <c r="S423" s="154">
        <f t="shared" si="34"/>
        <v>0</v>
      </c>
      <c r="T423" s="156" t="e">
        <f>+VLOOKUP($L423,Data_Validation!$A:$D,1,0)</f>
        <v>#N/A</v>
      </c>
      <c r="U423" s="156" t="e">
        <f>+VLOOKUP($L423,Data_Validation!$A:$D,3,0)</f>
        <v>#N/A</v>
      </c>
      <c r="V423" s="156" t="e">
        <f>+VLOOKUP($L423,Data_Validation!$A:$D,4,0)</f>
        <v>#N/A</v>
      </c>
      <c r="W423" s="156" t="e">
        <f>+VLOOKUP($L423,Data_Validation!$A:$E,5,0)</f>
        <v>#N/A</v>
      </c>
      <c r="X423" s="156" t="e">
        <f>+VLOOKUP($L423,Data_Validation!$A:$F,6,0)</f>
        <v>#N/A</v>
      </c>
    </row>
    <row r="424" spans="1:24" ht="15" hidden="1" customHeight="1">
      <c r="A424" s="1048"/>
      <c r="B424" s="1048"/>
      <c r="C424" s="1049"/>
      <c r="D424" s="1049"/>
      <c r="E424" s="1049"/>
      <c r="F424" s="1048"/>
      <c r="G424" s="1048"/>
      <c r="H424" s="150"/>
      <c r="I424" s="152"/>
      <c r="J424" s="152"/>
      <c r="K424" s="152"/>
      <c r="L424" s="153">
        <f t="shared" si="30"/>
        <v>0</v>
      </c>
      <c r="M424" s="154">
        <f t="shared" si="31"/>
        <v>0</v>
      </c>
      <c r="N424" s="155">
        <f>+IF(OR($Q424=Parametres!$G$2,$Q424=Parametres!$G$3),I424,C424)</f>
        <v>0</v>
      </c>
      <c r="O424" s="155">
        <f>+IF(OR($Q424=Parametres!$G$2,$Q424=Parametres!$G$3),J424,D424)</f>
        <v>0</v>
      </c>
      <c r="P424" s="155">
        <f>+IF(OR($Q424=Parametres!$G$2,$Q424=Parametres!$G$3),K424,E424)</f>
        <v>0</v>
      </c>
      <c r="Q424" s="154">
        <f t="shared" si="32"/>
        <v>0</v>
      </c>
      <c r="R424" s="153">
        <f t="shared" si="33"/>
        <v>0</v>
      </c>
      <c r="S424" s="154">
        <f t="shared" si="34"/>
        <v>0</v>
      </c>
      <c r="T424" s="156" t="e">
        <f>+VLOOKUP($L424,Data_Validation!$A:$D,1,0)</f>
        <v>#N/A</v>
      </c>
      <c r="U424" s="156" t="e">
        <f>+VLOOKUP($L424,Data_Validation!$A:$D,3,0)</f>
        <v>#N/A</v>
      </c>
      <c r="V424" s="156" t="e">
        <f>+VLOOKUP($L424,Data_Validation!$A:$D,4,0)</f>
        <v>#N/A</v>
      </c>
      <c r="W424" s="156" t="e">
        <f>+VLOOKUP($L424,Data_Validation!$A:$E,5,0)</f>
        <v>#N/A</v>
      </c>
      <c r="X424" s="156" t="e">
        <f>+VLOOKUP($L424,Data_Validation!$A:$F,6,0)</f>
        <v>#N/A</v>
      </c>
    </row>
    <row r="425" spans="1:24" ht="15.75" hidden="1" customHeight="1">
      <c r="A425" s="1048"/>
      <c r="B425" s="1048"/>
      <c r="C425" s="1049"/>
      <c r="D425" s="1049"/>
      <c r="E425" s="1049"/>
      <c r="F425" s="1048"/>
      <c r="G425" s="1048"/>
      <c r="H425" s="150"/>
      <c r="I425" s="157"/>
      <c r="J425" s="157"/>
      <c r="K425" s="157"/>
      <c r="L425" s="153">
        <f t="shared" si="30"/>
        <v>0</v>
      </c>
      <c r="M425" s="154">
        <f t="shared" si="31"/>
        <v>0</v>
      </c>
      <c r="N425" s="155">
        <f>+IF(OR($Q425=Parametres!$G$2,$Q425=Parametres!$G$3),I425,C425)</f>
        <v>0</v>
      </c>
      <c r="O425" s="155">
        <f>+IF(OR($Q425=Parametres!$G$2,$Q425=Parametres!$G$3),J425,D425)</f>
        <v>0</v>
      </c>
      <c r="P425" s="155">
        <f>+IF(OR($Q425=Parametres!$G$2,$Q425=Parametres!$G$3),K425,E425)</f>
        <v>0</v>
      </c>
      <c r="Q425" s="154">
        <f t="shared" si="32"/>
        <v>0</v>
      </c>
      <c r="R425" s="153">
        <f t="shared" si="33"/>
        <v>0</v>
      </c>
      <c r="S425" s="154">
        <f t="shared" si="34"/>
        <v>0</v>
      </c>
      <c r="T425" s="156" t="e">
        <f>+VLOOKUP($L425,Data_Validation!$A:$D,1,0)</f>
        <v>#N/A</v>
      </c>
      <c r="U425" s="156" t="e">
        <f>+VLOOKUP($L425,Data_Validation!$A:$D,3,0)</f>
        <v>#N/A</v>
      </c>
      <c r="V425" s="156" t="e">
        <f>+VLOOKUP($L425,Data_Validation!$A:$D,4,0)</f>
        <v>#N/A</v>
      </c>
      <c r="W425" s="156" t="e">
        <f>+VLOOKUP($L425,Data_Validation!$A:$E,5,0)</f>
        <v>#N/A</v>
      </c>
      <c r="X425" s="156" t="e">
        <f>+VLOOKUP($L425,Data_Validation!$A:$F,6,0)</f>
        <v>#N/A</v>
      </c>
    </row>
    <row r="426" spans="1:24" ht="15" hidden="1" customHeight="1">
      <c r="A426" s="1048"/>
      <c r="B426" s="1048"/>
      <c r="C426" s="1049"/>
      <c r="D426" s="1049"/>
      <c r="E426" s="1049"/>
      <c r="F426" s="1048"/>
      <c r="G426" s="1048"/>
      <c r="H426" s="150"/>
      <c r="I426" s="151"/>
      <c r="J426" s="151"/>
      <c r="K426" s="151"/>
      <c r="L426" s="153">
        <f t="shared" si="30"/>
        <v>0</v>
      </c>
      <c r="M426" s="154">
        <f t="shared" si="31"/>
        <v>0</v>
      </c>
      <c r="N426" s="155">
        <f>+IF(OR($Q426=Parametres!$G$2,$Q426=Parametres!$G$3),I426,C426)</f>
        <v>0</v>
      </c>
      <c r="O426" s="155">
        <f>+IF(OR($Q426=Parametres!$G$2,$Q426=Parametres!$G$3),J426,D426)</f>
        <v>0</v>
      </c>
      <c r="P426" s="155">
        <f>+IF(OR($Q426=Parametres!$G$2,$Q426=Parametres!$G$3),K426,E426)</f>
        <v>0</v>
      </c>
      <c r="Q426" s="154">
        <f t="shared" si="32"/>
        <v>0</v>
      </c>
      <c r="R426" s="153">
        <f t="shared" si="33"/>
        <v>0</v>
      </c>
      <c r="S426" s="154">
        <f t="shared" si="34"/>
        <v>0</v>
      </c>
      <c r="T426" s="156" t="e">
        <f>+VLOOKUP($L426,Data_Validation!$A:$D,1,0)</f>
        <v>#N/A</v>
      </c>
      <c r="U426" s="156" t="e">
        <f>+VLOOKUP($L426,Data_Validation!$A:$D,3,0)</f>
        <v>#N/A</v>
      </c>
      <c r="V426" s="156" t="e">
        <f>+VLOOKUP($L426,Data_Validation!$A:$D,4,0)</f>
        <v>#N/A</v>
      </c>
      <c r="W426" s="156" t="e">
        <f>+VLOOKUP($L426,Data_Validation!$A:$E,5,0)</f>
        <v>#N/A</v>
      </c>
      <c r="X426" s="156" t="e">
        <f>+VLOOKUP($L426,Data_Validation!$A:$F,6,0)</f>
        <v>#N/A</v>
      </c>
    </row>
    <row r="427" spans="1:24" ht="15" hidden="1" customHeight="1">
      <c r="A427" s="1048"/>
      <c r="B427" s="1048"/>
      <c r="C427" s="1049"/>
      <c r="D427" s="1049"/>
      <c r="E427" s="1049"/>
      <c r="F427" s="1048"/>
      <c r="G427" s="1048"/>
      <c r="H427" s="150"/>
      <c r="I427" s="151"/>
      <c r="J427" s="151"/>
      <c r="K427" s="151"/>
      <c r="L427" s="153">
        <f t="shared" si="30"/>
        <v>0</v>
      </c>
      <c r="M427" s="154">
        <f t="shared" si="31"/>
        <v>0</v>
      </c>
      <c r="N427" s="155">
        <f>+IF(OR($Q427=Parametres!$G$2,$Q427=Parametres!$G$3),I427,C427)</f>
        <v>0</v>
      </c>
      <c r="O427" s="155">
        <f>+IF(OR($Q427=Parametres!$G$2,$Q427=Parametres!$G$3),J427,D427)</f>
        <v>0</v>
      </c>
      <c r="P427" s="155">
        <f>+IF(OR($Q427=Parametres!$G$2,$Q427=Parametres!$G$3),K427,E427)</f>
        <v>0</v>
      </c>
      <c r="Q427" s="154">
        <f t="shared" si="32"/>
        <v>0</v>
      </c>
      <c r="R427" s="153">
        <f t="shared" si="33"/>
        <v>0</v>
      </c>
      <c r="S427" s="154">
        <f t="shared" si="34"/>
        <v>0</v>
      </c>
      <c r="T427" s="156" t="e">
        <f>+VLOOKUP($L427,Data_Validation!$A:$D,1,0)</f>
        <v>#N/A</v>
      </c>
      <c r="U427" s="156" t="e">
        <f>+VLOOKUP($L427,Data_Validation!$A:$D,3,0)</f>
        <v>#N/A</v>
      </c>
      <c r="V427" s="156" t="e">
        <f>+VLOOKUP($L427,Data_Validation!$A:$D,4,0)</f>
        <v>#N/A</v>
      </c>
      <c r="W427" s="156" t="e">
        <f>+VLOOKUP($L427,Data_Validation!$A:$E,5,0)</f>
        <v>#N/A</v>
      </c>
      <c r="X427" s="156" t="e">
        <f>+VLOOKUP($L427,Data_Validation!$A:$F,6,0)</f>
        <v>#N/A</v>
      </c>
    </row>
    <row r="428" spans="1:24" ht="15" hidden="1" customHeight="1">
      <c r="A428" s="1048"/>
      <c r="B428" s="1048"/>
      <c r="C428" s="1049"/>
      <c r="D428" s="1049"/>
      <c r="E428" s="1049"/>
      <c r="F428" s="1048"/>
      <c r="G428" s="1048"/>
      <c r="H428" s="150"/>
      <c r="I428" s="151"/>
      <c r="J428" s="151"/>
      <c r="K428" s="151"/>
      <c r="L428" s="153">
        <f t="shared" si="30"/>
        <v>0</v>
      </c>
      <c r="M428" s="154">
        <f t="shared" si="31"/>
        <v>0</v>
      </c>
      <c r="N428" s="155">
        <f>+IF(OR($Q428=Parametres!$G$2,$Q428=Parametres!$G$3),I428,C428)</f>
        <v>0</v>
      </c>
      <c r="O428" s="155">
        <f>+IF(OR($Q428=Parametres!$G$2,$Q428=Parametres!$G$3),J428,D428)</f>
        <v>0</v>
      </c>
      <c r="P428" s="155">
        <f>+IF(OR($Q428=Parametres!$G$2,$Q428=Parametres!$G$3),K428,E428)</f>
        <v>0</v>
      </c>
      <c r="Q428" s="154">
        <f t="shared" si="32"/>
        <v>0</v>
      </c>
      <c r="R428" s="153">
        <f t="shared" si="33"/>
        <v>0</v>
      </c>
      <c r="S428" s="154">
        <f t="shared" si="34"/>
        <v>0</v>
      </c>
      <c r="T428" s="156" t="e">
        <f>+VLOOKUP($L428,Data_Validation!$A:$D,1,0)</f>
        <v>#N/A</v>
      </c>
      <c r="U428" s="156" t="e">
        <f>+VLOOKUP($L428,Data_Validation!$A:$D,3,0)</f>
        <v>#N/A</v>
      </c>
      <c r="V428" s="156" t="e">
        <f>+VLOOKUP($L428,Data_Validation!$A:$D,4,0)</f>
        <v>#N/A</v>
      </c>
      <c r="W428" s="156" t="e">
        <f>+VLOOKUP($L428,Data_Validation!$A:$E,5,0)</f>
        <v>#N/A</v>
      </c>
      <c r="X428" s="156" t="e">
        <f>+VLOOKUP($L428,Data_Validation!$A:$F,6,0)</f>
        <v>#N/A</v>
      </c>
    </row>
    <row r="429" spans="1:24" ht="15" hidden="1" customHeight="1">
      <c r="A429" s="1048"/>
      <c r="B429" s="1048"/>
      <c r="C429" s="1049"/>
      <c r="D429" s="1049"/>
      <c r="E429" s="1049"/>
      <c r="F429" s="1048"/>
      <c r="G429" s="1048"/>
      <c r="H429" s="150"/>
      <c r="I429" s="157"/>
      <c r="J429" s="157"/>
      <c r="K429" s="157"/>
      <c r="L429" s="153">
        <f t="shared" si="30"/>
        <v>0</v>
      </c>
      <c r="M429" s="154">
        <f t="shared" si="31"/>
        <v>0</v>
      </c>
      <c r="N429" s="155">
        <f>+IF(OR($Q429=Parametres!$G$2,$Q429=Parametres!$G$3),I429,C429)</f>
        <v>0</v>
      </c>
      <c r="O429" s="155">
        <f>+IF(OR($Q429=Parametres!$G$2,$Q429=Parametres!$G$3),J429,D429)</f>
        <v>0</v>
      </c>
      <c r="P429" s="155">
        <f>+IF(OR($Q429=Parametres!$G$2,$Q429=Parametres!$G$3),K429,E429)</f>
        <v>0</v>
      </c>
      <c r="Q429" s="154">
        <f t="shared" si="32"/>
        <v>0</v>
      </c>
      <c r="R429" s="153">
        <f t="shared" si="33"/>
        <v>0</v>
      </c>
      <c r="S429" s="154">
        <f t="shared" si="34"/>
        <v>0</v>
      </c>
      <c r="T429" s="156" t="e">
        <f>+VLOOKUP($L429,Data_Validation!$A:$D,1,0)</f>
        <v>#N/A</v>
      </c>
      <c r="U429" s="156" t="e">
        <f>+VLOOKUP($L429,Data_Validation!$A:$D,3,0)</f>
        <v>#N/A</v>
      </c>
      <c r="V429" s="156" t="e">
        <f>+VLOOKUP($L429,Data_Validation!$A:$D,4,0)</f>
        <v>#N/A</v>
      </c>
      <c r="W429" s="156" t="e">
        <f>+VLOOKUP($L429,Data_Validation!$A:$E,5,0)</f>
        <v>#N/A</v>
      </c>
      <c r="X429" s="156" t="e">
        <f>+VLOOKUP($L429,Data_Validation!$A:$F,6,0)</f>
        <v>#N/A</v>
      </c>
    </row>
    <row r="430" spans="1:24" ht="15" hidden="1" customHeight="1">
      <c r="A430" s="1048"/>
      <c r="B430" s="1048"/>
      <c r="C430" s="1049"/>
      <c r="D430" s="1049"/>
      <c r="E430" s="1049"/>
      <c r="F430" s="1048"/>
      <c r="G430" s="1048"/>
      <c r="H430" s="150"/>
      <c r="I430" s="157"/>
      <c r="J430" s="157"/>
      <c r="K430" s="157"/>
      <c r="L430" s="153">
        <f t="shared" si="30"/>
        <v>0</v>
      </c>
      <c r="M430" s="154">
        <f t="shared" si="31"/>
        <v>0</v>
      </c>
      <c r="N430" s="155">
        <f>+IF(OR($Q430=Parametres!$G$2,$Q430=Parametres!$G$3),I430,C430)</f>
        <v>0</v>
      </c>
      <c r="O430" s="155">
        <f>+IF(OR($Q430=Parametres!$G$2,$Q430=Parametres!$G$3),J430,D430)</f>
        <v>0</v>
      </c>
      <c r="P430" s="155">
        <f>+IF(OR($Q430=Parametres!$G$2,$Q430=Parametres!$G$3),K430,E430)</f>
        <v>0</v>
      </c>
      <c r="Q430" s="154">
        <f t="shared" si="32"/>
        <v>0</v>
      </c>
      <c r="R430" s="153">
        <f t="shared" si="33"/>
        <v>0</v>
      </c>
      <c r="S430" s="154">
        <f t="shared" si="34"/>
        <v>0</v>
      </c>
      <c r="T430" s="156" t="e">
        <f>+VLOOKUP($L430,Data_Validation!$A:$D,1,0)</f>
        <v>#N/A</v>
      </c>
      <c r="U430" s="156" t="e">
        <f>+VLOOKUP($L430,Data_Validation!$A:$D,3,0)</f>
        <v>#N/A</v>
      </c>
      <c r="V430" s="156" t="e">
        <f>+VLOOKUP($L430,Data_Validation!$A:$D,4,0)</f>
        <v>#N/A</v>
      </c>
      <c r="W430" s="156" t="e">
        <f>+VLOOKUP($L430,Data_Validation!$A:$E,5,0)</f>
        <v>#N/A</v>
      </c>
      <c r="X430" s="156" t="e">
        <f>+VLOOKUP($L430,Data_Validation!$A:$F,6,0)</f>
        <v>#N/A</v>
      </c>
    </row>
    <row r="431" spans="1:24" ht="15.75" hidden="1" customHeight="1">
      <c r="A431" s="1048"/>
      <c r="B431" s="1048"/>
      <c r="C431" s="1049"/>
      <c r="D431" s="1049"/>
      <c r="E431" s="1049"/>
      <c r="F431" s="1048"/>
      <c r="G431" s="1048"/>
      <c r="H431" s="150"/>
      <c r="I431" s="151"/>
      <c r="J431" s="151"/>
      <c r="K431" s="151"/>
      <c r="L431" s="153">
        <f t="shared" si="30"/>
        <v>0</v>
      </c>
      <c r="M431" s="154">
        <f t="shared" si="31"/>
        <v>0</v>
      </c>
      <c r="N431" s="155">
        <f>+IF(OR($Q431=Parametres!$G$2,$Q431=Parametres!$G$3),I431,C431)</f>
        <v>0</v>
      </c>
      <c r="O431" s="155">
        <f>+IF(OR($Q431=Parametres!$G$2,$Q431=Parametres!$G$3),J431,D431)</f>
        <v>0</v>
      </c>
      <c r="P431" s="155">
        <f>+IF(OR($Q431=Parametres!$G$2,$Q431=Parametres!$G$3),K431,E431)</f>
        <v>0</v>
      </c>
      <c r="Q431" s="154">
        <f t="shared" si="32"/>
        <v>0</v>
      </c>
      <c r="R431" s="153">
        <f t="shared" si="33"/>
        <v>0</v>
      </c>
      <c r="S431" s="154">
        <f t="shared" si="34"/>
        <v>0</v>
      </c>
      <c r="T431" s="156" t="e">
        <f>+VLOOKUP($L431,Data_Validation!$A:$D,1,0)</f>
        <v>#N/A</v>
      </c>
      <c r="U431" s="156" t="e">
        <f>+VLOOKUP($L431,Data_Validation!$A:$D,3,0)</f>
        <v>#N/A</v>
      </c>
      <c r="V431" s="156" t="e">
        <f>+VLOOKUP($L431,Data_Validation!$A:$D,4,0)</f>
        <v>#N/A</v>
      </c>
      <c r="W431" s="156" t="e">
        <f>+VLOOKUP($L431,Data_Validation!$A:$E,5,0)</f>
        <v>#N/A</v>
      </c>
      <c r="X431" s="156" t="e">
        <f>+VLOOKUP($L431,Data_Validation!$A:$F,6,0)</f>
        <v>#N/A</v>
      </c>
    </row>
    <row r="432" spans="1:24" ht="15" hidden="1" customHeight="1">
      <c r="A432" s="1048"/>
      <c r="B432" s="1048"/>
      <c r="C432" s="1049"/>
      <c r="D432" s="1049"/>
      <c r="E432" s="1049"/>
      <c r="F432" s="1048"/>
      <c r="G432" s="1048"/>
      <c r="H432" s="150"/>
      <c r="I432" s="151"/>
      <c r="J432" s="151"/>
      <c r="K432" s="151"/>
      <c r="L432" s="153">
        <f t="shared" si="30"/>
        <v>0</v>
      </c>
      <c r="M432" s="154">
        <f t="shared" si="31"/>
        <v>0</v>
      </c>
      <c r="N432" s="155">
        <f>+IF(OR($Q432=Parametres!$G$2,$Q432=Parametres!$G$3),I432,C432)</f>
        <v>0</v>
      </c>
      <c r="O432" s="155">
        <f>+IF(OR($Q432=Parametres!$G$2,$Q432=Parametres!$G$3),J432,D432)</f>
        <v>0</v>
      </c>
      <c r="P432" s="155">
        <f>+IF(OR($Q432=Parametres!$G$2,$Q432=Parametres!$G$3),K432,E432)</f>
        <v>0</v>
      </c>
      <c r="Q432" s="154">
        <f t="shared" si="32"/>
        <v>0</v>
      </c>
      <c r="R432" s="153">
        <f t="shared" si="33"/>
        <v>0</v>
      </c>
      <c r="S432" s="154">
        <f t="shared" si="34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hidden="1" customHeight="1">
      <c r="A433" s="1048"/>
      <c r="B433" s="1048"/>
      <c r="C433" s="1050"/>
      <c r="D433" s="1050"/>
      <c r="E433" s="1050"/>
      <c r="F433" s="1048"/>
      <c r="G433" s="1048"/>
      <c r="H433" s="1050"/>
      <c r="I433" s="1049"/>
      <c r="J433" s="1049"/>
      <c r="K433" s="1049"/>
      <c r="L433" s="153">
        <f t="shared" si="30"/>
        <v>0</v>
      </c>
      <c r="M433" s="154">
        <f t="shared" si="31"/>
        <v>0</v>
      </c>
      <c r="N433" s="155">
        <f>+IF(OR($Q433=Parametres!$G$2,$Q433=Parametres!$G$3),I433,C433)</f>
        <v>0</v>
      </c>
      <c r="O433" s="155">
        <f>+IF(OR($Q433=Parametres!$G$2,$Q433=Parametres!$G$3),J433,D433)</f>
        <v>0</v>
      </c>
      <c r="P433" s="155">
        <f>+IF(OR($Q433=Parametres!$G$2,$Q433=Parametres!$G$3),K433,E433)</f>
        <v>0</v>
      </c>
      <c r="Q433" s="154">
        <f t="shared" si="32"/>
        <v>0</v>
      </c>
      <c r="R433" s="153">
        <f t="shared" si="33"/>
        <v>0</v>
      </c>
      <c r="S433" s="154">
        <f t="shared" si="34"/>
        <v>0</v>
      </c>
      <c r="T433" s="156" t="e">
        <f>+VLOOKUP($L433,Data_Validation!$A:$D,1,0)</f>
        <v>#N/A</v>
      </c>
      <c r="U433" s="156" t="e">
        <f>+VLOOKUP($L433,Data_Validation!$A:$D,3,0)</f>
        <v>#N/A</v>
      </c>
      <c r="V433" s="156" t="e">
        <f>+VLOOKUP($L433,Data_Validation!$A:$D,4,0)</f>
        <v>#N/A</v>
      </c>
      <c r="W433" s="156" t="e">
        <f>+VLOOKUP($L433,Data_Validation!$A:$E,5,0)</f>
        <v>#N/A</v>
      </c>
      <c r="X433" s="156" t="e">
        <f>+VLOOKUP($L433,Data_Validation!$A:$F,6,0)</f>
        <v>#N/A</v>
      </c>
    </row>
    <row r="434" spans="1:24" ht="15" hidden="1" customHeight="1">
      <c r="A434" s="1048"/>
      <c r="B434" s="1048"/>
      <c r="C434" s="1049"/>
      <c r="D434" s="1049"/>
      <c r="E434" s="1049"/>
      <c r="F434" s="1048"/>
      <c r="G434" s="1048"/>
      <c r="H434" s="1050"/>
      <c r="I434" s="1050"/>
      <c r="J434" s="1050"/>
      <c r="K434" s="1050"/>
      <c r="L434" s="153">
        <f t="shared" si="30"/>
        <v>0</v>
      </c>
      <c r="M434" s="154">
        <f t="shared" si="31"/>
        <v>0</v>
      </c>
      <c r="N434" s="155">
        <f>+IF(OR($Q434=Parametres!$G$2,$Q434=Parametres!$G$3),I434,C434)</f>
        <v>0</v>
      </c>
      <c r="O434" s="608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si="32"/>
        <v>0</v>
      </c>
      <c r="R434" s="153">
        <f t="shared" si="33"/>
        <v>0</v>
      </c>
      <c r="S434" s="154">
        <f t="shared" si="34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hidden="1" customHeight="1">
      <c r="A435" s="1048"/>
      <c r="B435" s="1048"/>
      <c r="C435" s="1049"/>
      <c r="D435" s="1049"/>
      <c r="E435" s="1049"/>
      <c r="F435" s="1048"/>
      <c r="G435" s="1048"/>
      <c r="H435" s="1050"/>
      <c r="I435" s="1050"/>
      <c r="J435" s="1050"/>
      <c r="K435" s="1050"/>
      <c r="L435" s="153">
        <f t="shared" si="30"/>
        <v>0</v>
      </c>
      <c r="M435" s="154">
        <f t="shared" si="31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2"/>
        <v>0</v>
      </c>
      <c r="R435" s="153">
        <f t="shared" si="33"/>
        <v>0</v>
      </c>
      <c r="S435" s="154">
        <f t="shared" si="34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hidden="1" customHeight="1">
      <c r="A436" s="1048"/>
      <c r="B436" s="1048"/>
      <c r="C436" s="1049"/>
      <c r="D436" s="1049"/>
      <c r="E436" s="1049"/>
      <c r="F436" s="1048"/>
      <c r="G436" s="1048"/>
      <c r="H436" s="1050"/>
      <c r="I436" s="1050"/>
      <c r="J436" s="1050"/>
      <c r="K436" s="1050"/>
      <c r="L436" s="153">
        <f t="shared" si="30"/>
        <v>0</v>
      </c>
      <c r="M436" s="154">
        <f t="shared" si="31"/>
        <v>0</v>
      </c>
      <c r="N436" s="155">
        <f>+IF(OR($Q436=Parametres!$G$2,$Q436=Parametres!$G$3),I436,C436)</f>
        <v>0</v>
      </c>
      <c r="O436" s="608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2"/>
        <v>0</v>
      </c>
      <c r="R436" s="153">
        <f t="shared" si="33"/>
        <v>0</v>
      </c>
      <c r="S436" s="154">
        <f t="shared" si="34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hidden="1" customHeight="1">
      <c r="A437" s="1048"/>
      <c r="B437" s="1048"/>
      <c r="C437" s="1049"/>
      <c r="D437" s="1049"/>
      <c r="E437" s="1049"/>
      <c r="F437" s="1048"/>
      <c r="G437" s="1048"/>
      <c r="H437" s="150"/>
      <c r="I437" s="151"/>
      <c r="J437" s="151"/>
      <c r="K437" s="151"/>
      <c r="L437" s="153">
        <f t="shared" si="30"/>
        <v>0</v>
      </c>
      <c r="M437" s="154">
        <f t="shared" si="31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2"/>
        <v>0</v>
      </c>
      <c r="R437" s="153">
        <f t="shared" si="33"/>
        <v>0</v>
      </c>
      <c r="S437" s="154">
        <f t="shared" si="34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hidden="1" customHeight="1">
      <c r="A438" s="1048"/>
      <c r="B438" s="1048"/>
      <c r="C438" s="1049"/>
      <c r="D438" s="1049"/>
      <c r="E438" s="1049"/>
      <c r="F438" s="1048"/>
      <c r="G438" s="1048"/>
      <c r="H438" s="150"/>
      <c r="I438" s="157"/>
      <c r="J438" s="157"/>
      <c r="K438" s="157"/>
      <c r="L438" s="153">
        <f t="shared" si="30"/>
        <v>0</v>
      </c>
      <c r="M438" s="154">
        <f t="shared" si="31"/>
        <v>0</v>
      </c>
      <c r="N438" s="155">
        <f>+IF(OR($Q438=Parametres!$G$2,$Q438=Parametres!$G$3),I438,C438)</f>
        <v>0</v>
      </c>
      <c r="O438" s="155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2"/>
        <v>0</v>
      </c>
      <c r="R438" s="153">
        <f t="shared" si="33"/>
        <v>0</v>
      </c>
      <c r="S438" s="154">
        <f t="shared" si="34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hidden="1" customHeight="1">
      <c r="A439" s="1048"/>
      <c r="B439" s="1048"/>
      <c r="C439" s="1050"/>
      <c r="D439" s="1050"/>
      <c r="E439" s="1050"/>
      <c r="F439" s="1048"/>
      <c r="G439" s="1048"/>
      <c r="H439" s="1050"/>
      <c r="I439" s="1049"/>
      <c r="J439" s="1049"/>
      <c r="K439" s="1049"/>
      <c r="L439" s="153">
        <f t="shared" si="30"/>
        <v>0</v>
      </c>
      <c r="M439" s="154">
        <f t="shared" si="31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2"/>
        <v>0</v>
      </c>
      <c r="R439" s="153">
        <f t="shared" si="33"/>
        <v>0</v>
      </c>
      <c r="S439" s="154">
        <f t="shared" si="34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hidden="1" customHeight="1">
      <c r="A440" s="1048"/>
      <c r="B440" s="1048"/>
      <c r="C440" s="1049"/>
      <c r="D440" s="1049"/>
      <c r="E440" s="1049"/>
      <c r="F440" s="1048"/>
      <c r="G440" s="1048"/>
      <c r="H440" s="150"/>
      <c r="I440" s="151"/>
      <c r="J440" s="151"/>
      <c r="K440" s="151"/>
      <c r="L440" s="153">
        <f t="shared" si="30"/>
        <v>0</v>
      </c>
      <c r="M440" s="154">
        <f t="shared" si="31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2"/>
        <v>0</v>
      </c>
      <c r="R440" s="153">
        <f t="shared" si="33"/>
        <v>0</v>
      </c>
      <c r="S440" s="154">
        <f t="shared" si="34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1048"/>
      <c r="B441" s="1048"/>
      <c r="C441" s="1049"/>
      <c r="D441" s="1049"/>
      <c r="E441" s="1049"/>
      <c r="F441" s="1048"/>
      <c r="G441" s="1048"/>
      <c r="H441" s="150"/>
      <c r="I441" s="157"/>
      <c r="J441" s="157"/>
      <c r="K441" s="157"/>
      <c r="L441" s="153">
        <f t="shared" si="30"/>
        <v>0</v>
      </c>
      <c r="M441" s="154">
        <f t="shared" si="31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2"/>
        <v>0</v>
      </c>
      <c r="R441" s="153">
        <f t="shared" si="33"/>
        <v>0</v>
      </c>
      <c r="S441" s="154">
        <f t="shared" si="34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1048"/>
      <c r="B442" s="1048"/>
      <c r="C442" s="1049"/>
      <c r="D442" s="1049"/>
      <c r="E442" s="1049"/>
      <c r="F442" s="1048"/>
      <c r="G442" s="1048"/>
      <c r="H442" s="150"/>
      <c r="I442" s="157"/>
      <c r="J442" s="157"/>
      <c r="K442" s="157"/>
      <c r="L442" s="153">
        <f t="shared" si="30"/>
        <v>0</v>
      </c>
      <c r="M442" s="154">
        <f t="shared" si="31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2"/>
        <v>0</v>
      </c>
      <c r="R442" s="153">
        <f t="shared" si="33"/>
        <v>0</v>
      </c>
      <c r="S442" s="154">
        <f t="shared" si="34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1048"/>
      <c r="B443" s="1048"/>
      <c r="C443" s="1049"/>
      <c r="D443" s="1049"/>
      <c r="E443" s="1049"/>
      <c r="F443" s="1048"/>
      <c r="G443" s="1048"/>
      <c r="H443" s="150"/>
      <c r="I443" s="157"/>
      <c r="J443" s="157"/>
      <c r="K443" s="157"/>
      <c r="L443" s="153">
        <f t="shared" si="30"/>
        <v>0</v>
      </c>
      <c r="M443" s="154">
        <f t="shared" si="31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2"/>
        <v>0</v>
      </c>
      <c r="R443" s="153">
        <f t="shared" si="33"/>
        <v>0</v>
      </c>
      <c r="S443" s="154">
        <f t="shared" si="34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1048"/>
      <c r="B444" s="1048"/>
      <c r="C444" s="1049"/>
      <c r="D444" s="1049"/>
      <c r="E444" s="1049"/>
      <c r="F444" s="1048"/>
      <c r="G444" s="1048"/>
      <c r="H444" s="1050"/>
      <c r="I444" s="1050"/>
      <c r="J444" s="1050"/>
      <c r="K444" s="1050"/>
      <c r="L444" s="153">
        <f t="shared" si="30"/>
        <v>0</v>
      </c>
      <c r="M444" s="154">
        <f t="shared" si="31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2"/>
        <v>0</v>
      </c>
      <c r="R444" s="153">
        <f t="shared" si="33"/>
        <v>0</v>
      </c>
      <c r="S444" s="154">
        <f t="shared" si="34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1048"/>
      <c r="B445" s="1048"/>
      <c r="C445" s="1049"/>
      <c r="D445" s="1049"/>
      <c r="E445" s="1049"/>
      <c r="F445" s="1048"/>
      <c r="G445" s="1048"/>
      <c r="H445" s="150"/>
      <c r="I445" s="151"/>
      <c r="J445" s="151"/>
      <c r="K445" s="151"/>
      <c r="L445" s="153">
        <f t="shared" si="30"/>
        <v>0</v>
      </c>
      <c r="M445" s="154">
        <f t="shared" si="31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2"/>
        <v>0</v>
      </c>
      <c r="R445" s="153">
        <f t="shared" si="33"/>
        <v>0</v>
      </c>
      <c r="S445" s="154">
        <f t="shared" si="34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1048"/>
      <c r="B446" s="1048"/>
      <c r="C446" s="1049"/>
      <c r="D446" s="1049"/>
      <c r="E446" s="1049"/>
      <c r="F446" s="1048"/>
      <c r="G446" s="1048"/>
      <c r="H446" s="150"/>
      <c r="I446" s="151"/>
      <c r="J446" s="151"/>
      <c r="K446" s="151"/>
      <c r="L446" s="153">
        <f t="shared" si="30"/>
        <v>0</v>
      </c>
      <c r="M446" s="154">
        <f t="shared" si="31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2"/>
        <v>0</v>
      </c>
      <c r="R446" s="153">
        <f t="shared" si="33"/>
        <v>0</v>
      </c>
      <c r="S446" s="154">
        <f t="shared" si="34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1048"/>
      <c r="B447" s="1048"/>
      <c r="C447" s="1049"/>
      <c r="D447" s="1049"/>
      <c r="E447" s="1049"/>
      <c r="F447" s="1048"/>
      <c r="G447" s="1048"/>
      <c r="H447" s="1050"/>
      <c r="I447" s="1050"/>
      <c r="J447" s="1050"/>
      <c r="K447" s="1050"/>
      <c r="L447" s="153">
        <f t="shared" si="30"/>
        <v>0</v>
      </c>
      <c r="M447" s="154">
        <f t="shared" si="31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2"/>
        <v>0</v>
      </c>
      <c r="R447" s="153">
        <f t="shared" si="33"/>
        <v>0</v>
      </c>
      <c r="S447" s="154">
        <f t="shared" si="34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1048"/>
      <c r="B448" s="1048"/>
      <c r="C448" s="1050"/>
      <c r="D448" s="1050"/>
      <c r="E448" s="1050"/>
      <c r="F448" s="1048"/>
      <c r="G448" s="1048"/>
      <c r="H448" s="1050"/>
      <c r="I448" s="1049"/>
      <c r="J448" s="1049"/>
      <c r="K448" s="1049"/>
      <c r="L448" s="153">
        <f t="shared" si="30"/>
        <v>0</v>
      </c>
      <c r="M448" s="154">
        <f t="shared" si="31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2"/>
        <v>0</v>
      </c>
      <c r="R448" s="153">
        <f t="shared" si="33"/>
        <v>0</v>
      </c>
      <c r="S448" s="154">
        <f t="shared" si="34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30"/>
        <v>0</v>
      </c>
      <c r="M449" s="154">
        <f t="shared" si="31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2"/>
        <v>0</v>
      </c>
      <c r="R449" s="153">
        <f t="shared" si="33"/>
        <v>0</v>
      </c>
      <c r="S449" s="154">
        <f t="shared" si="34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1048"/>
      <c r="B450" s="1048"/>
      <c r="C450" s="1049"/>
      <c r="D450" s="1049"/>
      <c r="E450" s="1049"/>
      <c r="F450" s="1048"/>
      <c r="G450" s="1048"/>
      <c r="H450" s="150"/>
      <c r="I450" s="151"/>
      <c r="J450" s="151"/>
      <c r="K450" s="151"/>
      <c r="L450" s="153">
        <f t="shared" ref="L450:L513" si="35">+B450</f>
        <v>0</v>
      </c>
      <c r="M450" s="154">
        <f t="shared" ref="M450:M513" si="36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37">+F450</f>
        <v>0</v>
      </c>
      <c r="R450" s="153">
        <f t="shared" ref="R450:R513" si="38">+G450</f>
        <v>0</v>
      </c>
      <c r="S450" s="154">
        <f t="shared" ref="S450:S513" si="39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35"/>
        <v>0</v>
      </c>
      <c r="M451" s="154">
        <f t="shared" si="36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7"/>
        <v>0</v>
      </c>
      <c r="R451" s="153">
        <f t="shared" si="38"/>
        <v>0</v>
      </c>
      <c r="S451" s="154">
        <f t="shared" si="39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35"/>
        <v>0</v>
      </c>
      <c r="M452" s="154">
        <f t="shared" si="36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7"/>
        <v>0</v>
      </c>
      <c r="R452" s="153">
        <f t="shared" si="38"/>
        <v>0</v>
      </c>
      <c r="S452" s="154">
        <f t="shared" si="39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35"/>
        <v>0</v>
      </c>
      <c r="M453" s="154">
        <f t="shared" si="36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7"/>
        <v>0</v>
      </c>
      <c r="R453" s="153">
        <f t="shared" si="38"/>
        <v>0</v>
      </c>
      <c r="S453" s="154">
        <f t="shared" si="39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35"/>
        <v>0</v>
      </c>
      <c r="M454" s="154">
        <f t="shared" si="36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7"/>
        <v>0</v>
      </c>
      <c r="R454" s="153">
        <f t="shared" si="38"/>
        <v>0</v>
      </c>
      <c r="S454" s="154">
        <f t="shared" si="39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1048"/>
      <c r="B455" s="1048"/>
      <c r="C455" s="1050"/>
      <c r="D455" s="1050"/>
      <c r="E455" s="1050"/>
      <c r="F455" s="1048"/>
      <c r="G455" s="1048"/>
      <c r="H455" s="1050"/>
      <c r="I455" s="1049"/>
      <c r="J455" s="1049"/>
      <c r="K455" s="1049"/>
      <c r="L455" s="153">
        <f t="shared" si="35"/>
        <v>0</v>
      </c>
      <c r="M455" s="154">
        <f t="shared" si="36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7"/>
        <v>0</v>
      </c>
      <c r="R455" s="153">
        <f t="shared" si="38"/>
        <v>0</v>
      </c>
      <c r="S455" s="154">
        <f t="shared" si="39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1048"/>
      <c r="B456" s="1048"/>
      <c r="C456" s="1050"/>
      <c r="D456" s="1050"/>
      <c r="E456" s="1050"/>
      <c r="F456" s="1048"/>
      <c r="G456" s="1048"/>
      <c r="H456" s="1050"/>
      <c r="I456" s="1049"/>
      <c r="J456" s="1049"/>
      <c r="K456" s="1049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1048"/>
      <c r="B457" s="1048"/>
      <c r="C457" s="1050"/>
      <c r="D457" s="1050"/>
      <c r="E457" s="1050"/>
      <c r="F457" s="1048"/>
      <c r="G457" s="1048"/>
      <c r="H457" s="1050"/>
      <c r="I457" s="1049"/>
      <c r="J457" s="1049"/>
      <c r="K457" s="1049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1048"/>
      <c r="B458" s="1048"/>
      <c r="C458" s="1050"/>
      <c r="D458" s="1050"/>
      <c r="E458" s="1050"/>
      <c r="F458" s="1048"/>
      <c r="G458" s="1048"/>
      <c r="H458" s="1050"/>
      <c r="I458" s="1049"/>
      <c r="J458" s="1049"/>
      <c r="K458" s="1049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1048"/>
      <c r="B459" s="1048"/>
      <c r="C459" s="1049"/>
      <c r="D459" s="1049"/>
      <c r="E459" s="1049"/>
      <c r="F459" s="1048"/>
      <c r="G459" s="1048"/>
      <c r="H459" s="1050"/>
      <c r="I459" s="1050"/>
      <c r="J459" s="1050"/>
      <c r="K459" s="1050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1048"/>
      <c r="B460" s="1048"/>
      <c r="C460" s="1049"/>
      <c r="D460" s="1049"/>
      <c r="E460" s="1049"/>
      <c r="F460" s="1048"/>
      <c r="G460" s="1048"/>
      <c r="H460" s="1050"/>
      <c r="I460" s="1050"/>
      <c r="J460" s="1050"/>
      <c r="K460" s="1050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1048"/>
      <c r="B461" s="1048"/>
      <c r="C461" s="1049"/>
      <c r="D461" s="1049"/>
      <c r="E461" s="1049"/>
      <c r="F461" s="1048"/>
      <c r="G461" s="1048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1048"/>
      <c r="B462" s="1048"/>
      <c r="C462" s="1049"/>
      <c r="D462" s="1049"/>
      <c r="E462" s="1049"/>
      <c r="F462" s="1048"/>
      <c r="G462" s="1048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1048"/>
      <c r="B463" s="1048"/>
      <c r="C463" s="1049"/>
      <c r="D463" s="1049"/>
      <c r="E463" s="1049"/>
      <c r="F463" s="1048"/>
      <c r="G463" s="1048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1048"/>
      <c r="B464" s="1048"/>
      <c r="C464" s="1049"/>
      <c r="D464" s="1049"/>
      <c r="E464" s="1049"/>
      <c r="F464" s="1048"/>
      <c r="G464" s="1048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1048"/>
      <c r="B466" s="1048"/>
      <c r="C466" s="1049"/>
      <c r="D466" s="1049"/>
      <c r="E466" s="1049"/>
      <c r="F466" s="1048"/>
      <c r="G466" s="1048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1048"/>
      <c r="B467" s="1048"/>
      <c r="C467" s="1049"/>
      <c r="D467" s="1049"/>
      <c r="E467" s="1049"/>
      <c r="F467" s="1048"/>
      <c r="G467" s="1048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1048"/>
      <c r="B468" s="1048"/>
      <c r="C468" s="1049"/>
      <c r="D468" s="1049"/>
      <c r="E468" s="1049"/>
      <c r="F468" s="1048"/>
      <c r="G468" s="1048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1048"/>
      <c r="B470" s="1048"/>
      <c r="C470" s="1049"/>
      <c r="D470" s="1049"/>
      <c r="E470" s="1049"/>
      <c r="F470" s="1048"/>
      <c r="G470" s="1048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1048"/>
      <c r="B472" s="1048"/>
      <c r="C472" s="1049"/>
      <c r="D472" s="1049"/>
      <c r="E472" s="1049"/>
      <c r="F472" s="1048"/>
      <c r="G472" s="1048"/>
      <c r="H472" s="1050"/>
      <c r="I472" s="1050"/>
      <c r="J472" s="1050"/>
      <c r="K472" s="1050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608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1048"/>
      <c r="B476" s="1048"/>
      <c r="C476" s="1049"/>
      <c r="D476" s="1049"/>
      <c r="E476" s="1049"/>
      <c r="F476" s="1048"/>
      <c r="G476" s="1048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1048"/>
      <c r="B477" s="1048"/>
      <c r="C477" s="1049"/>
      <c r="D477" s="1049"/>
      <c r="E477" s="1049"/>
      <c r="F477" s="1048"/>
      <c r="G477" s="1048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1048"/>
      <c r="B479" s="1048"/>
      <c r="C479" s="1049"/>
      <c r="D479" s="1049"/>
      <c r="E479" s="1049"/>
      <c r="F479" s="1048"/>
      <c r="G479" s="1048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1048"/>
      <c r="B480" s="1048"/>
      <c r="C480" s="1049"/>
      <c r="D480" s="1049"/>
      <c r="E480" s="1049"/>
      <c r="F480" s="1048"/>
      <c r="G480" s="1048"/>
      <c r="H480" s="1050"/>
      <c r="I480" s="1050"/>
      <c r="J480" s="1050"/>
      <c r="K480" s="1050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1048"/>
      <c r="B482" s="1048"/>
      <c r="C482" s="1049"/>
      <c r="D482" s="1049"/>
      <c r="E482" s="1049"/>
      <c r="F482" s="1048"/>
      <c r="G482" s="1048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1048"/>
      <c r="B483" s="1048"/>
      <c r="C483" s="1049"/>
      <c r="D483" s="1049"/>
      <c r="E483" s="1049"/>
      <c r="F483" s="1048"/>
      <c r="G483" s="1048"/>
      <c r="H483" s="1050"/>
      <c r="I483" s="1050"/>
      <c r="J483" s="1050"/>
      <c r="K483" s="1050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1048"/>
      <c r="B484" s="1048"/>
      <c r="C484" s="1050"/>
      <c r="D484" s="1050"/>
      <c r="E484" s="1050"/>
      <c r="F484" s="1048"/>
      <c r="G484" s="1048"/>
      <c r="H484" s="1050"/>
      <c r="I484" s="1049"/>
      <c r="J484" s="1049"/>
      <c r="K484" s="1049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1048"/>
      <c r="B485" s="1048"/>
      <c r="C485" s="1049"/>
      <c r="D485" s="1049"/>
      <c r="E485" s="1049"/>
      <c r="F485" s="1048"/>
      <c r="G485" s="1048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1048"/>
      <c r="B486" s="1048"/>
      <c r="C486" s="1049"/>
      <c r="D486" s="1049"/>
      <c r="E486" s="1049"/>
      <c r="F486" s="1048"/>
      <c r="G486" s="1048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1048"/>
      <c r="B487" s="1048"/>
      <c r="C487" s="1049"/>
      <c r="D487" s="1049"/>
      <c r="E487" s="1049"/>
      <c r="F487" s="1048"/>
      <c r="G487" s="1048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1048"/>
      <c r="B488" s="1048"/>
      <c r="C488" s="1049"/>
      <c r="D488" s="1049"/>
      <c r="E488" s="1049"/>
      <c r="F488" s="1048"/>
      <c r="G488" s="1048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1048"/>
      <c r="B489" s="1048"/>
      <c r="C489" s="1049"/>
      <c r="D489" s="1049"/>
      <c r="E489" s="1049"/>
      <c r="F489" s="1048"/>
      <c r="G489" s="1048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1048"/>
      <c r="B490" s="1048"/>
      <c r="C490" s="1049"/>
      <c r="D490" s="1049"/>
      <c r="E490" s="1049"/>
      <c r="F490" s="1048"/>
      <c r="G490" s="1048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1048"/>
      <c r="B491" s="1048"/>
      <c r="C491" s="1050"/>
      <c r="D491" s="1050"/>
      <c r="E491" s="1050"/>
      <c r="F491" s="1048"/>
      <c r="G491" s="1048"/>
      <c r="H491" s="1050"/>
      <c r="I491" s="1049"/>
      <c r="J491" s="1049"/>
      <c r="K491" s="1049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1048"/>
      <c r="B492" s="1048"/>
      <c r="C492" s="1050"/>
      <c r="D492" s="1050"/>
      <c r="E492" s="1050"/>
      <c r="F492" s="1048"/>
      <c r="G492" s="1048"/>
      <c r="H492" s="1050"/>
      <c r="I492" s="1049"/>
      <c r="J492" s="1049"/>
      <c r="K492" s="1049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1048"/>
      <c r="B493" s="1048"/>
      <c r="C493" s="1050"/>
      <c r="D493" s="1050"/>
      <c r="E493" s="1050"/>
      <c r="F493" s="1048"/>
      <c r="G493" s="1048"/>
      <c r="H493" s="1050"/>
      <c r="I493" s="1049"/>
      <c r="J493" s="1049"/>
      <c r="K493" s="1049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608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609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608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608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609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609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610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609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1048"/>
      <c r="B507" s="1048"/>
      <c r="C507" s="1049"/>
      <c r="D507" s="1049"/>
      <c r="E507" s="1049"/>
      <c r="F507" s="1048"/>
      <c r="G507" s="1048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608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80">+B1026</f>
        <v>0</v>
      </c>
      <c r="M1026" s="154">
        <f t="shared" ref="M1026:M1055" si="81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82">+F1026</f>
        <v>0</v>
      </c>
      <c r="R1026" s="153">
        <f t="shared" ref="R1026:R1055" si="83">+G1026</f>
        <v>0</v>
      </c>
      <c r="S1026" s="154">
        <f t="shared" ref="S1026:S1055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80"/>
        <v>0</v>
      </c>
      <c r="M1055" s="154">
        <f t="shared" si="81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82"/>
        <v>0</v>
      </c>
      <c r="R1055" s="153">
        <f t="shared" si="83"/>
        <v>0</v>
      </c>
      <c r="S1055" s="154">
        <f t="shared" si="84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>
    <filterColumn colId="21">
      <filters>
        <filter val="Honoraires"/>
      </filters>
    </filterColumn>
  </autoFilter>
  <dataValidations count="1">
    <dataValidation type="list" allowBlank="1" showErrorMessage="1" sqref="U1" xr:uid="{00000000-0002-0000-04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153F-A010-4C92-83CA-434403B54F6E}">
  <sheetPr filterMode="1">
    <tabColor rgb="FF00B050"/>
    <outlinePr summaryBelow="0"/>
  </sheetPr>
  <dimension ref="A1:X1055"/>
  <sheetViews>
    <sheetView topLeftCell="M1" workbookViewId="0">
      <pane ySplit="1" topLeftCell="A2" activePane="bottomLeft" state="frozen"/>
      <selection pane="bottomLeft" activeCell="O279" sqref="O279:O313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style="600" customWidth="1"/>
    <col min="13" max="13" width="39.75" style="600" customWidth="1"/>
    <col min="14" max="14" width="14.875" style="600" customWidth="1"/>
    <col min="15" max="15" width="12.875" style="611" customWidth="1"/>
    <col min="16" max="16" width="12.875" style="600" customWidth="1"/>
    <col min="17" max="17" width="17.375" style="600" customWidth="1"/>
    <col min="18" max="19" width="12.875" style="600" customWidth="1"/>
    <col min="20" max="20" width="13" style="600" customWidth="1"/>
    <col min="21" max="21" width="42.75" style="600" customWidth="1"/>
    <col min="22" max="22" width="25.375" style="600" customWidth="1"/>
    <col min="23" max="23" width="16.875" style="600" customWidth="1"/>
    <col min="24" max="24" width="8.875" style="600" customWidth="1"/>
    <col min="25" max="16384" width="12.625" style="600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72" t="s">
        <v>2205</v>
      </c>
      <c r="B2" s="1072" t="s">
        <v>2206</v>
      </c>
      <c r="C2" s="1073"/>
      <c r="D2" s="1073"/>
      <c r="E2" s="1073"/>
      <c r="F2" s="1072" t="s">
        <v>1</v>
      </c>
      <c r="G2" s="1072" t="s">
        <v>2207</v>
      </c>
      <c r="H2" s="1073"/>
      <c r="I2" s="1074">
        <v>0</v>
      </c>
      <c r="J2" s="1074">
        <v>9933</v>
      </c>
      <c r="K2" s="1074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0</v>
      </c>
      <c r="O2" s="155">
        <f>+IF(OR($Q2=Parametres!$G$2,$Q2=Parametres!$G$3),J2,D2)</f>
        <v>9933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hidden="1" customHeight="1">
      <c r="A3" s="1072" t="s">
        <v>2228</v>
      </c>
      <c r="B3" s="1072" t="s">
        <v>2229</v>
      </c>
      <c r="C3" s="1073"/>
      <c r="D3" s="1073"/>
      <c r="E3" s="1073"/>
      <c r="F3" s="1072" t="s">
        <v>1</v>
      </c>
      <c r="G3" s="1072" t="s">
        <v>2230</v>
      </c>
      <c r="H3" s="1073"/>
      <c r="I3" s="1074">
        <v>0</v>
      </c>
      <c r="J3" s="1074">
        <v>0.67</v>
      </c>
      <c r="K3" s="1074">
        <v>0.67</v>
      </c>
      <c r="L3" s="153" t="str">
        <f t="shared" si="0"/>
        <v>229</v>
      </c>
      <c r="M3" s="154" t="str">
        <f t="shared" si="1"/>
        <v>CUMUL. VIS. CARR. VW</v>
      </c>
      <c r="N3" s="155">
        <f>+IF(OR($Q3=Parametres!$G$2,$Q3=Parametres!$G$3),I3,C3)</f>
        <v>0</v>
      </c>
      <c r="O3" s="608">
        <f>+IF(OR($Q3=Parametres!$G$2,$Q3=Parametres!$G$3),J3,D3)</f>
        <v>0.67</v>
      </c>
      <c r="P3" s="155">
        <f>+IF(OR($Q3=Parametres!$G$2,$Q3=Parametres!$G$3),K3,E3)</f>
        <v>0.67</v>
      </c>
      <c r="Q3" s="154" t="str">
        <f t="shared" si="2"/>
        <v>1-Mémo</v>
      </c>
      <c r="R3" s="153" t="str">
        <f t="shared" si="2"/>
        <v>23</v>
      </c>
      <c r="S3" s="154">
        <f t="shared" si="2"/>
        <v>0</v>
      </c>
      <c r="T3" s="156" t="str">
        <f>+VLOOKUP($L3,Data_Validation!$A:$D,1,0)</f>
        <v>229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72" t="s">
        <v>2231</v>
      </c>
      <c r="B4" s="1072" t="s">
        <v>2232</v>
      </c>
      <c r="C4" s="1073"/>
      <c r="D4" s="1073"/>
      <c r="E4" s="1073"/>
      <c r="F4" s="1072" t="s">
        <v>1</v>
      </c>
      <c r="G4" s="1072" t="s">
        <v>2230</v>
      </c>
      <c r="H4" s="1073"/>
      <c r="I4" s="1074">
        <v>0</v>
      </c>
      <c r="J4" s="1074">
        <v>8.1999999999999993</v>
      </c>
      <c r="K4" s="1074">
        <v>8.1999999999999993</v>
      </c>
      <c r="L4" s="153" t="str">
        <f t="shared" si="0"/>
        <v>230</v>
      </c>
      <c r="M4" s="154" t="str">
        <f t="shared" si="1"/>
        <v>CUMUL. VIS. VEH. SERV. VW</v>
      </c>
      <c r="N4" s="155">
        <f>+IF(OR($Q4=Parametres!$G$2,$Q4=Parametres!$G$3),I4,C4)</f>
        <v>0</v>
      </c>
      <c r="O4" s="608">
        <f>+IF(OR($Q4=Parametres!$G$2,$Q4=Parametres!$G$3),J4,D4)</f>
        <v>8.1999999999999993</v>
      </c>
      <c r="P4" s="155">
        <f>+IF(OR($Q4=Parametres!$G$2,$Q4=Parametres!$G$3),K4,E4)</f>
        <v>8.1999999999999993</v>
      </c>
      <c r="Q4" s="154" t="str">
        <f t="shared" si="2"/>
        <v>1-Mémo</v>
      </c>
      <c r="R4" s="153" t="str">
        <f t="shared" si="2"/>
        <v>23</v>
      </c>
      <c r="S4" s="154">
        <f t="shared" si="2"/>
        <v>0</v>
      </c>
      <c r="T4" s="156" t="str">
        <f>+VLOOKUP($L4,Data_Validation!$A:$D,1,0)</f>
        <v>230</v>
      </c>
      <c r="U4" s="156">
        <f>+VLOOKUP($L4,Data_Validation!$A:$D,3,0)</f>
        <v>0</v>
      </c>
      <c r="V4" s="156">
        <f>+VLOOKUP($L4,Data_Validation!$A:$D,4,0)</f>
        <v>0</v>
      </c>
      <c r="W4" s="156" t="str">
        <f>+VLOOKUP($L4,Data_Validation!$A:$E,5,0)</f>
        <v>$</v>
      </c>
      <c r="X4" s="156">
        <f>+VLOOKUP($L4,Data_Validation!$A:$F,6,0)</f>
        <v>0</v>
      </c>
    </row>
    <row r="5" spans="1:24" ht="15.75" hidden="1" customHeight="1">
      <c r="A5" s="1072" t="s">
        <v>2233</v>
      </c>
      <c r="B5" s="1072" t="s">
        <v>2234</v>
      </c>
      <c r="C5" s="1073"/>
      <c r="D5" s="1073"/>
      <c r="E5" s="1073"/>
      <c r="F5" s="1072" t="s">
        <v>1</v>
      </c>
      <c r="G5" s="1072" t="s">
        <v>2230</v>
      </c>
      <c r="H5" s="1073"/>
      <c r="I5" s="1074">
        <v>0</v>
      </c>
      <c r="J5" s="1074">
        <v>25.02</v>
      </c>
      <c r="K5" s="1074">
        <v>25.02</v>
      </c>
      <c r="L5" s="153" t="str">
        <f t="shared" si="0"/>
        <v>234</v>
      </c>
      <c r="M5" s="154" t="str">
        <f t="shared" si="1"/>
        <v>TOTAL HRES PROD. SERVICE</v>
      </c>
      <c r="N5" s="155">
        <f>+IF(OR($Q5=Parametres!$G$2,$Q5=Parametres!$G$3),I5,C5)</f>
        <v>0</v>
      </c>
      <c r="O5" s="608">
        <f>+IF(OR($Q5=Parametres!$G$2,$Q5=Parametres!$G$3),J5,D5)</f>
        <v>25.02</v>
      </c>
      <c r="P5" s="155">
        <f>+IF(OR($Q5=Parametres!$G$2,$Q5=Parametres!$G$3),K5,E5)</f>
        <v>25.02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234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72" t="s">
        <v>2235</v>
      </c>
      <c r="B6" s="1072" t="s">
        <v>2236</v>
      </c>
      <c r="C6" s="1073"/>
      <c r="D6" s="1073"/>
      <c r="E6" s="1073"/>
      <c r="F6" s="1072" t="s">
        <v>1</v>
      </c>
      <c r="G6" s="1072" t="s">
        <v>2230</v>
      </c>
      <c r="H6" s="1073"/>
      <c r="I6" s="1074">
        <v>0</v>
      </c>
      <c r="J6" s="1074">
        <v>15.04</v>
      </c>
      <c r="K6" s="1074">
        <v>15.04</v>
      </c>
      <c r="L6" s="153" t="str">
        <f t="shared" si="0"/>
        <v>236</v>
      </c>
      <c r="M6" s="154" t="str">
        <f t="shared" si="1"/>
        <v>HEURES VENDU VW - SERVICE</v>
      </c>
      <c r="N6" s="155">
        <f>+IF(OR($Q6=Parametres!$G$2,$Q6=Parametres!$G$3),I6,C6)</f>
        <v>0</v>
      </c>
      <c r="O6" s="155">
        <f>+IF(OR($Q6=Parametres!$G$2,$Q6=Parametres!$G$3),J6,D6)</f>
        <v>15.04</v>
      </c>
      <c r="P6" s="155">
        <f>+IF(OR($Q6=Parametres!$G$2,$Q6=Parametres!$G$3),K6,E6)</f>
        <v>15.04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236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72" t="s">
        <v>2237</v>
      </c>
      <c r="B7" s="1072" t="s">
        <v>2238</v>
      </c>
      <c r="C7" s="1073"/>
      <c r="D7" s="1073"/>
      <c r="E7" s="1073"/>
      <c r="F7" s="1072" t="s">
        <v>1</v>
      </c>
      <c r="G7" s="1072" t="s">
        <v>2230</v>
      </c>
      <c r="H7" s="1073"/>
      <c r="I7" s="1074">
        <v>0</v>
      </c>
      <c r="J7" s="1074">
        <v>29.44</v>
      </c>
      <c r="K7" s="1074">
        <v>29.44</v>
      </c>
      <c r="L7" s="153" t="str">
        <f t="shared" si="0"/>
        <v>238</v>
      </c>
      <c r="M7" s="154" t="str">
        <f t="shared" si="1"/>
        <v>TOT. HEURES DISP. SERVICE</v>
      </c>
      <c r="N7" s="155">
        <f>+IF(OR($Q7=Parametres!$G$2,$Q7=Parametres!$G$3),I7,C7)</f>
        <v>0</v>
      </c>
      <c r="O7" s="608">
        <f>+IF(OR($Q7=Parametres!$G$2,$Q7=Parametres!$G$3),J7,D7)</f>
        <v>29.44</v>
      </c>
      <c r="P7" s="155">
        <f>+IF(OR($Q7=Parametres!$G$2,$Q7=Parametres!$G$3),K7,E7)</f>
        <v>29.44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238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72" t="s">
        <v>2239</v>
      </c>
      <c r="B8" s="1072" t="s">
        <v>2240</v>
      </c>
      <c r="C8" s="1073"/>
      <c r="D8" s="1073"/>
      <c r="E8" s="1073"/>
      <c r="F8" s="1072" t="s">
        <v>1</v>
      </c>
      <c r="G8" s="1072" t="s">
        <v>2241</v>
      </c>
      <c r="H8" s="1073"/>
      <c r="I8" s="1074">
        <v>0</v>
      </c>
      <c r="J8" s="1074">
        <v>125</v>
      </c>
      <c r="K8" s="1074">
        <v>125</v>
      </c>
      <c r="L8" s="153" t="str">
        <f t="shared" si="0"/>
        <v>243</v>
      </c>
      <c r="M8" s="154" t="str">
        <f t="shared" si="1"/>
        <v>TAUX M/O CLIENT VW</v>
      </c>
      <c r="N8" s="155">
        <f>+IF(OR($Q8=Parametres!$G$2,$Q8=Parametres!$G$3),I8,C8)</f>
        <v>0</v>
      </c>
      <c r="O8" s="608">
        <f>+IF(OR($Q8=Parametres!$G$2,$Q8=Parametres!$G$3),J8,D8)</f>
        <v>125</v>
      </c>
      <c r="P8" s="155">
        <f>+IF(OR($Q8=Parametres!$G$2,$Q8=Parametres!$G$3),K8,E8)</f>
        <v>125</v>
      </c>
      <c r="Q8" s="154" t="str">
        <f t="shared" si="2"/>
        <v>1-Mémo</v>
      </c>
      <c r="R8" s="153" t="str">
        <f t="shared" si="2"/>
        <v>24</v>
      </c>
      <c r="S8" s="154">
        <f t="shared" si="2"/>
        <v>0</v>
      </c>
      <c r="T8" s="156" t="str">
        <f>+VLOOKUP($L8,Data_Validation!$A:$D,1,0)</f>
        <v>243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72" t="s">
        <v>2242</v>
      </c>
      <c r="B9" s="1072" t="s">
        <v>2243</v>
      </c>
      <c r="C9" s="1073"/>
      <c r="D9" s="1073"/>
      <c r="E9" s="1073"/>
      <c r="F9" s="1072" t="s">
        <v>1</v>
      </c>
      <c r="G9" s="1072" t="s">
        <v>2241</v>
      </c>
      <c r="H9" s="1073"/>
      <c r="I9" s="1074">
        <v>0</v>
      </c>
      <c r="J9" s="1074">
        <v>115.09</v>
      </c>
      <c r="K9" s="1074">
        <v>115.09</v>
      </c>
      <c r="L9" s="153" t="str">
        <f t="shared" si="0"/>
        <v>244</v>
      </c>
      <c r="M9" s="154" t="str">
        <f t="shared" si="1"/>
        <v>TAUX M/O GARANTIE VW</v>
      </c>
      <c r="N9" s="155">
        <f>+IF(OR($Q9=Parametres!$G$2,$Q9=Parametres!$G$3),I9,C9)</f>
        <v>0</v>
      </c>
      <c r="O9" s="608">
        <f>+IF(OR($Q9=Parametres!$G$2,$Q9=Parametres!$G$3),J9,D9)</f>
        <v>115.09</v>
      </c>
      <c r="P9" s="155">
        <f>+IF(OR($Q9=Parametres!$G$2,$Q9=Parametres!$G$3),K9,E9)</f>
        <v>115.09</v>
      </c>
      <c r="Q9" s="154" t="str">
        <f t="shared" si="2"/>
        <v>1-Mémo</v>
      </c>
      <c r="R9" s="153" t="str">
        <f t="shared" si="2"/>
        <v>24</v>
      </c>
      <c r="S9" s="154">
        <f t="shared" si="2"/>
        <v>0</v>
      </c>
      <c r="T9" s="156" t="str">
        <f>+VLOOKUP($L9,Data_Validation!$A:$D,1,0)</f>
        <v>244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72" t="s">
        <v>2244</v>
      </c>
      <c r="B10" s="1072" t="s">
        <v>2245</v>
      </c>
      <c r="C10" s="1073"/>
      <c r="D10" s="1073"/>
      <c r="E10" s="1073"/>
      <c r="F10" s="1072" t="s">
        <v>1</v>
      </c>
      <c r="G10" s="1072" t="s">
        <v>2241</v>
      </c>
      <c r="H10" s="1073"/>
      <c r="I10" s="1074">
        <v>0</v>
      </c>
      <c r="J10" s="1074">
        <v>125</v>
      </c>
      <c r="K10" s="1074">
        <v>125</v>
      </c>
      <c r="L10" s="153" t="str">
        <f t="shared" si="0"/>
        <v>245</v>
      </c>
      <c r="M10" s="154" t="str">
        <f t="shared" si="1"/>
        <v>TAUX M/O INTERNE VW</v>
      </c>
      <c r="N10" s="155">
        <f>+IF(OR($Q10=Parametres!$G$2,$Q10=Parametres!$G$3),I10,C10)</f>
        <v>0</v>
      </c>
      <c r="O10" s="609">
        <f>+IF(OR($Q10=Parametres!$G$2,$Q10=Parametres!$G$3),J10,D10)</f>
        <v>125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245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72" t="s">
        <v>2246</v>
      </c>
      <c r="B11" s="1072" t="s">
        <v>2247</v>
      </c>
      <c r="C11" s="1073"/>
      <c r="D11" s="1073"/>
      <c r="E11" s="1073"/>
      <c r="F11" s="1072" t="s">
        <v>1</v>
      </c>
      <c r="G11" s="1072" t="s">
        <v>2241</v>
      </c>
      <c r="H11" s="1073"/>
      <c r="I11" s="1074">
        <v>0</v>
      </c>
      <c r="J11" s="1074">
        <v>60</v>
      </c>
      <c r="K11" s="1074">
        <v>60</v>
      </c>
      <c r="L11" s="153" t="str">
        <f t="shared" si="0"/>
        <v>246</v>
      </c>
      <c r="M11" s="154" t="str">
        <f t="shared" si="1"/>
        <v>TAUX M/O CARR. VW</v>
      </c>
      <c r="N11" s="155">
        <f>+IF(OR($Q11=Parametres!$G$2,$Q11=Parametres!$G$3),I11,C11)</f>
        <v>0</v>
      </c>
      <c r="O11" s="155">
        <f>+IF(OR($Q11=Parametres!$G$2,$Q11=Parametres!$G$3),J11,D11)</f>
        <v>60</v>
      </c>
      <c r="P11" s="155">
        <f>+IF(OR($Q11=Parametres!$G$2,$Q11=Parametres!$G$3),K11,E11)</f>
        <v>60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246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72" t="s">
        <v>2248</v>
      </c>
      <c r="B12" s="1072" t="s">
        <v>2249</v>
      </c>
      <c r="C12" s="1073"/>
      <c r="D12" s="1073"/>
      <c r="E12" s="1073"/>
      <c r="F12" s="1072" t="s">
        <v>1</v>
      </c>
      <c r="G12" s="1072" t="s">
        <v>2249</v>
      </c>
      <c r="H12" s="1073"/>
      <c r="I12" s="1074">
        <v>0</v>
      </c>
      <c r="J12" s="1074">
        <v>0.08</v>
      </c>
      <c r="K12" s="1074">
        <v>0.08</v>
      </c>
      <c r="L12" s="153" t="str">
        <f t="shared" si="0"/>
        <v>255</v>
      </c>
      <c r="M12" s="154" t="str">
        <f t="shared" si="1"/>
        <v>BAIES TRAVAIL PRODUCTIVES - SERVICE VW</v>
      </c>
      <c r="N12" s="155">
        <f>+IF(OR($Q12=Parametres!$G$2,$Q12=Parametres!$G$3),I12,C12)</f>
        <v>0</v>
      </c>
      <c r="O12" s="155">
        <f>+IF(OR($Q12=Parametres!$G$2,$Q12=Parametres!$G$3),J12,D12)</f>
        <v>0.08</v>
      </c>
      <c r="P12" s="155">
        <f>+IF(OR($Q12=Parametres!$G$2,$Q12=Parametres!$G$3),K12,E12)</f>
        <v>0.08</v>
      </c>
      <c r="Q12" s="154" t="str">
        <f t="shared" si="2"/>
        <v>1-Mémo</v>
      </c>
      <c r="R12" s="153" t="str">
        <f t="shared" si="2"/>
        <v>255</v>
      </c>
      <c r="S12" s="154">
        <f t="shared" si="2"/>
        <v>0</v>
      </c>
      <c r="T12" s="156" t="str">
        <f>+VLOOKUP($L12,Data_Validation!$A:$D,1,0)</f>
        <v>255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72" t="s">
        <v>2256</v>
      </c>
      <c r="B13" s="1072" t="s">
        <v>2257</v>
      </c>
      <c r="C13" s="1073"/>
      <c r="D13" s="1073"/>
      <c r="E13" s="1073"/>
      <c r="F13" s="1072" t="s">
        <v>1</v>
      </c>
      <c r="G13" s="1072" t="s">
        <v>2211</v>
      </c>
      <c r="H13" s="1073"/>
      <c r="I13" s="1074">
        <v>0</v>
      </c>
      <c r="J13" s="1074">
        <v>195.95</v>
      </c>
      <c r="K13" s="1074">
        <v>195.95</v>
      </c>
      <c r="L13" s="153" t="str">
        <f t="shared" si="0"/>
        <v>300</v>
      </c>
      <c r="M13" s="154" t="str">
        <f t="shared" si="1"/>
        <v>REC VEH PASSE DU 30-60</v>
      </c>
      <c r="N13" s="155">
        <f>+IF(OR($Q13=Parametres!$G$2,$Q13=Parametres!$G$3),I13,C13)</f>
        <v>0</v>
      </c>
      <c r="O13" s="608">
        <f>+IF(OR($Q13=Parametres!$G$2,$Q13=Parametres!$G$3),J13,D13)</f>
        <v>195.95</v>
      </c>
      <c r="P13" s="155">
        <f>+IF(OR($Q13=Parametres!$G$2,$Q13=Parametres!$G$3),K13,E13)</f>
        <v>195.95</v>
      </c>
      <c r="Q13" s="154" t="str">
        <f t="shared" si="2"/>
        <v>1-Mémo</v>
      </c>
      <c r="R13" s="153" t="str">
        <f t="shared" si="2"/>
        <v>30</v>
      </c>
      <c r="S13" s="154">
        <f t="shared" si="2"/>
        <v>0</v>
      </c>
      <c r="T13" s="156" t="str">
        <f>+VLOOKUP($L13,Data_Validation!$A:$D,1,0)</f>
        <v>300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72" t="s">
        <v>2258</v>
      </c>
      <c r="B14" s="1072" t="s">
        <v>2259</v>
      </c>
      <c r="C14" s="1073"/>
      <c r="D14" s="1073"/>
      <c r="E14" s="1073"/>
      <c r="F14" s="1072" t="s">
        <v>1</v>
      </c>
      <c r="G14" s="1072" t="s">
        <v>2211</v>
      </c>
      <c r="H14" s="1073"/>
      <c r="I14" s="1074">
        <v>0</v>
      </c>
      <c r="J14" s="1074">
        <v>52561.23</v>
      </c>
      <c r="K14" s="1074">
        <v>52561.23</v>
      </c>
      <c r="L14" s="153" t="str">
        <f t="shared" si="0"/>
        <v>301</v>
      </c>
      <c r="M14" s="154" t="str">
        <f t="shared" si="1"/>
        <v>CLIENT S P ET A PASSE DU 30-60</v>
      </c>
      <c r="N14" s="155">
        <f>+IF(OR($Q14=Parametres!$G$2,$Q14=Parametres!$G$3),I14,C14)</f>
        <v>0</v>
      </c>
      <c r="O14" s="608">
        <f>+IF(OR($Q14=Parametres!$G$2,$Q14=Parametres!$G$3),J14,D14)</f>
        <v>52561.23</v>
      </c>
      <c r="P14" s="155">
        <f>+IF(OR($Q14=Parametres!$G$2,$Q14=Parametres!$G$3),K14,E14)</f>
        <v>52561.23</v>
      </c>
      <c r="Q14" s="154" t="str">
        <f t="shared" si="2"/>
        <v>1-Mémo</v>
      </c>
      <c r="R14" s="153" t="str">
        <f t="shared" si="2"/>
        <v>30</v>
      </c>
      <c r="S14" s="154">
        <f t="shared" si="2"/>
        <v>0</v>
      </c>
      <c r="T14" s="156" t="str">
        <f>+VLOOKUP($L14,Data_Validation!$A:$D,1,0)</f>
        <v>301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72" t="s">
        <v>2260</v>
      </c>
      <c r="B15" s="1072" t="s">
        <v>2261</v>
      </c>
      <c r="C15" s="1073"/>
      <c r="D15" s="1073"/>
      <c r="E15" s="1073"/>
      <c r="F15" s="1072" t="s">
        <v>1</v>
      </c>
      <c r="G15" s="1072" t="s">
        <v>2211</v>
      </c>
      <c r="H15" s="1073"/>
      <c r="I15" s="1074">
        <v>0</v>
      </c>
      <c r="J15" s="1074">
        <v>20293.810000000001</v>
      </c>
      <c r="K15" s="1074">
        <v>20293.810000000001</v>
      </c>
      <c r="L15" s="153" t="str">
        <f t="shared" si="0"/>
        <v>302</v>
      </c>
      <c r="M15" s="154" t="str">
        <f t="shared" si="1"/>
        <v>RECLAM GARANTIE VW PASSE DU 30-60</v>
      </c>
      <c r="N15" s="155">
        <f>+IF(OR($Q15=Parametres!$G$2,$Q15=Parametres!$G$3),I15,C15)</f>
        <v>0</v>
      </c>
      <c r="O15" s="608">
        <f>+IF(OR($Q15=Parametres!$G$2,$Q15=Parametres!$G$3),J15,D15)</f>
        <v>20293.810000000001</v>
      </c>
      <c r="P15" s="155">
        <f>+IF(OR($Q15=Parametres!$G$2,$Q15=Parametres!$G$3),K15,E15)</f>
        <v>20293.810000000001</v>
      </c>
      <c r="Q15" s="154" t="str">
        <f t="shared" si="2"/>
        <v>1-Mémo</v>
      </c>
      <c r="R15" s="153" t="str">
        <f t="shared" si="2"/>
        <v>30</v>
      </c>
      <c r="S15" s="154">
        <f t="shared" si="2"/>
        <v>0</v>
      </c>
      <c r="T15" s="156" t="str">
        <f>+VLOOKUP($L15,Data_Validation!$A:$D,1,0)</f>
        <v>302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72" t="s">
        <v>2262</v>
      </c>
      <c r="B16" s="1072" t="s">
        <v>2263</v>
      </c>
      <c r="C16" s="1073"/>
      <c r="D16" s="1073"/>
      <c r="E16" s="1073"/>
      <c r="F16" s="1072" t="s">
        <v>1</v>
      </c>
      <c r="G16" s="1072" t="s">
        <v>2211</v>
      </c>
      <c r="H16" s="1073"/>
      <c r="I16" s="1074">
        <v>0</v>
      </c>
      <c r="J16" s="1074">
        <v>85212.43</v>
      </c>
      <c r="K16" s="1074">
        <v>85212.43</v>
      </c>
      <c r="L16" s="153" t="str">
        <f t="shared" si="0"/>
        <v>307</v>
      </c>
      <c r="M16" s="154" t="str">
        <f t="shared" si="1"/>
        <v>AUTRE REC MANUFACTURIER VW PASSE DU 30-60</v>
      </c>
      <c r="N16" s="155">
        <f>+IF(OR($Q16=Parametres!$G$2,$Q16=Parametres!$G$3),I16,C16)</f>
        <v>0</v>
      </c>
      <c r="O16" s="608">
        <f>+IF(OR($Q16=Parametres!$G$2,$Q16=Parametres!$G$3),J16,D16)</f>
        <v>85212.43</v>
      </c>
      <c r="P16" s="155">
        <f>+IF(OR($Q16=Parametres!$G$2,$Q16=Parametres!$G$3),K16,E16)</f>
        <v>85212.43</v>
      </c>
      <c r="Q16" s="154" t="str">
        <f t="shared" si="2"/>
        <v>1-Mémo</v>
      </c>
      <c r="R16" s="153" t="str">
        <f t="shared" si="2"/>
        <v>30</v>
      </c>
      <c r="S16" s="154">
        <f t="shared" si="2"/>
        <v>0</v>
      </c>
      <c r="T16" s="156" t="str">
        <f>+VLOOKUP($L16,Data_Validation!$A:$D,1,0)</f>
        <v>307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72" t="s">
        <v>2264</v>
      </c>
      <c r="B17" s="1072" t="s">
        <v>2265</v>
      </c>
      <c r="C17" s="1073"/>
      <c r="D17" s="1073"/>
      <c r="E17" s="1073"/>
      <c r="F17" s="1072" t="s">
        <v>1</v>
      </c>
      <c r="G17" s="1072" t="s">
        <v>2266</v>
      </c>
      <c r="H17" s="1073"/>
      <c r="I17" s="1074">
        <v>0</v>
      </c>
      <c r="J17" s="1074">
        <v>16375.19</v>
      </c>
      <c r="K17" s="1074">
        <v>16375.19</v>
      </c>
      <c r="L17" s="153" t="str">
        <f t="shared" si="0"/>
        <v>311</v>
      </c>
      <c r="M17" s="154" t="str">
        <f t="shared" si="1"/>
        <v>CLIENT VEH PLUS DE 60</v>
      </c>
      <c r="N17" s="155">
        <f>+IF(OR($Q17=Parametres!$G$2,$Q17=Parametres!$G$3),I17,C17)</f>
        <v>0</v>
      </c>
      <c r="O17" s="608">
        <f>+IF(OR($Q17=Parametres!$G$2,$Q17=Parametres!$G$3),J17,D17)</f>
        <v>16375.19</v>
      </c>
      <c r="P17" s="155">
        <f>+IF(OR($Q17=Parametres!$G$2,$Q17=Parametres!$G$3),K17,E17)</f>
        <v>16375.19</v>
      </c>
      <c r="Q17" s="154" t="str">
        <f t="shared" si="2"/>
        <v>1-Mémo</v>
      </c>
      <c r="R17" s="153" t="str">
        <f t="shared" si="2"/>
        <v>31</v>
      </c>
      <c r="S17" s="154">
        <f t="shared" si="2"/>
        <v>0</v>
      </c>
      <c r="T17" s="156" t="str">
        <f>+VLOOKUP($L17,Data_Validation!$A:$D,1,0)</f>
        <v>311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72" t="s">
        <v>2267</v>
      </c>
      <c r="B18" s="1072" t="s">
        <v>2268</v>
      </c>
      <c r="C18" s="1073"/>
      <c r="D18" s="1073"/>
      <c r="E18" s="1073"/>
      <c r="F18" s="1072" t="s">
        <v>1</v>
      </c>
      <c r="G18" s="1072" t="s">
        <v>2266</v>
      </c>
      <c r="H18" s="1073"/>
      <c r="I18" s="1074">
        <v>0</v>
      </c>
      <c r="J18" s="1074">
        <v>325.27999999999997</v>
      </c>
      <c r="K18" s="1074">
        <v>325.27999999999997</v>
      </c>
      <c r="L18" s="153" t="str">
        <f t="shared" si="0"/>
        <v>312</v>
      </c>
      <c r="M18" s="154" t="str">
        <f t="shared" si="1"/>
        <v>CLIENT S P ET A PLUS DE 60</v>
      </c>
      <c r="N18" s="155">
        <f>+IF(OR($Q18=Parametres!$G$2,$Q18=Parametres!$G$3),I18,C18)</f>
        <v>0</v>
      </c>
      <c r="O18" s="155">
        <f>+IF(OR($Q18=Parametres!$G$2,$Q18=Parametres!$G$3),J18,D18)</f>
        <v>325.27999999999997</v>
      </c>
      <c r="P18" s="155">
        <f>+IF(OR($Q18=Parametres!$G$2,$Q18=Parametres!$G$3),K18,E18)</f>
        <v>325.27999999999997</v>
      </c>
      <c r="Q18" s="154" t="str">
        <f t="shared" ref="Q18:S33" si="3">+F18</f>
        <v>1-Mémo</v>
      </c>
      <c r="R18" s="153" t="str">
        <f t="shared" si="3"/>
        <v>31</v>
      </c>
      <c r="S18" s="154">
        <f t="shared" si="3"/>
        <v>0</v>
      </c>
      <c r="T18" s="156" t="str">
        <f>+VLOOKUP($L18,Data_Validation!$A:$D,1,0)</f>
        <v>312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72" t="s">
        <v>2269</v>
      </c>
      <c r="B19" s="1072" t="s">
        <v>2270</v>
      </c>
      <c r="C19" s="1073"/>
      <c r="D19" s="1073"/>
      <c r="E19" s="1073"/>
      <c r="F19" s="1072" t="s">
        <v>1</v>
      </c>
      <c r="G19" s="1072" t="s">
        <v>2266</v>
      </c>
      <c r="H19" s="1073"/>
      <c r="I19" s="1074">
        <v>0</v>
      </c>
      <c r="J19" s="1074">
        <v>49990.47</v>
      </c>
      <c r="K19" s="1074">
        <v>49990.47</v>
      </c>
      <c r="L19" s="153" t="str">
        <f t="shared" si="0"/>
        <v>313</v>
      </c>
      <c r="M19" s="154" t="str">
        <f t="shared" si="1"/>
        <v>RECLAMATIONS DE GARATIE VW PLUS DE 60</v>
      </c>
      <c r="N19" s="155">
        <f>+IF(OR($Q19=Parametres!$G$2,$Q19=Parametres!$G$3),I19,C19)</f>
        <v>0</v>
      </c>
      <c r="O19" s="608">
        <f>+IF(OR($Q19=Parametres!$G$2,$Q19=Parametres!$G$3),J19,D19)</f>
        <v>49990.47</v>
      </c>
      <c r="P19" s="155">
        <f>+IF(OR($Q19=Parametres!$G$2,$Q19=Parametres!$G$3),K19,E19)</f>
        <v>49990.47</v>
      </c>
      <c r="Q19" s="154" t="str">
        <f t="shared" si="3"/>
        <v>1-Mémo</v>
      </c>
      <c r="R19" s="153" t="str">
        <f t="shared" si="3"/>
        <v>31</v>
      </c>
      <c r="S19" s="154">
        <f t="shared" si="3"/>
        <v>0</v>
      </c>
      <c r="T19" s="156" t="str">
        <f>+VLOOKUP($L19,Data_Validation!$A:$D,1,0)</f>
        <v>313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72" t="s">
        <v>2271</v>
      </c>
      <c r="B20" s="1072" t="s">
        <v>2272</v>
      </c>
      <c r="C20" s="1073"/>
      <c r="D20" s="1073"/>
      <c r="E20" s="1073"/>
      <c r="F20" s="1072" t="s">
        <v>1</v>
      </c>
      <c r="G20" s="1072" t="s">
        <v>2266</v>
      </c>
      <c r="H20" s="1073"/>
      <c r="I20" s="1074">
        <v>0</v>
      </c>
      <c r="J20" s="1074">
        <v>10688.05</v>
      </c>
      <c r="K20" s="1074">
        <v>10688.05</v>
      </c>
      <c r="L20" s="153" t="str">
        <f t="shared" si="0"/>
        <v>316</v>
      </c>
      <c r="M20" s="154" t="str">
        <f t="shared" si="1"/>
        <v>AUTRE REC MANUFACTURIER VW PLUS DE 60</v>
      </c>
      <c r="N20" s="155">
        <f>+IF(OR($Q20=Parametres!$G$2,$Q20=Parametres!$G$3),I20,C20)</f>
        <v>0</v>
      </c>
      <c r="O20" s="608">
        <f>+IF(OR($Q20=Parametres!$G$2,$Q20=Parametres!$G$3),J20,D20)</f>
        <v>10688.05</v>
      </c>
      <c r="P20" s="155">
        <f>+IF(OR($Q20=Parametres!$G$2,$Q20=Parametres!$G$3),K20,E20)</f>
        <v>10688.05</v>
      </c>
      <c r="Q20" s="154" t="str">
        <f t="shared" si="3"/>
        <v>1-Mémo</v>
      </c>
      <c r="R20" s="153" t="str">
        <f t="shared" si="3"/>
        <v>31</v>
      </c>
      <c r="S20" s="154">
        <f t="shared" si="3"/>
        <v>0</v>
      </c>
      <c r="T20" s="156" t="str">
        <f>+VLOOKUP($L20,Data_Validation!$A:$D,1,0)</f>
        <v>316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72" t="s">
        <v>2273</v>
      </c>
      <c r="B21" s="1072" t="s">
        <v>2274</v>
      </c>
      <c r="C21" s="1073"/>
      <c r="D21" s="1073"/>
      <c r="E21" s="1073"/>
      <c r="F21" s="1072" t="s">
        <v>1</v>
      </c>
      <c r="G21" s="1072" t="s">
        <v>2275</v>
      </c>
      <c r="H21" s="1073"/>
      <c r="I21" s="1074">
        <v>0</v>
      </c>
      <c r="J21" s="1074">
        <v>0.18</v>
      </c>
      <c r="K21" s="1074">
        <v>0.18</v>
      </c>
      <c r="L21" s="153" t="str">
        <f t="shared" si="0"/>
        <v>350</v>
      </c>
      <c r="M21" s="154" t="str">
        <f t="shared" si="1"/>
        <v>UNITES USAGES +30JRS</v>
      </c>
      <c r="N21" s="155">
        <f>+IF(OR($Q21=Parametres!$G$2,$Q21=Parametres!$G$3),I21,C21)</f>
        <v>0</v>
      </c>
      <c r="O21" s="155">
        <f>+IF(OR($Q21=Parametres!$G$2,$Q21=Parametres!$G$3),J21,D21)</f>
        <v>0.18</v>
      </c>
      <c r="P21" s="155">
        <f>+IF(OR($Q21=Parametres!$G$2,$Q21=Parametres!$G$3),K21,E21)</f>
        <v>0.18</v>
      </c>
      <c r="Q21" s="154" t="str">
        <f t="shared" si="3"/>
        <v>1-Mémo</v>
      </c>
      <c r="R21" s="153" t="str">
        <f t="shared" si="3"/>
        <v>35</v>
      </c>
      <c r="S21" s="154">
        <f t="shared" si="3"/>
        <v>0</v>
      </c>
      <c r="T21" s="156" t="str">
        <f>+VLOOKUP($L21,Data_Validation!$A:$D,1,0)</f>
        <v>350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72" t="s">
        <v>2276</v>
      </c>
      <c r="B22" s="1072" t="s">
        <v>2277</v>
      </c>
      <c r="C22" s="1073"/>
      <c r="D22" s="1073"/>
      <c r="E22" s="1073"/>
      <c r="F22" s="1072" t="s">
        <v>1</v>
      </c>
      <c r="G22" s="1072" t="s">
        <v>2278</v>
      </c>
      <c r="H22" s="1073"/>
      <c r="I22" s="1074">
        <v>0</v>
      </c>
      <c r="J22" s="1074">
        <v>409481.61</v>
      </c>
      <c r="K22" s="1074">
        <v>409481.61</v>
      </c>
      <c r="L22" s="153" t="str">
        <f t="shared" si="0"/>
        <v>360</v>
      </c>
      <c r="M22" s="154" t="str">
        <f t="shared" si="1"/>
        <v>OCCASION VW + 60 JRS</v>
      </c>
      <c r="N22" s="155">
        <f>+IF(OR($Q22=Parametres!$G$2,$Q22=Parametres!$G$3),I22,C22)</f>
        <v>0</v>
      </c>
      <c r="O22" s="608">
        <f>+IF(OR($Q22=Parametres!$G$2,$Q22=Parametres!$G$3),J22,D22)</f>
        <v>409481.61</v>
      </c>
      <c r="P22" s="155">
        <f>+IF(OR($Q22=Parametres!$G$2,$Q22=Parametres!$G$3),K22,E22)</f>
        <v>409481.61</v>
      </c>
      <c r="Q22" s="154" t="str">
        <f t="shared" si="3"/>
        <v>1-Mémo</v>
      </c>
      <c r="R22" s="153" t="str">
        <f t="shared" si="3"/>
        <v>36</v>
      </c>
      <c r="S22" s="154">
        <f t="shared" si="3"/>
        <v>0</v>
      </c>
      <c r="T22" s="156" t="str">
        <f>+VLOOKUP($L22,Data_Validation!$A:$D,1,0)</f>
        <v>360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72" t="s">
        <v>2283</v>
      </c>
      <c r="B23" s="1072" t="s">
        <v>2284</v>
      </c>
      <c r="C23" s="1073"/>
      <c r="D23" s="1073"/>
      <c r="E23" s="1073"/>
      <c r="F23" s="1072" t="s">
        <v>1</v>
      </c>
      <c r="G23" s="1072" t="s">
        <v>2213</v>
      </c>
      <c r="H23" s="1073"/>
      <c r="I23" s="1074">
        <v>0</v>
      </c>
      <c r="J23" s="1074">
        <v>0.66</v>
      </c>
      <c r="K23" s="1074">
        <v>0.66</v>
      </c>
      <c r="L23" s="153" t="str">
        <f t="shared" si="0"/>
        <v>401</v>
      </c>
      <c r="M23" s="154" t="str">
        <f t="shared" si="1"/>
        <v>UNITES NEUVES VENDUES JANVIER</v>
      </c>
      <c r="N23" s="155">
        <f>+IF(OR($Q23=Parametres!$G$2,$Q23=Parametres!$G$3),I23,C23)</f>
        <v>0</v>
      </c>
      <c r="O23" s="608">
        <f>+IF(OR($Q23=Parametres!$G$2,$Q23=Parametres!$G$3),J23,D23)</f>
        <v>0.66</v>
      </c>
      <c r="P23" s="155">
        <f>+IF(OR($Q23=Parametres!$G$2,$Q23=Parametres!$G$3),K23,E23)</f>
        <v>0.66</v>
      </c>
      <c r="Q23" s="154" t="str">
        <f t="shared" si="3"/>
        <v>1-Mémo</v>
      </c>
      <c r="R23" s="153" t="str">
        <f t="shared" si="3"/>
        <v>40</v>
      </c>
      <c r="S23" s="154">
        <f t="shared" si="3"/>
        <v>0</v>
      </c>
      <c r="T23" s="156" t="str">
        <f>+VLOOKUP($L23,Data_Validation!$A:$D,1,0)</f>
        <v>401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72" t="s">
        <v>2304</v>
      </c>
      <c r="B24" s="1072" t="s">
        <v>2305</v>
      </c>
      <c r="C24" s="1073"/>
      <c r="D24" s="1073"/>
      <c r="E24" s="1073"/>
      <c r="F24" s="1072" t="s">
        <v>1</v>
      </c>
      <c r="G24" s="1072" t="s">
        <v>2306</v>
      </c>
      <c r="H24" s="1073"/>
      <c r="I24" s="1074">
        <v>0</v>
      </c>
      <c r="J24" s="1074">
        <v>0.18</v>
      </c>
      <c r="K24" s="1074">
        <v>0.18</v>
      </c>
      <c r="L24" s="153" t="str">
        <f t="shared" si="0"/>
        <v>421</v>
      </c>
      <c r="M24" s="154" t="str">
        <f t="shared" si="1"/>
        <v>UNITES USAGES DET./ JANV.</v>
      </c>
      <c r="N24" s="155">
        <f>+IF(OR($Q24=Parametres!$G$2,$Q24=Parametres!$G$3),I24,C24)</f>
        <v>0</v>
      </c>
      <c r="O24" s="608">
        <f>+IF(OR($Q24=Parametres!$G$2,$Q24=Parametres!$G$3),J24,D24)</f>
        <v>0.18</v>
      </c>
      <c r="P24" s="155">
        <f>+IF(OR($Q24=Parametres!$G$2,$Q24=Parametres!$G$3),K24,E24)</f>
        <v>0.18</v>
      </c>
      <c r="Q24" s="154" t="str">
        <f t="shared" si="3"/>
        <v>1-Mémo</v>
      </c>
      <c r="R24" s="153" t="str">
        <f t="shared" si="3"/>
        <v>42</v>
      </c>
      <c r="S24" s="154">
        <f t="shared" si="3"/>
        <v>0</v>
      </c>
      <c r="T24" s="156" t="str">
        <f>+VLOOKUP($L24,Data_Validation!$A:$D,1,0)</f>
        <v>421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72" t="s">
        <v>2327</v>
      </c>
      <c r="B25" s="1072" t="s">
        <v>2328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1</v>
      </c>
      <c r="K25" s="1074">
        <v>1</v>
      </c>
      <c r="L25" s="153" t="str">
        <f t="shared" si="0"/>
        <v>500</v>
      </c>
      <c r="M25" s="154" t="str">
        <f t="shared" si="1"/>
        <v>PROPRIETAIRES</v>
      </c>
      <c r="N25" s="155">
        <f>+IF(OR($Q25=Parametres!$G$2,$Q25=Parametres!$G$3),I25,C25)</f>
        <v>0</v>
      </c>
      <c r="O25" s="608">
        <f>+IF(OR($Q25=Parametres!$G$2,$Q25=Parametres!$G$3),J25,D25)</f>
        <v>1</v>
      </c>
      <c r="P25" s="155">
        <f>+IF(OR($Q25=Parametres!$G$2,$Q25=Parametres!$G$3),K25,E25)</f>
        <v>1</v>
      </c>
      <c r="Q25" s="154" t="str">
        <f t="shared" si="3"/>
        <v>1-Mémo</v>
      </c>
      <c r="R25" s="153" t="str">
        <f t="shared" si="3"/>
        <v>50</v>
      </c>
      <c r="S25" s="154">
        <f t="shared" si="3"/>
        <v>0</v>
      </c>
      <c r="T25" s="156" t="str">
        <f>+VLOOKUP($L25,Data_Validation!$A:$D,1,0)</f>
        <v>500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72" t="s">
        <v>2329</v>
      </c>
      <c r="B26" s="1072" t="s">
        <v>1526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511</v>
      </c>
      <c r="M26" s="154" t="str">
        <f t="shared" si="1"/>
        <v>DIR. GENERAL NEUFS</v>
      </c>
      <c r="N26" s="155">
        <f>+IF(OR($Q26=Parametres!$G$2,$Q26=Parametres!$G$3),I26,C26)</f>
        <v>0</v>
      </c>
      <c r="O26" s="608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3"/>
        <v>1-Mémo</v>
      </c>
      <c r="R26" s="153" t="str">
        <f t="shared" si="3"/>
        <v>50</v>
      </c>
      <c r="S26" s="154">
        <f t="shared" si="3"/>
        <v>0</v>
      </c>
      <c r="T26" s="156" t="str">
        <f>+VLOOKUP($L26,Data_Validation!$A:$D,1,0)</f>
        <v>511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72" t="s">
        <v>2330</v>
      </c>
      <c r="B27" s="1072" t="s">
        <v>884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512</v>
      </c>
      <c r="M27" s="154" t="str">
        <f t="shared" si="1"/>
        <v>DIR. GENERAL USAGES</v>
      </c>
      <c r="N27" s="155">
        <f>+IF(OR($Q27=Parametres!$G$2,$Q27=Parametres!$G$3),I27,C27)</f>
        <v>0</v>
      </c>
      <c r="O27" s="608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3"/>
        <v>1-Mémo</v>
      </c>
      <c r="R27" s="153" t="str">
        <f t="shared" si="3"/>
        <v>50</v>
      </c>
      <c r="S27" s="154">
        <f t="shared" si="3"/>
        <v>0</v>
      </c>
      <c r="T27" s="156" t="str">
        <f>+VLOOKUP($L27,Data_Validation!$A:$D,1,0)</f>
        <v>512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072" t="s">
        <v>2331</v>
      </c>
      <c r="B28" s="1072" t="s">
        <v>2332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0.2</v>
      </c>
      <c r="K28" s="1074">
        <v>0.2</v>
      </c>
      <c r="L28" s="153" t="str">
        <f t="shared" si="0"/>
        <v>514</v>
      </c>
      <c r="M28" s="154" t="str">
        <f t="shared" si="1"/>
        <v>DIR. GENERAL SERVICE</v>
      </c>
      <c r="N28" s="155">
        <f>+IF(OR($Q28=Parametres!$G$2,$Q28=Parametres!$G$3),I28,C28)</f>
        <v>0</v>
      </c>
      <c r="O28" s="609">
        <f>+IF(OR($Q28=Parametres!$G$2,$Q28=Parametres!$G$3),J28,D28)</f>
        <v>0.2</v>
      </c>
      <c r="P28" s="155">
        <f>+IF(OR($Q28=Parametres!$G$2,$Q28=Parametres!$G$3),K28,E28)</f>
        <v>0.2</v>
      </c>
      <c r="Q28" s="154" t="str">
        <f t="shared" si="3"/>
        <v>1-Mémo</v>
      </c>
      <c r="R28" s="153" t="str">
        <f t="shared" si="3"/>
        <v>50</v>
      </c>
      <c r="S28" s="154">
        <f t="shared" si="3"/>
        <v>0</v>
      </c>
      <c r="T28" s="156" t="str">
        <f>+VLOOKUP($L28,Data_Validation!$A:$D,1,0)</f>
        <v>514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72" t="s">
        <v>2333</v>
      </c>
      <c r="B29" s="1072" t="s">
        <v>2334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0.2</v>
      </c>
      <c r="K29" s="1074">
        <v>0.2</v>
      </c>
      <c r="L29" s="153" t="str">
        <f t="shared" si="0"/>
        <v>515</v>
      </c>
      <c r="M29" s="154" t="str">
        <f t="shared" si="1"/>
        <v>DIR. GENERAL CARROSS.</v>
      </c>
      <c r="N29" s="155">
        <f>+IF(OR($Q29=Parametres!$G$2,$Q29=Parametres!$G$3),I29,C29)</f>
        <v>0</v>
      </c>
      <c r="O29" s="609">
        <f>+IF(OR($Q29=Parametres!$G$2,$Q29=Parametres!$G$3),J29,D29)</f>
        <v>0.2</v>
      </c>
      <c r="P29" s="155">
        <f>+IF(OR($Q29=Parametres!$G$2,$Q29=Parametres!$G$3),K29,E29)</f>
        <v>0.2</v>
      </c>
      <c r="Q29" s="154" t="str">
        <f t="shared" si="3"/>
        <v>1-Mémo</v>
      </c>
      <c r="R29" s="153" t="str">
        <f t="shared" si="3"/>
        <v>50</v>
      </c>
      <c r="S29" s="154">
        <f t="shared" si="3"/>
        <v>0</v>
      </c>
      <c r="T29" s="156" t="str">
        <f>+VLOOKUP($L29,Data_Validation!$A:$D,1,0)</f>
        <v>515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72" t="s">
        <v>2335</v>
      </c>
      <c r="B30" s="1072" t="s">
        <v>2336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0.2</v>
      </c>
      <c r="K30" s="1074">
        <v>0.2</v>
      </c>
      <c r="L30" s="153" t="str">
        <f t="shared" si="0"/>
        <v>517</v>
      </c>
      <c r="M30" s="154" t="str">
        <f t="shared" si="1"/>
        <v>DIR. GENERAL PIECES</v>
      </c>
      <c r="N30" s="155">
        <f>+IF(OR($Q30=Parametres!$G$2,$Q30=Parametres!$G$3),I30,C30)</f>
        <v>0</v>
      </c>
      <c r="O30" s="608">
        <f>+IF(OR($Q30=Parametres!$G$2,$Q30=Parametres!$G$3),J30,D30)</f>
        <v>0.2</v>
      </c>
      <c r="P30" s="155">
        <f>+IF(OR($Q30=Parametres!$G$2,$Q30=Parametres!$G$3),K30,E30)</f>
        <v>0.2</v>
      </c>
      <c r="Q30" s="154" t="str">
        <f t="shared" si="3"/>
        <v>1-Mémo</v>
      </c>
      <c r="R30" s="153" t="str">
        <f t="shared" si="3"/>
        <v>50</v>
      </c>
      <c r="S30" s="154">
        <f t="shared" si="3"/>
        <v>0</v>
      </c>
      <c r="T30" s="156" t="str">
        <f>+VLOOKUP($L30,Data_Validation!$A:$D,1,0)</f>
        <v>517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72" t="s">
        <v>2337</v>
      </c>
      <c r="B31" s="1072" t="s">
        <v>2338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2</v>
      </c>
      <c r="K31" s="1074">
        <v>2</v>
      </c>
      <c r="L31" s="153" t="str">
        <f t="shared" si="0"/>
        <v>521</v>
      </c>
      <c r="M31" s="154" t="str">
        <f t="shared" si="1"/>
        <v>DIR. SERVICE NEUFS</v>
      </c>
      <c r="N31" s="155">
        <f>+IF(OR($Q31=Parametres!$G$2,$Q31=Parametres!$G$3),I31,C31)</f>
        <v>0</v>
      </c>
      <c r="O31" s="155">
        <f>+IF(OR($Q31=Parametres!$G$2,$Q31=Parametres!$G$3),J31,D31)</f>
        <v>2</v>
      </c>
      <c r="P31" s="155">
        <f>+IF(OR($Q31=Parametres!$G$2,$Q31=Parametres!$G$3),K31,E31)</f>
        <v>2</v>
      </c>
      <c r="Q31" s="154" t="str">
        <f t="shared" si="3"/>
        <v>1-Mémo</v>
      </c>
      <c r="R31" s="153" t="str">
        <f t="shared" si="3"/>
        <v>50</v>
      </c>
      <c r="S31" s="154">
        <f t="shared" si="3"/>
        <v>0</v>
      </c>
      <c r="T31" s="156" t="str">
        <f>+VLOOKUP($L31,Data_Validation!$A:$D,1,0)</f>
        <v>521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72" t="s">
        <v>2339</v>
      </c>
      <c r="B32" s="1072" t="s">
        <v>2340</v>
      </c>
      <c r="C32" s="1073"/>
      <c r="D32" s="1073"/>
      <c r="E32" s="1073"/>
      <c r="F32" s="1072" t="s">
        <v>1</v>
      </c>
      <c r="G32" s="1072" t="s">
        <v>2215</v>
      </c>
      <c r="H32" s="1073"/>
      <c r="I32" s="1074">
        <v>0</v>
      </c>
      <c r="J32" s="1074">
        <v>1</v>
      </c>
      <c r="K32" s="1074">
        <v>1</v>
      </c>
      <c r="L32" s="153" t="str">
        <f t="shared" si="0"/>
        <v>522</v>
      </c>
      <c r="M32" s="154" t="str">
        <f t="shared" si="1"/>
        <v>DIR. SERVICE USAGES</v>
      </c>
      <c r="N32" s="155">
        <f>+IF(OR($Q32=Parametres!$G$2,$Q32=Parametres!$G$3),I32,C32)</f>
        <v>0</v>
      </c>
      <c r="O32" s="609">
        <f>+IF(OR($Q32=Parametres!$G$2,$Q32=Parametres!$G$3),J32,D32)</f>
        <v>1</v>
      </c>
      <c r="P32" s="155">
        <f>+IF(OR($Q32=Parametres!$G$2,$Q32=Parametres!$G$3),K32,E32)</f>
        <v>1</v>
      </c>
      <c r="Q32" s="154" t="str">
        <f t="shared" si="3"/>
        <v>1-Mémo</v>
      </c>
      <c r="R32" s="153" t="str">
        <f t="shared" si="3"/>
        <v>50</v>
      </c>
      <c r="S32" s="154">
        <f t="shared" si="3"/>
        <v>0</v>
      </c>
      <c r="T32" s="156" t="str">
        <f>+VLOOKUP($L32,Data_Validation!$A:$D,1,0)</f>
        <v>522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72" t="s">
        <v>2341</v>
      </c>
      <c r="B33" s="1072" t="s">
        <v>2342</v>
      </c>
      <c r="C33" s="1073"/>
      <c r="D33" s="1073"/>
      <c r="E33" s="1073"/>
      <c r="F33" s="1072" t="s">
        <v>1</v>
      </c>
      <c r="G33" s="1072" t="s">
        <v>2215</v>
      </c>
      <c r="H33" s="1073"/>
      <c r="I33" s="1074">
        <v>0</v>
      </c>
      <c r="J33" s="1074">
        <v>1</v>
      </c>
      <c r="K33" s="1074">
        <v>1</v>
      </c>
      <c r="L33" s="153" t="str">
        <f t="shared" si="0"/>
        <v>524</v>
      </c>
      <c r="M33" s="154" t="str">
        <f t="shared" si="1"/>
        <v>DIR. SERVICE SERVICE</v>
      </c>
      <c r="N33" s="155">
        <f>+IF(OR($Q33=Parametres!$G$2,$Q33=Parametres!$G$3),I33,C33)</f>
        <v>0</v>
      </c>
      <c r="O33" s="609">
        <f>+IF(OR($Q33=Parametres!$G$2,$Q33=Parametres!$G$3),J33,D33)</f>
        <v>1</v>
      </c>
      <c r="P33" s="155">
        <f>+IF(OR($Q33=Parametres!$G$2,$Q33=Parametres!$G$3),K33,E33)</f>
        <v>1</v>
      </c>
      <c r="Q33" s="154" t="str">
        <f t="shared" si="3"/>
        <v>1-Mémo</v>
      </c>
      <c r="R33" s="153" t="str">
        <f t="shared" si="3"/>
        <v>50</v>
      </c>
      <c r="S33" s="154">
        <f t="shared" si="3"/>
        <v>0</v>
      </c>
      <c r="T33" s="156" t="str">
        <f>+VLOOKUP($L33,Data_Validation!$A:$D,1,0)</f>
        <v>524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072" t="s">
        <v>2343</v>
      </c>
      <c r="B34" s="1072" t="s">
        <v>2344</v>
      </c>
      <c r="C34" s="1073"/>
      <c r="D34" s="1073"/>
      <c r="E34" s="1073"/>
      <c r="F34" s="1072" t="s">
        <v>1</v>
      </c>
      <c r="G34" s="1072" t="s">
        <v>2215</v>
      </c>
      <c r="H34" s="1073"/>
      <c r="I34" s="1074">
        <v>0</v>
      </c>
      <c r="J34" s="1074">
        <v>1</v>
      </c>
      <c r="K34" s="1074">
        <v>1</v>
      </c>
      <c r="L34" s="153" t="str">
        <f t="shared" si="0"/>
        <v>527</v>
      </c>
      <c r="M34" s="154" t="str">
        <f t="shared" si="1"/>
        <v>DIR. SERVICE PIECES</v>
      </c>
      <c r="N34" s="155">
        <f>+IF(OR($Q34=Parametres!$G$2,$Q34=Parametres!$G$3),I34,C34)</f>
        <v>0</v>
      </c>
      <c r="O34" s="608">
        <f>+IF(OR($Q34=Parametres!$G$2,$Q34=Parametres!$G$3),J34,D34)</f>
        <v>1</v>
      </c>
      <c r="P34" s="155">
        <f>+IF(OR($Q34=Parametres!$G$2,$Q34=Parametres!$G$3),K34,E34)</f>
        <v>1</v>
      </c>
      <c r="Q34" s="154" t="str">
        <f t="shared" ref="Q34:S49" si="4">+F34</f>
        <v>1-Mémo</v>
      </c>
      <c r="R34" s="153" t="str">
        <f t="shared" si="4"/>
        <v>50</v>
      </c>
      <c r="S34" s="154">
        <f t="shared" si="4"/>
        <v>0</v>
      </c>
      <c r="T34" s="156" t="str">
        <f>+VLOOKUP($L34,Data_Validation!$A:$D,1,0)</f>
        <v>527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072" t="s">
        <v>2345</v>
      </c>
      <c r="B35" s="1072" t="s">
        <v>2346</v>
      </c>
      <c r="C35" s="1073"/>
      <c r="D35" s="1073"/>
      <c r="E35" s="1073"/>
      <c r="F35" s="1072" t="s">
        <v>1</v>
      </c>
      <c r="G35" s="1072" t="s">
        <v>2347</v>
      </c>
      <c r="H35" s="1073"/>
      <c r="I35" s="1074">
        <v>0</v>
      </c>
      <c r="J35" s="1074">
        <v>8</v>
      </c>
      <c r="K35" s="1074">
        <v>8</v>
      </c>
      <c r="L35" s="153" t="str">
        <f t="shared" si="0"/>
        <v>541</v>
      </c>
      <c r="M35" s="154" t="str">
        <f t="shared" si="1"/>
        <v>VW REP. DES VENTES - NEUF</v>
      </c>
      <c r="N35" s="155">
        <f>+IF(OR($Q35=Parametres!$G$2,$Q35=Parametres!$G$3),I35,C35)</f>
        <v>0</v>
      </c>
      <c r="O35" s="155">
        <f>+IF(OR($Q35=Parametres!$G$2,$Q35=Parametres!$G$3),J35,D35)</f>
        <v>8</v>
      </c>
      <c r="P35" s="155">
        <f>+IF(OR($Q35=Parametres!$G$2,$Q35=Parametres!$G$3),K35,E35)</f>
        <v>8</v>
      </c>
      <c r="Q35" s="154" t="str">
        <f t="shared" si="4"/>
        <v>1-Mémo</v>
      </c>
      <c r="R35" s="153" t="str">
        <f t="shared" si="4"/>
        <v>54</v>
      </c>
      <c r="S35" s="154">
        <f t="shared" si="4"/>
        <v>0</v>
      </c>
      <c r="T35" s="156" t="str">
        <f>+VLOOKUP($L35,Data_Validation!$A:$D,1,0)</f>
        <v>541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072" t="s">
        <v>2348</v>
      </c>
      <c r="B36" s="1072" t="s">
        <v>2349</v>
      </c>
      <c r="C36" s="1073"/>
      <c r="D36" s="1073"/>
      <c r="E36" s="1073"/>
      <c r="F36" s="1072" t="s">
        <v>1</v>
      </c>
      <c r="G36" s="1072" t="s">
        <v>2215</v>
      </c>
      <c r="H36" s="1073"/>
      <c r="I36" s="1074">
        <v>0</v>
      </c>
      <c r="J36" s="1074">
        <v>3</v>
      </c>
      <c r="K36" s="1074">
        <v>3</v>
      </c>
      <c r="L36" s="153" t="str">
        <f t="shared" si="0"/>
        <v>542</v>
      </c>
      <c r="M36" s="154" t="str">
        <f t="shared" si="1"/>
        <v>VW REP. DES VENTES - OCC.</v>
      </c>
      <c r="N36" s="155">
        <f>+IF(OR($Q36=Parametres!$G$2,$Q36=Parametres!$G$3),I36,C36)</f>
        <v>0</v>
      </c>
      <c r="O36" s="608">
        <f>+IF(OR($Q36=Parametres!$G$2,$Q36=Parametres!$G$3),J36,D36)</f>
        <v>3</v>
      </c>
      <c r="P36" s="155">
        <f>+IF(OR($Q36=Parametres!$G$2,$Q36=Parametres!$G$3),K36,E36)</f>
        <v>3</v>
      </c>
      <c r="Q36" s="154" t="str">
        <f t="shared" si="4"/>
        <v>1-Mémo</v>
      </c>
      <c r="R36" s="153" t="str">
        <f t="shared" si="4"/>
        <v>50</v>
      </c>
      <c r="S36" s="154">
        <f t="shared" si="4"/>
        <v>0</v>
      </c>
      <c r="T36" s="156" t="str">
        <f>+VLOOKUP($L36,Data_Validation!$A:$D,1,0)</f>
        <v>542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072" t="s">
        <v>2350</v>
      </c>
      <c r="B37" s="1072" t="s">
        <v>2351</v>
      </c>
      <c r="C37" s="1073"/>
      <c r="D37" s="1073"/>
      <c r="E37" s="1073"/>
      <c r="F37" s="1072" t="s">
        <v>1</v>
      </c>
      <c r="G37" s="1072" t="s">
        <v>2215</v>
      </c>
      <c r="H37" s="1073"/>
      <c r="I37" s="1074">
        <v>0</v>
      </c>
      <c r="J37" s="1074">
        <v>1.5</v>
      </c>
      <c r="K37" s="1074">
        <v>1.5</v>
      </c>
      <c r="L37" s="153" t="str">
        <f t="shared" si="0"/>
        <v>551</v>
      </c>
      <c r="M37" s="154" t="str">
        <f t="shared" si="1"/>
        <v>DIR. COMMERCIAL NEUFS</v>
      </c>
      <c r="N37" s="155">
        <f>+IF(OR($Q37=Parametres!$G$2,$Q37=Parametres!$G$3),I37,C37)</f>
        <v>0</v>
      </c>
      <c r="O37" s="155">
        <f>+IF(OR($Q37=Parametres!$G$2,$Q37=Parametres!$G$3),J37,D37)</f>
        <v>1.5</v>
      </c>
      <c r="P37" s="155">
        <f>+IF(OR($Q37=Parametres!$G$2,$Q37=Parametres!$G$3),K37,E37)</f>
        <v>1.5</v>
      </c>
      <c r="Q37" s="154" t="str">
        <f t="shared" si="4"/>
        <v>1-Mémo</v>
      </c>
      <c r="R37" s="153" t="str">
        <f t="shared" si="4"/>
        <v>50</v>
      </c>
      <c r="S37" s="154">
        <f t="shared" si="4"/>
        <v>0</v>
      </c>
      <c r="T37" s="156" t="str">
        <f>+VLOOKUP($L37,Data_Validation!$A:$D,1,0)</f>
        <v>551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072" t="s">
        <v>2352</v>
      </c>
      <c r="B38" s="1072" t="s">
        <v>2353</v>
      </c>
      <c r="C38" s="1073"/>
      <c r="D38" s="1073"/>
      <c r="E38" s="1073"/>
      <c r="F38" s="1072" t="s">
        <v>1</v>
      </c>
      <c r="G38" s="1072" t="s">
        <v>2215</v>
      </c>
      <c r="H38" s="1073"/>
      <c r="I38" s="1074">
        <v>0</v>
      </c>
      <c r="J38" s="1074">
        <v>1.5</v>
      </c>
      <c r="K38" s="1074">
        <v>1.5</v>
      </c>
      <c r="L38" s="153" t="str">
        <f t="shared" si="0"/>
        <v>552</v>
      </c>
      <c r="M38" s="154" t="str">
        <f t="shared" si="1"/>
        <v>DIR. COMMERCIAL USAGES</v>
      </c>
      <c r="N38" s="155">
        <f>+IF(OR($Q38=Parametres!$G$2,$Q38=Parametres!$G$3),I38,C38)</f>
        <v>0</v>
      </c>
      <c r="O38" s="608">
        <f>+IF(OR($Q38=Parametres!$G$2,$Q38=Parametres!$G$3),J38,D38)</f>
        <v>1.5</v>
      </c>
      <c r="P38" s="155">
        <f>+IF(OR($Q38=Parametres!$G$2,$Q38=Parametres!$G$3),K38,E38)</f>
        <v>1.5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552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hidden="1" customHeight="1">
      <c r="A39" s="1072" t="s">
        <v>2354</v>
      </c>
      <c r="B39" s="1072" t="s">
        <v>2355</v>
      </c>
      <c r="C39" s="1073"/>
      <c r="D39" s="1073"/>
      <c r="E39" s="1073"/>
      <c r="F39" s="1072" t="s">
        <v>1</v>
      </c>
      <c r="G39" s="1072" t="s">
        <v>2356</v>
      </c>
      <c r="H39" s="1073"/>
      <c r="I39" s="1074">
        <v>0</v>
      </c>
      <c r="J39" s="1074">
        <v>4</v>
      </c>
      <c r="K39" s="1074">
        <v>4</v>
      </c>
      <c r="L39" s="153" t="str">
        <f t="shared" si="0"/>
        <v>614</v>
      </c>
      <c r="M39" s="154" t="str">
        <f t="shared" si="1"/>
        <v>VW CONSEILLERS SERVICE -SERVICE</v>
      </c>
      <c r="N39" s="155">
        <f>+IF(OR($Q39=Parametres!$G$2,$Q39=Parametres!$G$3),I39,C39)</f>
        <v>0</v>
      </c>
      <c r="O39" s="610">
        <f>+IF(OR($Q39=Parametres!$G$2,$Q39=Parametres!$G$3),J39,D39)</f>
        <v>4</v>
      </c>
      <c r="P39" s="155">
        <f>+IF(OR($Q39=Parametres!$G$2,$Q39=Parametres!$G$3),K39,E39)</f>
        <v>4</v>
      </c>
      <c r="Q39" s="154" t="str">
        <f t="shared" si="4"/>
        <v>1-Mémo</v>
      </c>
      <c r="R39" s="153" t="str">
        <f t="shared" si="4"/>
        <v>61</v>
      </c>
      <c r="S39" s="154">
        <f t="shared" si="4"/>
        <v>0</v>
      </c>
      <c r="T39" s="156" t="str">
        <f>+VLOOKUP($L39,Data_Validation!$A:$D,1,0)</f>
        <v>614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hidden="1" customHeight="1">
      <c r="A40" s="1072" t="s">
        <v>2357</v>
      </c>
      <c r="B40" s="1072" t="s">
        <v>2358</v>
      </c>
      <c r="C40" s="1073"/>
      <c r="D40" s="1073"/>
      <c r="E40" s="1073"/>
      <c r="F40" s="1072" t="s">
        <v>1</v>
      </c>
      <c r="G40" s="1072" t="s">
        <v>2356</v>
      </c>
      <c r="H40" s="1073"/>
      <c r="I40" s="1074">
        <v>0</v>
      </c>
      <c r="J40" s="1074">
        <v>3</v>
      </c>
      <c r="K40" s="1074">
        <v>3</v>
      </c>
      <c r="L40" s="153" t="str">
        <f t="shared" si="0"/>
        <v>615</v>
      </c>
      <c r="M40" s="154" t="str">
        <f t="shared" si="1"/>
        <v>VW CONSEILLERS SERVICE - PIEC. &amp; CARR.&lt;</v>
      </c>
      <c r="N40" s="155">
        <f>+IF(OR($Q40=Parametres!$G$2,$Q40=Parametres!$G$3),I40,C40)</f>
        <v>0</v>
      </c>
      <c r="O40" s="609">
        <f>+IF(OR($Q40=Parametres!$G$2,$Q40=Parametres!$G$3),J40,D40)</f>
        <v>3</v>
      </c>
      <c r="P40" s="155">
        <f>+IF(OR($Q40=Parametres!$G$2,$Q40=Parametres!$G$3),K40,E40)</f>
        <v>3</v>
      </c>
      <c r="Q40" s="154" t="str">
        <f t="shared" si="4"/>
        <v>1-Mémo</v>
      </c>
      <c r="R40" s="153" t="str">
        <f t="shared" si="4"/>
        <v>61</v>
      </c>
      <c r="S40" s="154">
        <f t="shared" si="4"/>
        <v>0</v>
      </c>
      <c r="T40" s="156" t="str">
        <f>+VLOOKUP($L40,Data_Validation!$A:$D,1,0)</f>
        <v>615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hidden="1" customHeight="1">
      <c r="A41" s="1072" t="s">
        <v>2359</v>
      </c>
      <c r="B41" s="1072" t="s">
        <v>2360</v>
      </c>
      <c r="C41" s="1073"/>
      <c r="D41" s="1073"/>
      <c r="E41" s="1073"/>
      <c r="F41" s="1072" t="s">
        <v>1</v>
      </c>
      <c r="G41" s="1072" t="s">
        <v>2215</v>
      </c>
      <c r="H41" s="1073"/>
      <c r="I41" s="1074">
        <v>0</v>
      </c>
      <c r="J41" s="1074">
        <v>1</v>
      </c>
      <c r="K41" s="1074">
        <v>1</v>
      </c>
      <c r="L41" s="153" t="str">
        <f t="shared" si="0"/>
        <v>621</v>
      </c>
      <c r="M41" s="154" t="str">
        <f t="shared" si="1"/>
        <v>LAVEURS NEUFS</v>
      </c>
      <c r="N41" s="155">
        <f>+IF(OR($Q41=Parametres!$G$2,$Q41=Parametres!$G$3),I41,C41)</f>
        <v>0</v>
      </c>
      <c r="O41" s="608">
        <f>+IF(OR($Q41=Parametres!$G$2,$Q41=Parametres!$G$3),J41,D41)</f>
        <v>1</v>
      </c>
      <c r="P41" s="155">
        <f>+IF(OR($Q41=Parametres!$G$2,$Q41=Parametres!$G$3),K41,E41)</f>
        <v>1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621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hidden="1" customHeight="1">
      <c r="A42" s="1072" t="s">
        <v>2361</v>
      </c>
      <c r="B42" s="1072" t="s">
        <v>2362</v>
      </c>
      <c r="C42" s="1073"/>
      <c r="D42" s="1073"/>
      <c r="E42" s="1073"/>
      <c r="F42" s="1072" t="s">
        <v>1</v>
      </c>
      <c r="G42" s="1072" t="s">
        <v>2215</v>
      </c>
      <c r="H42" s="1073"/>
      <c r="I42" s="1074">
        <v>0</v>
      </c>
      <c r="J42" s="1074">
        <v>1</v>
      </c>
      <c r="K42" s="1074">
        <v>1</v>
      </c>
      <c r="L42" s="153" t="str">
        <f t="shared" si="0"/>
        <v>622</v>
      </c>
      <c r="M42" s="154" t="str">
        <f t="shared" si="1"/>
        <v>LAVEURS USAGES</v>
      </c>
      <c r="N42" s="155">
        <f>+IF(OR($Q42=Parametres!$G$2,$Q42=Parametres!$G$3),I42,C42)</f>
        <v>0</v>
      </c>
      <c r="O42" s="609">
        <f>+IF(OR($Q42=Parametres!$G$2,$Q42=Parametres!$G$3),J42,D42)</f>
        <v>1</v>
      </c>
      <c r="P42" s="155">
        <f>+IF(OR($Q42=Parametres!$G$2,$Q42=Parametres!$G$3),K42,E42)</f>
        <v>1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622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hidden="1" customHeight="1">
      <c r="A43" s="1072" t="s">
        <v>2363</v>
      </c>
      <c r="B43" s="1072" t="s">
        <v>2364</v>
      </c>
      <c r="C43" s="1073"/>
      <c r="D43" s="1073"/>
      <c r="E43" s="1073"/>
      <c r="F43" s="1072" t="s">
        <v>1</v>
      </c>
      <c r="G43" s="1072" t="s">
        <v>2215</v>
      </c>
      <c r="H43" s="1073"/>
      <c r="I43" s="1074">
        <v>0</v>
      </c>
      <c r="J43" s="1074">
        <v>3</v>
      </c>
      <c r="K43" s="1074">
        <v>3</v>
      </c>
      <c r="L43" s="153" t="str">
        <f t="shared" si="0"/>
        <v>624</v>
      </c>
      <c r="M43" s="154" t="str">
        <f t="shared" si="1"/>
        <v>LAVEURS SERVICE</v>
      </c>
      <c r="N43" s="155">
        <f>+IF(OR($Q43=Parametres!$G$2,$Q43=Parametres!$G$3),I43,C43)</f>
        <v>0</v>
      </c>
      <c r="O43" s="609">
        <f>+IF(OR($Q43=Parametres!$G$2,$Q43=Parametres!$G$3),J43,D43)</f>
        <v>3</v>
      </c>
      <c r="P43" s="155">
        <f>+IF(OR($Q43=Parametres!$G$2,$Q43=Parametres!$G$3),K43,E43)</f>
        <v>3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624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hidden="1" customHeight="1">
      <c r="A44" s="1072" t="s">
        <v>2365</v>
      </c>
      <c r="B44" s="1072" t="s">
        <v>2366</v>
      </c>
      <c r="C44" s="1073"/>
      <c r="D44" s="1073"/>
      <c r="E44" s="1073"/>
      <c r="F44" s="1072" t="s">
        <v>1</v>
      </c>
      <c r="G44" s="1072" t="s">
        <v>2367</v>
      </c>
      <c r="H44" s="1073"/>
      <c r="I44" s="1074">
        <v>0</v>
      </c>
      <c r="J44" s="1074">
        <v>13</v>
      </c>
      <c r="K44" s="1074">
        <v>13</v>
      </c>
      <c r="L44" s="153" t="str">
        <f t="shared" si="0"/>
        <v>644</v>
      </c>
      <c r="M44" s="154" t="str">
        <f t="shared" si="1"/>
        <v>VW TECHNICIENS - SERVICE</v>
      </c>
      <c r="N44" s="155">
        <f>+IF(OR($Q44=Parametres!$G$2,$Q44=Parametres!$G$3),I44,C44)</f>
        <v>0</v>
      </c>
      <c r="O44" s="609">
        <f>+IF(OR($Q44=Parametres!$G$2,$Q44=Parametres!$G$3),J44,D44)</f>
        <v>13</v>
      </c>
      <c r="P44" s="155">
        <f>+IF(OR($Q44=Parametres!$G$2,$Q44=Parametres!$G$3),K44,E44)</f>
        <v>13</v>
      </c>
      <c r="Q44" s="154" t="str">
        <f t="shared" si="4"/>
        <v>1-Mémo</v>
      </c>
      <c r="R44" s="153" t="str">
        <f t="shared" si="4"/>
        <v>64</v>
      </c>
      <c r="S44" s="154">
        <f t="shared" si="4"/>
        <v>0</v>
      </c>
      <c r="T44" s="156" t="str">
        <f>+VLOOKUP($L44,Data_Validation!$A:$D,1,0)</f>
        <v>644</v>
      </c>
      <c r="U44" s="156">
        <f>+VLOOKUP($L44,Data_Validation!$A:$D,3,0)</f>
        <v>0</v>
      </c>
      <c r="V44" s="156">
        <f>+VLOOKUP($L44,Data_Validation!$A:$D,4,0)</f>
        <v>0</v>
      </c>
      <c r="W44" s="156">
        <f>+VLOOKUP($L44,Data_Validation!$A:$E,5,0)</f>
        <v>0</v>
      </c>
      <c r="X44" s="156">
        <f>+VLOOKUP($L44,Data_Validation!$A:$F,6,0)</f>
        <v>0</v>
      </c>
    </row>
    <row r="45" spans="1:24" ht="15" hidden="1" customHeight="1">
      <c r="A45" s="1072" t="s">
        <v>2368</v>
      </c>
      <c r="B45" s="1072" t="s">
        <v>2369</v>
      </c>
      <c r="C45" s="1073"/>
      <c r="D45" s="1073"/>
      <c r="E45" s="1073"/>
      <c r="F45" s="1072" t="s">
        <v>1</v>
      </c>
      <c r="G45" s="1072" t="s">
        <v>2215</v>
      </c>
      <c r="H45" s="1073"/>
      <c r="I45" s="1074">
        <v>0</v>
      </c>
      <c r="J45" s="1074">
        <v>0.2</v>
      </c>
      <c r="K45" s="1074">
        <v>0.2</v>
      </c>
      <c r="L45" s="153" t="str">
        <f t="shared" si="0"/>
        <v>651</v>
      </c>
      <c r="M45" s="154" t="str">
        <f t="shared" si="1"/>
        <v>DIR. ADMINIS. NEUFS</v>
      </c>
      <c r="N45" s="155">
        <f>+IF(OR($Q45=Parametres!$G$2,$Q45=Parametres!$G$3),I45,C45)</f>
        <v>0</v>
      </c>
      <c r="O45" s="609">
        <f>+IF(OR($Q45=Parametres!$G$2,$Q45=Parametres!$G$3),J45,D45)</f>
        <v>0.2</v>
      </c>
      <c r="P45" s="155">
        <f>+IF(OR($Q45=Parametres!$G$2,$Q45=Parametres!$G$3),K45,E45)</f>
        <v>0.2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651</v>
      </c>
      <c r="U45" s="156">
        <f>+VLOOKUP($L45,Data_Validation!$A:$D,3,0)</f>
        <v>0</v>
      </c>
      <c r="V45" s="156">
        <f>+VLOOKUP($L45,Data_Validation!$A:$D,4,0)</f>
        <v>0</v>
      </c>
      <c r="W45" s="156">
        <f>+VLOOKUP($L45,Data_Validation!$A:$E,5,0)</f>
        <v>0</v>
      </c>
      <c r="X45" s="156">
        <f>+VLOOKUP($L45,Data_Validation!$A:$F,6,0)</f>
        <v>0</v>
      </c>
    </row>
    <row r="46" spans="1:24" ht="15" hidden="1" customHeight="1">
      <c r="A46" s="1072" t="s">
        <v>2370</v>
      </c>
      <c r="B46" s="1072" t="s">
        <v>2371</v>
      </c>
      <c r="C46" s="1073"/>
      <c r="D46" s="1073"/>
      <c r="E46" s="1073"/>
      <c r="F46" s="1072" t="s">
        <v>1</v>
      </c>
      <c r="G46" s="1072" t="s">
        <v>2215</v>
      </c>
      <c r="H46" s="1073"/>
      <c r="I46" s="1074">
        <v>0</v>
      </c>
      <c r="J46" s="1074">
        <v>0.2</v>
      </c>
      <c r="K46" s="1074">
        <v>0.2</v>
      </c>
      <c r="L46" s="153" t="str">
        <f t="shared" si="0"/>
        <v>652</v>
      </c>
      <c r="M46" s="154" t="str">
        <f t="shared" si="1"/>
        <v>DIR. ADMINIS. USAGES</v>
      </c>
      <c r="N46" s="155">
        <f>+IF(OR($Q46=Parametres!$G$2,$Q46=Parametres!$G$3),I46,C46)</f>
        <v>0</v>
      </c>
      <c r="O46" s="609">
        <f>+IF(OR($Q46=Parametres!$G$2,$Q46=Parametres!$G$3),J46,D46)</f>
        <v>0.2</v>
      </c>
      <c r="P46" s="155">
        <f>+IF(OR($Q46=Parametres!$G$2,$Q46=Parametres!$G$3),K46,E46)</f>
        <v>0.2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652</v>
      </c>
      <c r="U46" s="156">
        <f>+VLOOKUP($L46,Data_Validation!$A:$D,3,0)</f>
        <v>0</v>
      </c>
      <c r="V46" s="156">
        <f>+VLOOKUP($L46,Data_Validation!$A:$D,4,0)</f>
        <v>0</v>
      </c>
      <c r="W46" s="156">
        <f>+VLOOKUP($L46,Data_Validation!$A:$E,5,0)</f>
        <v>0</v>
      </c>
      <c r="X46" s="156">
        <f>+VLOOKUP($L46,Data_Validation!$A:$F,6,0)</f>
        <v>0</v>
      </c>
    </row>
    <row r="47" spans="1:24" ht="15" hidden="1" customHeight="1">
      <c r="A47" s="1072" t="s">
        <v>2372</v>
      </c>
      <c r="B47" s="1072" t="s">
        <v>2373</v>
      </c>
      <c r="C47" s="1073"/>
      <c r="D47" s="1073"/>
      <c r="E47" s="1073"/>
      <c r="F47" s="1072" t="s">
        <v>1</v>
      </c>
      <c r="G47" s="1072" t="s">
        <v>2215</v>
      </c>
      <c r="H47" s="1073"/>
      <c r="I47" s="1074">
        <v>0</v>
      </c>
      <c r="J47" s="1074">
        <v>0.2</v>
      </c>
      <c r="K47" s="1074">
        <v>0.2</v>
      </c>
      <c r="L47" s="153" t="str">
        <f t="shared" si="0"/>
        <v>654</v>
      </c>
      <c r="M47" s="154" t="str">
        <f t="shared" si="1"/>
        <v>DIR. ADMINIS. SERVICE</v>
      </c>
      <c r="N47" s="155">
        <f>+IF(OR($Q47=Parametres!$G$2,$Q47=Parametres!$G$3),I47,C47)</f>
        <v>0</v>
      </c>
      <c r="O47" s="155">
        <f>+IF(OR($Q47=Parametres!$G$2,$Q47=Parametres!$G$3),J47,D47)</f>
        <v>0.2</v>
      </c>
      <c r="P47" s="155">
        <f>+IF(OR($Q47=Parametres!$G$2,$Q47=Parametres!$G$3),K47,E47)</f>
        <v>0.2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654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72" t="s">
        <v>2374</v>
      </c>
      <c r="B48" s="1072" t="s">
        <v>2375</v>
      </c>
      <c r="C48" s="1073"/>
      <c r="D48" s="1073"/>
      <c r="E48" s="1073"/>
      <c r="F48" s="1072" t="s">
        <v>1</v>
      </c>
      <c r="G48" s="1072" t="s">
        <v>2215</v>
      </c>
      <c r="H48" s="1073"/>
      <c r="I48" s="1074">
        <v>0</v>
      </c>
      <c r="J48" s="1074">
        <v>0.2</v>
      </c>
      <c r="K48" s="1074">
        <v>0.2</v>
      </c>
      <c r="L48" s="153" t="str">
        <f t="shared" si="0"/>
        <v>655</v>
      </c>
      <c r="M48" s="154" t="str">
        <f t="shared" si="1"/>
        <v>DIR. ADMINIS. CARROSS.</v>
      </c>
      <c r="N48" s="155">
        <f>+IF(OR($Q48=Parametres!$G$2,$Q48=Parametres!$G$3),I48,C48)</f>
        <v>0</v>
      </c>
      <c r="O48" s="155">
        <f>+IF(OR($Q48=Parametres!$G$2,$Q48=Parametres!$G$3),J48,D48)</f>
        <v>0.2</v>
      </c>
      <c r="P48" s="155">
        <f>+IF(OR($Q48=Parametres!$G$2,$Q48=Parametres!$G$3),K48,E48)</f>
        <v>0.2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655</v>
      </c>
      <c r="U48" s="156">
        <f>+VLOOKUP($L48,Data_Validation!$A:$D,3,0)</f>
        <v>0</v>
      </c>
      <c r="V48" s="156">
        <f>+VLOOKUP($L48,Data_Validation!$A:$D,4,0)</f>
        <v>0</v>
      </c>
      <c r="W48" s="156">
        <f>+VLOOKUP($L48,Data_Validation!$A:$E,5,0)</f>
        <v>0</v>
      </c>
      <c r="X48" s="156">
        <f>+VLOOKUP($L48,Data_Validation!$A:$F,6,0)</f>
        <v>0</v>
      </c>
    </row>
    <row r="49" spans="1:24" ht="15" hidden="1" customHeight="1">
      <c r="A49" s="1072" t="s">
        <v>2376</v>
      </c>
      <c r="B49" s="1072" t="s">
        <v>2377</v>
      </c>
      <c r="C49" s="1073"/>
      <c r="D49" s="1073"/>
      <c r="E49" s="1073"/>
      <c r="F49" s="1072" t="s">
        <v>1</v>
      </c>
      <c r="G49" s="1072" t="s">
        <v>2215</v>
      </c>
      <c r="H49" s="1073"/>
      <c r="I49" s="1074">
        <v>0</v>
      </c>
      <c r="J49" s="1074">
        <v>0.2</v>
      </c>
      <c r="K49" s="1074">
        <v>0.2</v>
      </c>
      <c r="L49" s="153" t="str">
        <f t="shared" si="0"/>
        <v>657</v>
      </c>
      <c r="M49" s="154" t="str">
        <f t="shared" si="1"/>
        <v>DIR. ADMINIS. PIECES</v>
      </c>
      <c r="N49" s="155">
        <f>+IF(OR($Q49=Parametres!$G$2,$Q49=Parametres!$G$3),I49,C49)</f>
        <v>0</v>
      </c>
      <c r="O49" s="608">
        <f>+IF(OR($Q49=Parametres!$G$2,$Q49=Parametres!$G$3),J49,D49)</f>
        <v>0.2</v>
      </c>
      <c r="P49" s="155">
        <f>+IF(OR($Q49=Parametres!$G$2,$Q49=Parametres!$G$3),K49,E49)</f>
        <v>0.2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657</v>
      </c>
      <c r="U49" s="156" t="str">
        <f>+VLOOKUP($L49,Data_Validation!$A:$D,3,0)</f>
        <v>Carrosserie</v>
      </c>
      <c r="V49" s="156" t="str">
        <f>+VLOOKUP($L49,Data_Validation!$A:$D,4,0)</f>
        <v>Réparation équipement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72" t="s">
        <v>2378</v>
      </c>
      <c r="B50" s="1072" t="s">
        <v>2379</v>
      </c>
      <c r="C50" s="1073"/>
      <c r="D50" s="1073"/>
      <c r="E50" s="1073"/>
      <c r="F50" s="1072" t="s">
        <v>1</v>
      </c>
      <c r="G50" s="1072" t="s">
        <v>2215</v>
      </c>
      <c r="H50" s="1073"/>
      <c r="I50" s="1074">
        <v>0</v>
      </c>
      <c r="J50" s="1074">
        <v>1</v>
      </c>
      <c r="K50" s="1074">
        <v>1</v>
      </c>
      <c r="L50" s="153" t="str">
        <f t="shared" si="0"/>
        <v>661</v>
      </c>
      <c r="M50" s="154" t="str">
        <f t="shared" si="1"/>
        <v>PERSONELS CLER. NEUFS</v>
      </c>
      <c r="N50" s="155">
        <f>+IF(OR($Q50=Parametres!$G$2,$Q50=Parametres!$G$3),I50,C50)</f>
        <v>0</v>
      </c>
      <c r="O50" s="609">
        <f>+IF(OR($Q50=Parametres!$G$2,$Q50=Parametres!$G$3),J50,D50)</f>
        <v>1</v>
      </c>
      <c r="P50" s="155">
        <f>+IF(OR($Q50=Parametres!$G$2,$Q50=Parametres!$G$3),K50,E50)</f>
        <v>1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661</v>
      </c>
      <c r="U50" s="156">
        <f>+VLOOKUP($L50,Data_Validation!$A:$D,3,0)</f>
        <v>0</v>
      </c>
      <c r="V50" s="156">
        <f>+VLOOKUP($L50,Data_Validation!$A:$D,4,0)</f>
        <v>0</v>
      </c>
      <c r="W50" s="156">
        <f>+VLOOKUP($L50,Data_Validation!$A:$E,5,0)</f>
        <v>0</v>
      </c>
      <c r="X50" s="156">
        <f>+VLOOKUP($L50,Data_Validation!$A:$F,6,0)</f>
        <v>0</v>
      </c>
    </row>
    <row r="51" spans="1:24" ht="15" hidden="1" customHeight="1">
      <c r="A51" s="1072" t="s">
        <v>2380</v>
      </c>
      <c r="B51" s="1072" t="s">
        <v>2381</v>
      </c>
      <c r="C51" s="1073"/>
      <c r="D51" s="1073"/>
      <c r="E51" s="1073"/>
      <c r="F51" s="1072" t="s">
        <v>1</v>
      </c>
      <c r="G51" s="1072" t="s">
        <v>2215</v>
      </c>
      <c r="H51" s="1073"/>
      <c r="I51" s="1074">
        <v>0</v>
      </c>
      <c r="J51" s="1074">
        <v>1</v>
      </c>
      <c r="K51" s="1074">
        <v>1</v>
      </c>
      <c r="L51" s="153" t="str">
        <f t="shared" si="0"/>
        <v>662</v>
      </c>
      <c r="M51" s="154" t="str">
        <f t="shared" si="1"/>
        <v>PERSONELS CLER. USAGES</v>
      </c>
      <c r="N51" s="155">
        <f>+IF(OR($Q51=Parametres!$G$2,$Q51=Parametres!$G$3),I51,C51)</f>
        <v>0</v>
      </c>
      <c r="O51" s="609">
        <f>+IF(OR($Q51=Parametres!$G$2,$Q51=Parametres!$G$3),J51,D51)</f>
        <v>1</v>
      </c>
      <c r="P51" s="155">
        <f>+IF(OR($Q51=Parametres!$G$2,$Q51=Parametres!$G$3),K51,E51)</f>
        <v>1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662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hidden="1" customHeight="1">
      <c r="A52" s="1072" t="s">
        <v>2382</v>
      </c>
      <c r="B52" s="1072" t="s">
        <v>2383</v>
      </c>
      <c r="C52" s="1073"/>
      <c r="D52" s="1073"/>
      <c r="E52" s="1073"/>
      <c r="F52" s="1072" t="s">
        <v>1</v>
      </c>
      <c r="G52" s="1072" t="s">
        <v>2215</v>
      </c>
      <c r="H52" s="1073"/>
      <c r="I52" s="1074">
        <v>0</v>
      </c>
      <c r="J52" s="1074">
        <v>1</v>
      </c>
      <c r="K52" s="1074">
        <v>1</v>
      </c>
      <c r="L52" s="153" t="str">
        <f t="shared" si="0"/>
        <v>664</v>
      </c>
      <c r="M52" s="154" t="str">
        <f t="shared" si="1"/>
        <v>PERSONELS CLER. SERVICE</v>
      </c>
      <c r="N52" s="155">
        <f>+IF(OR($Q52=Parametres!$G$2,$Q52=Parametres!$G$3),I52,C52)</f>
        <v>0</v>
      </c>
      <c r="O52" s="155">
        <f>+IF(OR($Q52=Parametres!$G$2,$Q52=Parametres!$G$3),J52,D52)</f>
        <v>1</v>
      </c>
      <c r="P52" s="155">
        <f>+IF(OR($Q52=Parametres!$G$2,$Q52=Parametres!$G$3),K52,E52)</f>
        <v>1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664</v>
      </c>
      <c r="U52" s="156">
        <f>+VLOOKUP($L52,Data_Validation!$A:$D,3,0)</f>
        <v>0</v>
      </c>
      <c r="V52" s="156">
        <f>+VLOOKUP($L52,Data_Validation!$A:$D,4,0)</f>
        <v>0</v>
      </c>
      <c r="W52" s="156">
        <f>+VLOOKUP($L52,Data_Validation!$A:$E,5,0)</f>
        <v>0</v>
      </c>
      <c r="X52" s="156">
        <f>+VLOOKUP($L52,Data_Validation!$A:$F,6,0)</f>
        <v>0</v>
      </c>
    </row>
    <row r="53" spans="1:24" ht="15" hidden="1" customHeight="1">
      <c r="A53" s="1072" t="s">
        <v>2384</v>
      </c>
      <c r="B53" s="1072" t="s">
        <v>2385</v>
      </c>
      <c r="C53" s="1073"/>
      <c r="D53" s="1073"/>
      <c r="E53" s="1073"/>
      <c r="F53" s="1072" t="s">
        <v>1</v>
      </c>
      <c r="G53" s="1072" t="s">
        <v>2215</v>
      </c>
      <c r="H53" s="1073"/>
      <c r="I53" s="1074">
        <v>0</v>
      </c>
      <c r="J53" s="1074">
        <v>1</v>
      </c>
      <c r="K53" s="1074">
        <v>1</v>
      </c>
      <c r="L53" s="153" t="str">
        <f t="shared" si="0"/>
        <v>667</v>
      </c>
      <c r="M53" s="154" t="str">
        <f t="shared" si="1"/>
        <v>PERSONELS CLER. PIECES</v>
      </c>
      <c r="N53" s="155">
        <f>+IF(OR($Q53=Parametres!$G$2,$Q53=Parametres!$G$3),I53,C53)</f>
        <v>0</v>
      </c>
      <c r="O53" s="608">
        <f>+IF(OR($Q53=Parametres!$G$2,$Q53=Parametres!$G$3),J53,D53)</f>
        <v>1</v>
      </c>
      <c r="P53" s="155">
        <f>+IF(OR($Q53=Parametres!$G$2,$Q53=Parametres!$G$3),K53,E53)</f>
        <v>1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667</v>
      </c>
      <c r="U53" s="156">
        <f>+VLOOKUP($L53,Data_Validation!$A:$D,3,0)</f>
        <v>0</v>
      </c>
      <c r="V53" s="156">
        <f>+VLOOKUP($L53,Data_Validation!$A:$D,4,0)</f>
        <v>0</v>
      </c>
      <c r="W53" s="156">
        <f>+VLOOKUP($L53,Data_Validation!$A:$E,5,0)</f>
        <v>0</v>
      </c>
      <c r="X53" s="156">
        <f>+VLOOKUP($L53,Data_Validation!$A:$F,6,0)</f>
        <v>0</v>
      </c>
    </row>
    <row r="54" spans="1:24" ht="15" hidden="1" customHeight="1">
      <c r="A54" s="1072" t="s">
        <v>2386</v>
      </c>
      <c r="B54" s="1072" t="s">
        <v>2387</v>
      </c>
      <c r="C54" s="1073"/>
      <c r="D54" s="1073"/>
      <c r="E54" s="1073"/>
      <c r="F54" s="1072" t="s">
        <v>1</v>
      </c>
      <c r="G54" s="1072" t="s">
        <v>2388</v>
      </c>
      <c r="H54" s="1073"/>
      <c r="I54" s="1074">
        <v>0</v>
      </c>
      <c r="J54" s="1074">
        <v>3</v>
      </c>
      <c r="K54" s="1074">
        <v>3</v>
      </c>
      <c r="L54" s="153" t="str">
        <f t="shared" si="0"/>
        <v>677</v>
      </c>
      <c r="M54" s="154" t="str">
        <f t="shared" si="1"/>
        <v>VW PIECES</v>
      </c>
      <c r="N54" s="155">
        <f>+IF(OR($Q54=Parametres!$G$2,$Q54=Parametres!$G$3),I54,C54)</f>
        <v>0</v>
      </c>
      <c r="O54" s="155">
        <f>+IF(OR($Q54=Parametres!$G$2,$Q54=Parametres!$G$3),J54,D54)</f>
        <v>3</v>
      </c>
      <c r="P54" s="155">
        <f>+IF(OR($Q54=Parametres!$G$2,$Q54=Parametres!$G$3),K54,E54)</f>
        <v>3</v>
      </c>
      <c r="Q54" s="154" t="str">
        <f t="shared" si="5"/>
        <v>1-Mémo</v>
      </c>
      <c r="R54" s="153" t="str">
        <f t="shared" si="5"/>
        <v>67</v>
      </c>
      <c r="S54" s="154">
        <f t="shared" si="5"/>
        <v>0</v>
      </c>
      <c r="T54" s="156" t="str">
        <f>+VLOOKUP($L54,Data_Validation!$A:$D,1,0)</f>
        <v>677</v>
      </c>
      <c r="U54" s="156">
        <f>+VLOOKUP($L54,Data_Validation!$A:$D,3,0)</f>
        <v>0</v>
      </c>
      <c r="V54" s="156">
        <f>+VLOOKUP($L54,Data_Validation!$A:$D,4,0)</f>
        <v>0</v>
      </c>
      <c r="W54" s="156">
        <f>+VLOOKUP($L54,Data_Validation!$A:$E,5,0)</f>
        <v>0</v>
      </c>
      <c r="X54" s="156">
        <f>+VLOOKUP($L54,Data_Validation!$A:$F,6,0)</f>
        <v>0</v>
      </c>
    </row>
    <row r="55" spans="1:24" ht="15" hidden="1" customHeight="1">
      <c r="A55" s="1072" t="s">
        <v>2854</v>
      </c>
      <c r="B55" s="1072" t="s">
        <v>2393</v>
      </c>
      <c r="C55" s="1074">
        <v>1398713.77</v>
      </c>
      <c r="D55" s="1074">
        <v>-237610.78</v>
      </c>
      <c r="E55" s="1074">
        <v>1161102.99</v>
      </c>
      <c r="F55" s="1072" t="s">
        <v>293</v>
      </c>
      <c r="G55" s="1072" t="s">
        <v>2393</v>
      </c>
      <c r="H55" s="1073"/>
      <c r="I55" s="1073"/>
      <c r="J55" s="1073"/>
      <c r="K55" s="1073"/>
      <c r="L55" s="153" t="str">
        <f t="shared" si="0"/>
        <v>1102</v>
      </c>
      <c r="M55" s="154" t="str">
        <f t="shared" si="1"/>
        <v>BANQUE DE COMMERCE C/C</v>
      </c>
      <c r="N55" s="155">
        <f>+IF(OR($Q55=Parametres!$G$2,$Q55=Parametres!$G$3),I55,C55)</f>
        <v>1398713.77</v>
      </c>
      <c r="O55" s="155">
        <f>+IF(OR($Q55=Parametres!$G$2,$Q55=Parametres!$G$3),J55,D55)</f>
        <v>-237610.78</v>
      </c>
      <c r="P55" s="155">
        <f>+IF(OR($Q55=Parametres!$G$2,$Q55=Parametres!$G$3),K55,E55)</f>
        <v>1161102.99</v>
      </c>
      <c r="Q55" s="154" t="str">
        <f t="shared" si="5"/>
        <v>2-Actifs</v>
      </c>
      <c r="R55" s="153" t="str">
        <f t="shared" si="5"/>
        <v>1102</v>
      </c>
      <c r="S55" s="154">
        <f t="shared" si="5"/>
        <v>0</v>
      </c>
      <c r="T55" s="156" t="str">
        <f>+VLOOKUP($L55,Data_Validation!$A:$D,1,0)</f>
        <v>1102</v>
      </c>
      <c r="U55" s="156" t="str">
        <f>+VLOOKUP($L55,Data_Validation!$A:$D,3,0)</f>
        <v>Bilan</v>
      </c>
      <c r="V55" s="156" t="str">
        <f>+VLOOKUP($L55,Data_Validation!$A:$D,4,0)</f>
        <v>Encaisse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72" t="s">
        <v>2391</v>
      </c>
      <c r="B56" s="1072" t="s">
        <v>2392</v>
      </c>
      <c r="C56" s="1074">
        <v>150</v>
      </c>
      <c r="D56" s="1074">
        <v>0</v>
      </c>
      <c r="E56" s="1074">
        <v>150</v>
      </c>
      <c r="F56" s="1072" t="s">
        <v>293</v>
      </c>
      <c r="G56" s="1072" t="s">
        <v>2393</v>
      </c>
      <c r="H56" s="1073"/>
      <c r="I56" s="1073"/>
      <c r="J56" s="1073"/>
      <c r="K56" s="1073"/>
      <c r="L56" s="153" t="str">
        <f t="shared" si="0"/>
        <v>1182</v>
      </c>
      <c r="M56" s="154" t="str">
        <f t="shared" si="1"/>
        <v>PETITE CAISSE</v>
      </c>
      <c r="N56" s="155">
        <f>+IF(OR($Q56=Parametres!$G$2,$Q56=Parametres!$G$3),I56,C56)</f>
        <v>150</v>
      </c>
      <c r="O56" s="608">
        <f>+IF(OR($Q56=Parametres!$G$2,$Q56=Parametres!$G$3),J56,D56)</f>
        <v>0</v>
      </c>
      <c r="P56" s="155">
        <f>+IF(OR($Q56=Parametres!$G$2,$Q56=Parametres!$G$3),K56,E56)</f>
        <v>150</v>
      </c>
      <c r="Q56" s="154" t="str">
        <f t="shared" si="5"/>
        <v>2-Actifs</v>
      </c>
      <c r="R56" s="153" t="str">
        <f t="shared" si="5"/>
        <v>1102</v>
      </c>
      <c r="S56" s="154">
        <f t="shared" si="5"/>
        <v>0</v>
      </c>
      <c r="T56" s="156" t="str">
        <f>+VLOOKUP($L56,Data_Validation!$A:$D,1,0)</f>
        <v>1182</v>
      </c>
      <c r="U56" s="156" t="str">
        <f>+VLOOKUP($L56,Data_Validation!$A:$D,3,0)</f>
        <v>Bilan</v>
      </c>
      <c r="V56" s="156" t="str">
        <f>+VLOOKUP($L56,Data_Validation!$A:$D,4,0)</f>
        <v>Encaisse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72" t="s">
        <v>2183</v>
      </c>
      <c r="B57" s="1072" t="s">
        <v>2184</v>
      </c>
      <c r="C57" s="1074">
        <v>1176580.19</v>
      </c>
      <c r="D57" s="1074">
        <v>82310.7</v>
      </c>
      <c r="E57" s="1074">
        <v>1258890.8899999999</v>
      </c>
      <c r="F57" s="1072" t="s">
        <v>293</v>
      </c>
      <c r="G57" s="1072" t="s">
        <v>2184</v>
      </c>
      <c r="H57" s="1073"/>
      <c r="I57" s="1073"/>
      <c r="J57" s="1073"/>
      <c r="K57" s="1073"/>
      <c r="L57" s="153" t="str">
        <f t="shared" si="0"/>
        <v>1202</v>
      </c>
      <c r="M57" s="154" t="str">
        <f t="shared" si="1"/>
        <v>CONTRATS EN TRANSIT</v>
      </c>
      <c r="N57" s="155">
        <f>+IF(OR($Q57=Parametres!$G$2,$Q57=Parametres!$G$3),I57,C57)</f>
        <v>1176580.19</v>
      </c>
      <c r="O57" s="155">
        <f>+IF(OR($Q57=Parametres!$G$2,$Q57=Parametres!$G$3),J57,D57)</f>
        <v>82310.7</v>
      </c>
      <c r="P57" s="155">
        <f>+IF(OR($Q57=Parametres!$G$2,$Q57=Parametres!$G$3),K57,E57)</f>
        <v>1258890.8899999999</v>
      </c>
      <c r="Q57" s="154" t="str">
        <f t="shared" si="5"/>
        <v>2-Actifs</v>
      </c>
      <c r="R57" s="153" t="str">
        <f t="shared" si="5"/>
        <v>1202</v>
      </c>
      <c r="S57" s="154">
        <f t="shared" si="5"/>
        <v>0</v>
      </c>
      <c r="T57" s="156" t="str">
        <f>+VLOOKUP($L57,Data_Validation!$A:$D,1,0)</f>
        <v>1202</v>
      </c>
      <c r="U57" s="156" t="str">
        <f>+VLOOKUP($L57,Data_Validation!$A:$D,3,0)</f>
        <v>Bilan</v>
      </c>
      <c r="V57" s="156" t="str">
        <f>+VLOOKUP($L57,Data_Validation!$A:$D,4,0)</f>
        <v>Recevables Contrats en Transit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72" t="s">
        <v>2027</v>
      </c>
      <c r="B58" s="1072" t="s">
        <v>2017</v>
      </c>
      <c r="C58" s="1074">
        <v>-10111.19</v>
      </c>
      <c r="D58" s="1074">
        <v>50819.37</v>
      </c>
      <c r="E58" s="1074">
        <v>40708.18</v>
      </c>
      <c r="F58" s="1072" t="s">
        <v>293</v>
      </c>
      <c r="G58" s="1072" t="s">
        <v>2017</v>
      </c>
      <c r="H58" s="1073"/>
      <c r="I58" s="1073"/>
      <c r="J58" s="1073"/>
      <c r="K58" s="1073"/>
      <c r="L58" s="153" t="str">
        <f t="shared" si="0"/>
        <v>1302</v>
      </c>
      <c r="M58" s="154" t="str">
        <f t="shared" si="1"/>
        <v>RECEVABLE-CLIENT-VEHICULE</v>
      </c>
      <c r="N58" s="155">
        <f>+IF(OR($Q58=Parametres!$G$2,$Q58=Parametres!$G$3),I58,C58)</f>
        <v>-10111.19</v>
      </c>
      <c r="O58" s="155">
        <f>+IF(OR($Q58=Parametres!$G$2,$Q58=Parametres!$G$3),J58,D58)</f>
        <v>50819.37</v>
      </c>
      <c r="P58" s="155">
        <f>+IF(OR($Q58=Parametres!$G$2,$Q58=Parametres!$G$3),K58,E58)</f>
        <v>40708.18</v>
      </c>
      <c r="Q58" s="154" t="str">
        <f t="shared" si="5"/>
        <v>2-Actifs</v>
      </c>
      <c r="R58" s="153" t="str">
        <f t="shared" si="5"/>
        <v>1302</v>
      </c>
      <c r="S58" s="154">
        <f t="shared" si="5"/>
        <v>0</v>
      </c>
      <c r="T58" s="156" t="str">
        <f>+VLOOKUP($L58,Data_Validation!$A:$D,1,0)</f>
        <v>1302</v>
      </c>
      <c r="U58" s="156" t="str">
        <f>+VLOOKUP($L58,Data_Validation!$A:$D,3,0)</f>
        <v>Bilan</v>
      </c>
      <c r="V58" s="156" t="str">
        <f>+VLOOKUP($L58,Data_Validation!$A:$D,4,0)</f>
        <v>Recevables Véhicules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72" t="s">
        <v>2015</v>
      </c>
      <c r="B59" s="1072" t="s">
        <v>2016</v>
      </c>
      <c r="C59" s="1074">
        <v>62961.33</v>
      </c>
      <c r="D59" s="1074">
        <v>56419.28</v>
      </c>
      <c r="E59" s="1074">
        <v>119380.61</v>
      </c>
      <c r="F59" s="1072" t="s">
        <v>293</v>
      </c>
      <c r="G59" s="1072" t="s">
        <v>2017</v>
      </c>
      <c r="H59" s="1073"/>
      <c r="I59" s="1073"/>
      <c r="J59" s="1073"/>
      <c r="K59" s="1073"/>
      <c r="L59" s="153" t="str">
        <f t="shared" si="0"/>
        <v>1303</v>
      </c>
      <c r="M59" s="154" t="str">
        <f t="shared" si="1"/>
        <v>RECEVABLES LPA ET AU GROS</v>
      </c>
      <c r="N59" s="155">
        <f>+IF(OR($Q59=Parametres!$G$2,$Q59=Parametres!$G$3),I59,C59)</f>
        <v>62961.33</v>
      </c>
      <c r="O59" s="155">
        <f>+IF(OR($Q59=Parametres!$G$2,$Q59=Parametres!$G$3),J59,D59)</f>
        <v>56419.28</v>
      </c>
      <c r="P59" s="155">
        <f>+IF(OR($Q59=Parametres!$G$2,$Q59=Parametres!$G$3),K59,E59)</f>
        <v>119380.61</v>
      </c>
      <c r="Q59" s="154" t="str">
        <f t="shared" si="5"/>
        <v>2-Actifs</v>
      </c>
      <c r="R59" s="153" t="str">
        <f t="shared" si="5"/>
        <v>1302</v>
      </c>
      <c r="S59" s="154">
        <f t="shared" si="5"/>
        <v>0</v>
      </c>
      <c r="T59" s="156" t="str">
        <f>+VLOOKUP($L59,Data_Validation!$A:$D,1,0)</f>
        <v>1303</v>
      </c>
      <c r="U59" s="156" t="str">
        <f>+VLOOKUP($L59,Data_Validation!$A:$D,3,0)</f>
        <v>Bilan</v>
      </c>
      <c r="V59" s="156" t="str">
        <f>+VLOOKUP($L59,Data_Validation!$A:$D,4,0)</f>
        <v>Recevables Véhicules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72" t="s">
        <v>2102</v>
      </c>
      <c r="B60" s="1072" t="s">
        <v>2103</v>
      </c>
      <c r="C60" s="1074">
        <v>65377.54</v>
      </c>
      <c r="D60" s="1074">
        <v>17035.599999999999</v>
      </c>
      <c r="E60" s="1074">
        <v>82413.14</v>
      </c>
      <c r="F60" s="1072" t="s">
        <v>293</v>
      </c>
      <c r="G60" s="1072" t="s">
        <v>2103</v>
      </c>
      <c r="H60" s="1073"/>
      <c r="I60" s="1073"/>
      <c r="J60" s="1073"/>
      <c r="K60" s="1073"/>
      <c r="L60" s="153" t="str">
        <f t="shared" si="0"/>
        <v>1304</v>
      </c>
      <c r="M60" s="154" t="str">
        <f t="shared" si="1"/>
        <v>RECEVABLES PIECES &amp; SERVICE</v>
      </c>
      <c r="N60" s="155">
        <f>+IF(OR($Q60=Parametres!$G$2,$Q60=Parametres!$G$3),I60,C60)</f>
        <v>65377.54</v>
      </c>
      <c r="O60" s="608">
        <f>+IF(OR($Q60=Parametres!$G$2,$Q60=Parametres!$G$3),J60,D60)</f>
        <v>17035.599999999999</v>
      </c>
      <c r="P60" s="155">
        <f>+IF(OR($Q60=Parametres!$G$2,$Q60=Parametres!$G$3),K60,E60)</f>
        <v>82413.14</v>
      </c>
      <c r="Q60" s="154" t="str">
        <f t="shared" si="5"/>
        <v>2-Actifs</v>
      </c>
      <c r="R60" s="153" t="str">
        <f t="shared" si="5"/>
        <v>1304</v>
      </c>
      <c r="S60" s="154">
        <f t="shared" si="5"/>
        <v>0</v>
      </c>
      <c r="T60" s="156" t="str">
        <f>+VLOOKUP($L60,Data_Validation!$A:$D,1,0)</f>
        <v>1304</v>
      </c>
      <c r="U60" s="156" t="str">
        <f>+VLOOKUP($L60,Data_Validation!$A:$D,3,0)</f>
        <v>Bilan</v>
      </c>
      <c r="V60" s="156" t="str">
        <f>+VLOOKUP($L60,Data_Validation!$A:$D,4,0)</f>
        <v>Recevables Pièces et Service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72" t="s">
        <v>2737</v>
      </c>
      <c r="B61" s="1072" t="s">
        <v>2738</v>
      </c>
      <c r="C61" s="1074">
        <v>75977.3</v>
      </c>
      <c r="D61" s="1074">
        <v>24565.01</v>
      </c>
      <c r="E61" s="1074">
        <v>100542.31</v>
      </c>
      <c r="F61" s="1072" t="s">
        <v>293</v>
      </c>
      <c r="G61" s="1072" t="s">
        <v>2103</v>
      </c>
      <c r="H61" s="1073"/>
      <c r="I61" s="1073"/>
      <c r="J61" s="1073"/>
      <c r="K61" s="1073"/>
      <c r="L61" s="153" t="str">
        <f t="shared" si="0"/>
        <v>1305</v>
      </c>
      <c r="M61" s="154" t="str">
        <f t="shared" si="1"/>
        <v>RECEVABLES CARROSSERIE</v>
      </c>
      <c r="N61" s="155">
        <f>+IF(OR($Q61=Parametres!$G$2,$Q61=Parametres!$G$3),I61,C61)</f>
        <v>75977.3</v>
      </c>
      <c r="O61" s="608">
        <f>+IF(OR($Q61=Parametres!$G$2,$Q61=Parametres!$G$3),J61,D61)</f>
        <v>24565.01</v>
      </c>
      <c r="P61" s="155">
        <f>+IF(OR($Q61=Parametres!$G$2,$Q61=Parametres!$G$3),K61,E61)</f>
        <v>100542.31</v>
      </c>
      <c r="Q61" s="154" t="str">
        <f t="shared" si="5"/>
        <v>2-Actifs</v>
      </c>
      <c r="R61" s="153" t="str">
        <f t="shared" si="5"/>
        <v>1304</v>
      </c>
      <c r="S61" s="154">
        <f t="shared" si="5"/>
        <v>0</v>
      </c>
      <c r="T61" s="156" t="str">
        <f>+VLOOKUP($L61,Data_Validation!$A:$D,1,0)</f>
        <v>1305</v>
      </c>
      <c r="U61" s="156" t="str">
        <f>+VLOOKUP($L61,Data_Validation!$A:$D,3,0)</f>
        <v>Bilan</v>
      </c>
      <c r="V61" s="156" t="str">
        <f>+VLOOKUP($L61,Data_Validation!$A:$D,4,0)</f>
        <v>Recevables Carrosserie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72" t="s">
        <v>2834</v>
      </c>
      <c r="B62" s="1072" t="s">
        <v>2835</v>
      </c>
      <c r="C62" s="1074">
        <v>85160</v>
      </c>
      <c r="D62" s="1074">
        <v>81712</v>
      </c>
      <c r="E62" s="1074">
        <v>166872</v>
      </c>
      <c r="F62" s="1072" t="s">
        <v>293</v>
      </c>
      <c r="G62" s="1072" t="s">
        <v>2022</v>
      </c>
      <c r="H62" s="1073"/>
      <c r="I62" s="1073"/>
      <c r="J62" s="1073"/>
      <c r="K62" s="1073"/>
      <c r="L62" s="153" t="str">
        <f t="shared" si="0"/>
        <v>1312</v>
      </c>
      <c r="M62" s="154" t="str">
        <f t="shared" si="1"/>
        <v>RESEVE VOLKS</v>
      </c>
      <c r="N62" s="155">
        <f>+IF(OR($Q62=Parametres!$G$2,$Q62=Parametres!$G$3),I62,C62)</f>
        <v>85160</v>
      </c>
      <c r="O62" s="155">
        <f>+IF(OR($Q62=Parametres!$G$2,$Q62=Parametres!$G$3),J62,D62)</f>
        <v>81712</v>
      </c>
      <c r="P62" s="155">
        <f>+IF(OR($Q62=Parametres!$G$2,$Q62=Parametres!$G$3),K62,E62)</f>
        <v>166872</v>
      </c>
      <c r="Q62" s="154" t="str">
        <f t="shared" si="5"/>
        <v>2-Actifs</v>
      </c>
      <c r="R62" s="153" t="str">
        <f t="shared" si="5"/>
        <v>1314</v>
      </c>
      <c r="S62" s="154">
        <f t="shared" si="5"/>
        <v>0</v>
      </c>
      <c r="T62" s="156" t="str">
        <f>+VLOOKUP($L62,Data_Validation!$A:$D,1,0)</f>
        <v>1312</v>
      </c>
      <c r="U62" s="156" t="str">
        <f>+VLOOKUP($L62,Data_Validation!$A:$D,3,0)</f>
        <v>Bilan</v>
      </c>
      <c r="V62" s="156" t="str">
        <f>+VLOOKUP($L62,Data_Validation!$A:$D,4,0)</f>
        <v>Recevables Manufacturier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72" t="s">
        <v>2060</v>
      </c>
      <c r="B63" s="1072" t="s">
        <v>2061</v>
      </c>
      <c r="C63" s="1074">
        <v>91295.29</v>
      </c>
      <c r="D63" s="1074">
        <v>80347.460000000006</v>
      </c>
      <c r="E63" s="1074">
        <v>171642.75</v>
      </c>
      <c r="F63" s="1072" t="s">
        <v>293</v>
      </c>
      <c r="G63" s="1072" t="s">
        <v>2061</v>
      </c>
      <c r="H63" s="1073"/>
      <c r="I63" s="1073"/>
      <c r="J63" s="1073"/>
      <c r="K63" s="1073"/>
      <c r="L63" s="153" t="str">
        <f t="shared" si="0"/>
        <v>1332</v>
      </c>
      <c r="M63" s="154" t="str">
        <f t="shared" si="1"/>
        <v>RECLAM. RECEVABLE-GARANTIE</v>
      </c>
      <c r="N63" s="155">
        <f>+IF(OR($Q63=Parametres!$G$2,$Q63=Parametres!$G$3),I63,C63)</f>
        <v>91295.29</v>
      </c>
      <c r="O63" s="155">
        <f>+IF(OR($Q63=Parametres!$G$2,$Q63=Parametres!$G$3),J63,D63)</f>
        <v>80347.460000000006</v>
      </c>
      <c r="P63" s="155">
        <f>+IF(OR($Q63=Parametres!$G$2,$Q63=Parametres!$G$3),K63,E63)</f>
        <v>171642.75</v>
      </c>
      <c r="Q63" s="154" t="str">
        <f t="shared" si="5"/>
        <v>2-Actifs</v>
      </c>
      <c r="R63" s="153" t="str">
        <f t="shared" si="5"/>
        <v>1332</v>
      </c>
      <c r="S63" s="154">
        <f t="shared" si="5"/>
        <v>0</v>
      </c>
      <c r="T63" s="156" t="str">
        <f>+VLOOKUP($L63,Data_Validation!$A:$D,1,0)</f>
        <v>1332</v>
      </c>
      <c r="U63" s="156" t="str">
        <f>+VLOOKUP($L63,Data_Validation!$A:$D,3,0)</f>
        <v>Bilan</v>
      </c>
      <c r="V63" s="156" t="str">
        <f>+VLOOKUP($L63,Data_Validation!$A:$D,4,0)</f>
        <v>Recevables Garantie Manufacturier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72" t="s">
        <v>2783</v>
      </c>
      <c r="B64" s="1072" t="s">
        <v>2784</v>
      </c>
      <c r="C64" s="1074">
        <v>12055.5</v>
      </c>
      <c r="D64" s="1074">
        <v>-11325.88</v>
      </c>
      <c r="E64" s="1074">
        <v>729.62</v>
      </c>
      <c r="F64" s="1072" t="s">
        <v>293</v>
      </c>
      <c r="G64" s="1072" t="s">
        <v>2623</v>
      </c>
      <c r="H64" s="1073"/>
      <c r="I64" s="1073"/>
      <c r="J64" s="1073"/>
      <c r="K64" s="1073"/>
      <c r="L64" s="153" t="str">
        <f t="shared" si="0"/>
        <v>1340</v>
      </c>
      <c r="M64" s="154" t="str">
        <f t="shared" si="1"/>
        <v>GARANTIE PPM</v>
      </c>
      <c r="N64" s="155">
        <f>+IF(OR($Q64=Parametres!$G$2,$Q64=Parametres!$G$3),I64,C64)</f>
        <v>12055.5</v>
      </c>
      <c r="O64" s="155">
        <f>+IF(OR($Q64=Parametres!$G$2,$Q64=Parametres!$G$3),J64,D64)</f>
        <v>-11325.88</v>
      </c>
      <c r="P64" s="155">
        <f>+IF(OR($Q64=Parametres!$G$2,$Q64=Parametres!$G$3),K64,E64)</f>
        <v>729.62</v>
      </c>
      <c r="Q64" s="154" t="str">
        <f t="shared" si="5"/>
        <v>2-Actifs</v>
      </c>
      <c r="R64" s="153" t="str">
        <f t="shared" si="5"/>
        <v>1382</v>
      </c>
      <c r="S64" s="154">
        <f t="shared" si="5"/>
        <v>0</v>
      </c>
      <c r="T64" s="156" t="str">
        <f>+VLOOKUP($L64,Data_Validation!$A:$D,1,0)</f>
        <v>1340</v>
      </c>
      <c r="U64" s="156" t="str">
        <f>+VLOOKUP($L64,Data_Validation!$A:$D,3,0)</f>
        <v>Bilan</v>
      </c>
      <c r="V64" s="156" t="str">
        <f>+VLOOKUP($L64,Data_Validation!$A:$D,4,0)</f>
        <v>recevables Autres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72" t="s">
        <v>2020</v>
      </c>
      <c r="B65" s="1072" t="s">
        <v>2021</v>
      </c>
      <c r="C65" s="1074">
        <v>95785.48</v>
      </c>
      <c r="D65" s="1074">
        <v>25871.33</v>
      </c>
      <c r="E65" s="1074">
        <v>121656.81</v>
      </c>
      <c r="F65" s="1072" t="s">
        <v>293</v>
      </c>
      <c r="G65" s="1072" t="s">
        <v>2022</v>
      </c>
      <c r="H65" s="1073"/>
      <c r="I65" s="1073"/>
      <c r="J65" s="1073"/>
      <c r="K65" s="1073"/>
      <c r="L65" s="153" t="str">
        <f t="shared" si="0"/>
        <v>1352</v>
      </c>
      <c r="M65" s="154" t="str">
        <f t="shared" si="1"/>
        <v>RECEV. MANUFACTURIER VOLKS</v>
      </c>
      <c r="N65" s="155">
        <f>+IF(OR($Q65=Parametres!$G$2,$Q65=Parametres!$G$3),I65,C65)</f>
        <v>95785.48</v>
      </c>
      <c r="O65" s="610">
        <f>+IF(OR($Q65=Parametres!$G$2,$Q65=Parametres!$G$3),J65,D65)</f>
        <v>25871.33</v>
      </c>
      <c r="P65" s="155">
        <f>+IF(OR($Q65=Parametres!$G$2,$Q65=Parametres!$G$3),K65,E65)</f>
        <v>121656.81</v>
      </c>
      <c r="Q65" s="154" t="str">
        <f t="shared" si="5"/>
        <v>2-Actifs</v>
      </c>
      <c r="R65" s="153" t="str">
        <f t="shared" si="5"/>
        <v>1314</v>
      </c>
      <c r="S65" s="154">
        <f t="shared" si="5"/>
        <v>0</v>
      </c>
      <c r="T65" s="156" t="str">
        <f>+VLOOKUP($L65,Data_Validation!$A:$D,1,0)</f>
        <v>1352</v>
      </c>
      <c r="U65" s="156" t="str">
        <f>+VLOOKUP($L65,Data_Validation!$A:$D,3,0)</f>
        <v>Bilan</v>
      </c>
      <c r="V65" s="156" t="str">
        <f>+VLOOKUP($L65,Data_Validation!$A:$D,4,0)</f>
        <v>Recevables Manufacturier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72" t="s">
        <v>2621</v>
      </c>
      <c r="B66" s="1072" t="s">
        <v>2622</v>
      </c>
      <c r="C66" s="1074">
        <v>0</v>
      </c>
      <c r="D66" s="1074">
        <v>400</v>
      </c>
      <c r="E66" s="1074">
        <v>400</v>
      </c>
      <c r="F66" s="1072" t="s">
        <v>293</v>
      </c>
      <c r="G66" s="1072" t="s">
        <v>2623</v>
      </c>
      <c r="H66" s="1073"/>
      <c r="I66" s="1073"/>
      <c r="J66" s="1073"/>
      <c r="K66" s="1073"/>
      <c r="L66" s="153" t="str">
        <f t="shared" si="0"/>
        <v>1364</v>
      </c>
      <c r="M66" s="154" t="str">
        <f t="shared" si="1"/>
        <v>A RECEVOIR LAR</v>
      </c>
      <c r="N66" s="155">
        <f>+IF(OR($Q66=Parametres!$G$2,$Q66=Parametres!$G$3),I66,C66)</f>
        <v>0</v>
      </c>
      <c r="O66" s="155">
        <f>+IF(OR($Q66=Parametres!$G$2,$Q66=Parametres!$G$3),J66,D66)</f>
        <v>400</v>
      </c>
      <c r="P66" s="155">
        <f>+IF(OR($Q66=Parametres!$G$2,$Q66=Parametres!$G$3),K66,E66)</f>
        <v>400</v>
      </c>
      <c r="Q66" s="154" t="str">
        <f t="shared" ref="Q66:S81" si="6">+F66</f>
        <v>2-Actifs</v>
      </c>
      <c r="R66" s="153" t="str">
        <f t="shared" si="6"/>
        <v>1382</v>
      </c>
      <c r="S66" s="154">
        <f t="shared" si="6"/>
        <v>0</v>
      </c>
      <c r="T66" s="156" t="str">
        <f>+VLOOKUP($L66,Data_Validation!$A:$D,1,0)</f>
        <v>1364</v>
      </c>
      <c r="U66" s="156" t="str">
        <f>+VLOOKUP($L66,Data_Validation!$A:$D,3,0)</f>
        <v>Bilan</v>
      </c>
      <c r="V66" s="156" t="str">
        <f>+VLOOKUP($L66,Data_Validation!$A:$D,4,0)</f>
        <v>recevables Autres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72" t="s">
        <v>2109</v>
      </c>
      <c r="B67" s="1072" t="s">
        <v>2110</v>
      </c>
      <c r="C67" s="1074">
        <v>6977630.0800000001</v>
      </c>
      <c r="D67" s="1074">
        <v>587924.01</v>
      </c>
      <c r="E67" s="1074">
        <v>7565554.0899999999</v>
      </c>
      <c r="F67" s="1072" t="s">
        <v>293</v>
      </c>
      <c r="G67" s="1072" t="s">
        <v>2110</v>
      </c>
      <c r="H67" s="1073"/>
      <c r="I67" s="1073"/>
      <c r="J67" s="1073"/>
      <c r="K67" s="1073"/>
      <c r="L67" s="153" t="str">
        <f t="shared" si="0"/>
        <v>1402</v>
      </c>
      <c r="M67" s="154" t="str">
        <f t="shared" si="1"/>
        <v>VEHIC. NEUFS VOLKS</v>
      </c>
      <c r="N67" s="155">
        <f>+IF(OR($Q67=Parametres!$G$2,$Q67=Parametres!$G$3),I67,C67)</f>
        <v>6977630.0800000001</v>
      </c>
      <c r="O67" s="608">
        <f>+IF(OR($Q67=Parametres!$G$2,$Q67=Parametres!$G$3),J67,D67)</f>
        <v>587924.01</v>
      </c>
      <c r="P67" s="155">
        <f>+IF(OR($Q67=Parametres!$G$2,$Q67=Parametres!$G$3),K67,E67)</f>
        <v>7565554.0899999999</v>
      </c>
      <c r="Q67" s="154" t="str">
        <f t="shared" si="6"/>
        <v>2-Actifs</v>
      </c>
      <c r="R67" s="153" t="str">
        <f t="shared" si="6"/>
        <v>1402</v>
      </c>
      <c r="S67" s="154">
        <f t="shared" si="6"/>
        <v>0</v>
      </c>
      <c r="T67" s="156" t="str">
        <f>+VLOOKUP($L67,Data_Validation!$A:$D,1,0)</f>
        <v>1402</v>
      </c>
      <c r="U67" s="156" t="str">
        <f>+VLOOKUP($L67,Data_Validation!$A:$D,3,0)</f>
        <v>Bilan</v>
      </c>
      <c r="V67" s="156" t="str">
        <f>+VLOOKUP($L67,Data_Validation!$A:$D,4,0)</f>
        <v>Inventaire Véhicules Neufs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72" t="s">
        <v>2477</v>
      </c>
      <c r="B68" s="1072" t="s">
        <v>2478</v>
      </c>
      <c r="C68" s="1073"/>
      <c r="D68" s="1073"/>
      <c r="E68" s="1073"/>
      <c r="F68" s="1072" t="s">
        <v>4</v>
      </c>
      <c r="G68" s="1072" t="s">
        <v>2110</v>
      </c>
      <c r="H68" s="1073"/>
      <c r="I68" s="1074">
        <v>221</v>
      </c>
      <c r="J68" s="1074">
        <v>21</v>
      </c>
      <c r="K68" s="1074">
        <v>242</v>
      </c>
      <c r="L68" s="153" t="str">
        <f t="shared" si="0"/>
        <v>1402@</v>
      </c>
      <c r="M68" s="154" t="str">
        <f t="shared" si="1"/>
        <v># DE INVENTAIRE VEH.NEUFS VW</v>
      </c>
      <c r="N68" s="155">
        <f>+IF(OR($Q68=Parametres!$G$2,$Q68=Parametres!$G$3),I68,C68)</f>
        <v>221</v>
      </c>
      <c r="O68" s="155">
        <f>+IF(OR($Q68=Parametres!$G$2,$Q68=Parametres!$G$3),J68,D68)</f>
        <v>21</v>
      </c>
      <c r="P68" s="155">
        <f>+IF(OR($Q68=Parametres!$G$2,$Q68=Parametres!$G$3),K68,E68)</f>
        <v>242</v>
      </c>
      <c r="Q68" s="154" t="str">
        <f t="shared" si="6"/>
        <v>10-Compte compteur</v>
      </c>
      <c r="R68" s="153" t="str">
        <f t="shared" si="6"/>
        <v>1402</v>
      </c>
      <c r="S68" s="154">
        <f t="shared" si="6"/>
        <v>0</v>
      </c>
      <c r="T68" s="156" t="str">
        <f>+VLOOKUP($L68,Data_Validation!$A:$D,1,0)</f>
        <v>1402@</v>
      </c>
      <c r="U68" s="156">
        <f>+VLOOKUP($L68,Data_Validation!$A:$D,3,0)</f>
        <v>0</v>
      </c>
      <c r="V68" s="156">
        <f>+VLOOKUP($L68,Data_Validation!$A:$D,4,0)</f>
        <v>0</v>
      </c>
      <c r="W68" s="156">
        <f>+VLOOKUP($L68,Data_Validation!$A:$E,5,0)</f>
        <v>0</v>
      </c>
      <c r="X68" s="156">
        <f>+VLOOKUP($L68,Data_Validation!$A:$F,6,0)</f>
        <v>0</v>
      </c>
    </row>
    <row r="69" spans="1:24" ht="15" hidden="1" customHeight="1">
      <c r="A69" s="1072" t="s">
        <v>2118</v>
      </c>
      <c r="B69" s="1072" t="s">
        <v>2119</v>
      </c>
      <c r="C69" s="1074">
        <v>0</v>
      </c>
      <c r="D69" s="1074">
        <v>-4520.2700000000004</v>
      </c>
      <c r="E69" s="1074">
        <v>-4520.2700000000004</v>
      </c>
      <c r="F69" s="1072" t="s">
        <v>293</v>
      </c>
      <c r="G69" s="1072" t="s">
        <v>2110</v>
      </c>
      <c r="H69" s="1073"/>
      <c r="I69" s="1073"/>
      <c r="J69" s="1073"/>
      <c r="K69" s="1073"/>
      <c r="L69" s="153" t="str">
        <f t="shared" si="0"/>
        <v>1403</v>
      </c>
      <c r="M69" s="154" t="str">
        <f t="shared" si="1"/>
        <v>BRUISING VOLKS VEH. NEUFS</v>
      </c>
      <c r="N69" s="155">
        <f>+IF(OR($Q69=Parametres!$G$2,$Q69=Parametres!$G$3),I69,C69)</f>
        <v>0</v>
      </c>
      <c r="O69" s="155">
        <f>+IF(OR($Q69=Parametres!$G$2,$Q69=Parametres!$G$3),J69,D69)</f>
        <v>-4520.2700000000004</v>
      </c>
      <c r="P69" s="155">
        <f>+IF(OR($Q69=Parametres!$G$2,$Q69=Parametres!$G$3),K69,E69)</f>
        <v>-4520.2700000000004</v>
      </c>
      <c r="Q69" s="154" t="str">
        <f t="shared" si="6"/>
        <v>2-Actifs</v>
      </c>
      <c r="R69" s="153" t="str">
        <f t="shared" si="6"/>
        <v>1402</v>
      </c>
      <c r="S69" s="154">
        <f t="shared" si="6"/>
        <v>0</v>
      </c>
      <c r="T69" s="156" t="str">
        <f>+VLOOKUP($L69,Data_Validation!$A:$D,1,0)</f>
        <v>1403</v>
      </c>
      <c r="U69" s="156" t="str">
        <f>+VLOOKUP($L69,Data_Validation!$A:$D,3,0)</f>
        <v>Bilan</v>
      </c>
      <c r="V69" s="156" t="str">
        <f>+VLOOKUP($L69,Data_Validation!$A:$D,4,0)</f>
        <v>Inventaire Véhicules Neufs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72" t="s">
        <v>2761</v>
      </c>
      <c r="B70" s="1072" t="s">
        <v>2762</v>
      </c>
      <c r="C70" s="1074">
        <v>0</v>
      </c>
      <c r="D70" s="1074">
        <v>-15224.3</v>
      </c>
      <c r="E70" s="1074">
        <v>-15224.3</v>
      </c>
      <c r="F70" s="1072" t="s">
        <v>293</v>
      </c>
      <c r="G70" s="1072" t="s">
        <v>2762</v>
      </c>
      <c r="H70" s="1073"/>
      <c r="I70" s="1073"/>
      <c r="J70" s="1073"/>
      <c r="K70" s="1073"/>
      <c r="L70" s="153" t="str">
        <f t="shared" si="0"/>
        <v>1413</v>
      </c>
      <c r="M70" s="154" t="str">
        <f t="shared" si="1"/>
        <v>BRUISING USED CAR</v>
      </c>
      <c r="N70" s="155">
        <f>+IF(OR($Q70=Parametres!$G$2,$Q70=Parametres!$G$3),I70,C70)</f>
        <v>0</v>
      </c>
      <c r="O70" s="155">
        <f>+IF(OR($Q70=Parametres!$G$2,$Q70=Parametres!$G$3),J70,D70)</f>
        <v>-15224.3</v>
      </c>
      <c r="P70" s="155">
        <f>+IF(OR($Q70=Parametres!$G$2,$Q70=Parametres!$G$3),K70,E70)</f>
        <v>-15224.3</v>
      </c>
      <c r="Q70" s="154" t="str">
        <f t="shared" si="6"/>
        <v>2-Actifs</v>
      </c>
      <c r="R70" s="153" t="str">
        <f t="shared" si="6"/>
        <v>1413</v>
      </c>
      <c r="S70" s="154">
        <f t="shared" si="6"/>
        <v>0</v>
      </c>
      <c r="T70" s="156" t="str">
        <f>+VLOOKUP($L70,Data_Validation!$A:$D,1,0)</f>
        <v>1413</v>
      </c>
      <c r="U70" s="156" t="str">
        <f>+VLOOKUP($L70,Data_Validation!$A:$D,3,0)</f>
        <v>Bilan</v>
      </c>
      <c r="V70" s="156" t="str">
        <f>+VLOOKUP($L70,Data_Validation!$A:$D,4,0)</f>
        <v>Inventaire Véhicules Usagés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72" t="s">
        <v>2826</v>
      </c>
      <c r="B71" s="1072" t="s">
        <v>2481</v>
      </c>
      <c r="C71" s="1074">
        <v>1004185.69</v>
      </c>
      <c r="D71" s="1074">
        <v>-48476.9</v>
      </c>
      <c r="E71" s="1074">
        <v>955708.79</v>
      </c>
      <c r="F71" s="1072" t="s">
        <v>293</v>
      </c>
      <c r="G71" s="1072" t="s">
        <v>2481</v>
      </c>
      <c r="H71" s="1073"/>
      <c r="I71" s="1073"/>
      <c r="J71" s="1073"/>
      <c r="K71" s="1073"/>
      <c r="L71" s="153" t="str">
        <f t="shared" si="0"/>
        <v>1416</v>
      </c>
      <c r="M71" s="154" t="str">
        <f t="shared" si="1"/>
        <v>INV. VEH. USAGE VW</v>
      </c>
      <c r="N71" s="155">
        <f>+IF(OR($Q71=Parametres!$G$2,$Q71=Parametres!$G$3),I71,C71)</f>
        <v>1004185.69</v>
      </c>
      <c r="O71" s="608">
        <f>+IF(OR($Q71=Parametres!$G$2,$Q71=Parametres!$G$3),J71,D71)</f>
        <v>-48476.9</v>
      </c>
      <c r="P71" s="155">
        <f>+IF(OR($Q71=Parametres!$G$2,$Q71=Parametres!$G$3),K71,E71)</f>
        <v>955708.79</v>
      </c>
      <c r="Q71" s="154" t="str">
        <f t="shared" si="6"/>
        <v>2-Actifs</v>
      </c>
      <c r="R71" s="153" t="str">
        <f t="shared" si="6"/>
        <v>1416</v>
      </c>
      <c r="S71" s="154">
        <f t="shared" si="6"/>
        <v>0</v>
      </c>
      <c r="T71" s="156" t="str">
        <f>+VLOOKUP($L71,Data_Validation!$A:$D,1,0)</f>
        <v>1416</v>
      </c>
      <c r="U71" s="156" t="str">
        <f>+VLOOKUP($L71,Data_Validation!$A:$D,3,0)</f>
        <v>Bilan</v>
      </c>
      <c r="V71" s="156" t="str">
        <f>+VLOOKUP($L71,Data_Validation!$A:$D,4,0)</f>
        <v>Inventaire Véhicules Usagés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72" t="s">
        <v>2479</v>
      </c>
      <c r="B72" s="1072" t="s">
        <v>2480</v>
      </c>
      <c r="C72" s="1073"/>
      <c r="D72" s="1073"/>
      <c r="E72" s="1073"/>
      <c r="F72" s="1072" t="s">
        <v>4</v>
      </c>
      <c r="G72" s="1072" t="s">
        <v>2481</v>
      </c>
      <c r="H72" s="1073"/>
      <c r="I72" s="1074">
        <v>54</v>
      </c>
      <c r="J72" s="1074">
        <v>2</v>
      </c>
      <c r="K72" s="1074">
        <v>56</v>
      </c>
      <c r="L72" s="153" t="str">
        <f t="shared" si="0"/>
        <v>1416@</v>
      </c>
      <c r="M72" s="154" t="str">
        <f t="shared" si="1"/>
        <v># DE INV. VEH. USAGE VW</v>
      </c>
      <c r="N72" s="155">
        <f>+IF(OR($Q72=Parametres!$G$2,$Q72=Parametres!$G$3),I72,C72)</f>
        <v>54</v>
      </c>
      <c r="O72" s="155">
        <f>+IF(OR($Q72=Parametres!$G$2,$Q72=Parametres!$G$3),J72,D72)</f>
        <v>2</v>
      </c>
      <c r="P72" s="155">
        <f>+IF(OR($Q72=Parametres!$G$2,$Q72=Parametres!$G$3),K72,E72)</f>
        <v>56</v>
      </c>
      <c r="Q72" s="154" t="str">
        <f t="shared" si="6"/>
        <v>10-Compte compteur</v>
      </c>
      <c r="R72" s="153" t="str">
        <f t="shared" si="6"/>
        <v>1416</v>
      </c>
      <c r="S72" s="154">
        <f t="shared" si="6"/>
        <v>0</v>
      </c>
      <c r="T72" s="156" t="str">
        <f>+VLOOKUP($L72,Data_Validation!$A:$D,1,0)</f>
        <v>1416@</v>
      </c>
      <c r="U72" s="156">
        <f>+VLOOKUP($L72,Data_Validation!$A:$D,3,0)</f>
        <v>0</v>
      </c>
      <c r="V72" s="156">
        <f>+VLOOKUP($L72,Data_Validation!$A:$D,4,0)</f>
        <v>0</v>
      </c>
      <c r="W72" s="156">
        <f>+VLOOKUP($L72,Data_Validation!$A:$E,5,0)</f>
        <v>0</v>
      </c>
      <c r="X72" s="156">
        <f>+VLOOKUP($L72,Data_Validation!$A:$F,6,0)</f>
        <v>0</v>
      </c>
    </row>
    <row r="73" spans="1:24" ht="15" hidden="1" customHeight="1">
      <c r="A73" s="1072" t="s">
        <v>2864</v>
      </c>
      <c r="B73" s="1072" t="s">
        <v>2865</v>
      </c>
      <c r="C73" s="1073"/>
      <c r="D73" s="1073"/>
      <c r="E73" s="1073"/>
      <c r="F73" s="1072" t="s">
        <v>4</v>
      </c>
      <c r="G73" s="1072" t="s">
        <v>2866</v>
      </c>
      <c r="H73" s="1073"/>
      <c r="I73" s="1074">
        <v>3</v>
      </c>
      <c r="J73" s="1074">
        <v>0</v>
      </c>
      <c r="K73" s="1074">
        <v>3</v>
      </c>
      <c r="L73" s="153" t="str">
        <f t="shared" si="0"/>
        <v>1418@</v>
      </c>
      <c r="M73" s="154" t="str">
        <f t="shared" si="1"/>
        <v># DE INV.VEH.USAGE AUDI</v>
      </c>
      <c r="N73" s="155">
        <f>+IF(OR($Q73=Parametres!$G$2,$Q73=Parametres!$G$3),I73,C73)</f>
        <v>3</v>
      </c>
      <c r="O73" s="155">
        <f>+IF(OR($Q73=Parametres!$G$2,$Q73=Parametres!$G$3),J73,D73)</f>
        <v>0</v>
      </c>
      <c r="P73" s="155">
        <f>+IF(OR($Q73=Parametres!$G$2,$Q73=Parametres!$G$3),K73,E73)</f>
        <v>3</v>
      </c>
      <c r="Q73" s="154" t="str">
        <f t="shared" si="6"/>
        <v>10-Compte compteur</v>
      </c>
      <c r="R73" s="153" t="str">
        <f t="shared" si="6"/>
        <v>1418</v>
      </c>
      <c r="S73" s="154">
        <f t="shared" si="6"/>
        <v>0</v>
      </c>
      <c r="T73" s="156" t="e">
        <f>+VLOOKUP($L73,Data_Validation!$A:$D,1,0)</f>
        <v>#N/A</v>
      </c>
      <c r="U73" s="156" t="e">
        <f>+VLOOKUP($L73,Data_Validation!$A:$D,3,0)</f>
        <v>#N/A</v>
      </c>
      <c r="V73" s="156" t="e">
        <f>+VLOOKUP($L73,Data_Validation!$A:$D,4,0)</f>
        <v>#N/A</v>
      </c>
      <c r="W73" s="156" t="e">
        <f>+VLOOKUP($L73,Data_Validation!$A:$E,5,0)</f>
        <v>#N/A</v>
      </c>
      <c r="X73" s="156" t="e">
        <f>+VLOOKUP($L73,Data_Validation!$A:$F,6,0)</f>
        <v>#N/A</v>
      </c>
    </row>
    <row r="74" spans="1:24" ht="15" hidden="1" customHeight="1">
      <c r="A74" s="1072" t="s">
        <v>2867</v>
      </c>
      <c r="B74" s="1072" t="s">
        <v>2868</v>
      </c>
      <c r="C74" s="1073"/>
      <c r="D74" s="1073"/>
      <c r="E74" s="1073"/>
      <c r="F74" s="1072" t="s">
        <v>4</v>
      </c>
      <c r="G74" s="1072" t="s">
        <v>2869</v>
      </c>
      <c r="H74" s="1073"/>
      <c r="I74" s="1074">
        <v>-3</v>
      </c>
      <c r="J74" s="1074">
        <v>0</v>
      </c>
      <c r="K74" s="1074">
        <v>-3</v>
      </c>
      <c r="L74" s="153" t="str">
        <f t="shared" si="0"/>
        <v>1420@</v>
      </c>
      <c r="M74" s="154" t="str">
        <f t="shared" si="1"/>
        <v># DE AUTRE INV. VEH. USAGE</v>
      </c>
      <c r="N74" s="155">
        <f>+IF(OR($Q74=Parametres!$G$2,$Q74=Parametres!$G$3),I74,C74)</f>
        <v>-3</v>
      </c>
      <c r="O74" s="155">
        <f>+IF(OR($Q74=Parametres!$G$2,$Q74=Parametres!$G$3),J74,D74)</f>
        <v>0</v>
      </c>
      <c r="P74" s="155">
        <f>+IF(OR($Q74=Parametres!$G$2,$Q74=Parametres!$G$3),K74,E74)</f>
        <v>-3</v>
      </c>
      <c r="Q74" s="154" t="str">
        <f t="shared" si="6"/>
        <v>10-Compte compteur</v>
      </c>
      <c r="R74" s="153" t="str">
        <f t="shared" si="6"/>
        <v>1420</v>
      </c>
      <c r="S74" s="154">
        <f t="shared" si="6"/>
        <v>0</v>
      </c>
      <c r="T74" s="156" t="e">
        <f>+VLOOKUP($L74,Data_Validation!$A:$D,1,0)</f>
        <v>#N/A</v>
      </c>
      <c r="U74" s="156" t="e">
        <f>+VLOOKUP($L74,Data_Validation!$A:$D,3,0)</f>
        <v>#N/A</v>
      </c>
      <c r="V74" s="156" t="e">
        <f>+VLOOKUP($L74,Data_Validation!$A:$D,4,0)</f>
        <v>#N/A</v>
      </c>
      <c r="W74" s="156" t="e">
        <f>+VLOOKUP($L74,Data_Validation!$A:$E,5,0)</f>
        <v>#N/A</v>
      </c>
      <c r="X74" s="156" t="e">
        <f>+VLOOKUP($L74,Data_Validation!$A:$F,6,0)</f>
        <v>#N/A</v>
      </c>
    </row>
    <row r="75" spans="1:24" ht="15" hidden="1" customHeight="1">
      <c r="A75" s="1072" t="s">
        <v>2032</v>
      </c>
      <c r="B75" s="1072" t="s">
        <v>2033</v>
      </c>
      <c r="C75" s="1074">
        <v>299908.46999999997</v>
      </c>
      <c r="D75" s="1074">
        <v>-6758.93</v>
      </c>
      <c r="E75" s="1074">
        <v>293149.53999999998</v>
      </c>
      <c r="F75" s="1072" t="s">
        <v>293</v>
      </c>
      <c r="G75" s="1072" t="s">
        <v>2033</v>
      </c>
      <c r="H75" s="1073"/>
      <c r="I75" s="1073"/>
      <c r="J75" s="1073"/>
      <c r="K75" s="1073"/>
      <c r="L75" s="153" t="str">
        <f t="shared" si="0"/>
        <v>1442</v>
      </c>
      <c r="M75" s="154" t="str">
        <f t="shared" si="1"/>
        <v>PIECES &amp; ACCESSOIRES NEUFS</v>
      </c>
      <c r="N75" s="155">
        <f>+IF(OR($Q75=Parametres!$G$2,$Q75=Parametres!$G$3),I75,C75)</f>
        <v>299908.46999999997</v>
      </c>
      <c r="O75" s="155">
        <f>+IF(OR($Q75=Parametres!$G$2,$Q75=Parametres!$G$3),J75,D75)</f>
        <v>-6758.93</v>
      </c>
      <c r="P75" s="155">
        <f>+IF(OR($Q75=Parametres!$G$2,$Q75=Parametres!$G$3),K75,E75)</f>
        <v>293149.53999999998</v>
      </c>
      <c r="Q75" s="154" t="str">
        <f t="shared" si="6"/>
        <v>2-Actifs</v>
      </c>
      <c r="R75" s="153" t="str">
        <f t="shared" si="6"/>
        <v>1442</v>
      </c>
      <c r="S75" s="154">
        <f t="shared" si="6"/>
        <v>0</v>
      </c>
      <c r="T75" s="156" t="str">
        <f>+VLOOKUP($L75,Data_Validation!$A:$D,1,0)</f>
        <v>1442</v>
      </c>
      <c r="U75" s="156" t="str">
        <f>+VLOOKUP($L75,Data_Validation!$A:$D,3,0)</f>
        <v>Bilan</v>
      </c>
      <c r="V75" s="156" t="str">
        <f>+VLOOKUP($L75,Data_Validation!$A:$D,4,0)</f>
        <v>Inventaire Pièces, Pneus, Huile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72" t="s">
        <v>2824</v>
      </c>
      <c r="B76" s="1072" t="s">
        <v>2825</v>
      </c>
      <c r="C76" s="1074">
        <v>30540.2</v>
      </c>
      <c r="D76" s="1074">
        <v>-6253.22</v>
      </c>
      <c r="E76" s="1074">
        <v>24286.98</v>
      </c>
      <c r="F76" s="1072" t="s">
        <v>293</v>
      </c>
      <c r="G76" s="1072" t="s">
        <v>2033</v>
      </c>
      <c r="H76" s="1073"/>
      <c r="I76" s="1073"/>
      <c r="J76" s="1073"/>
      <c r="K76" s="1073"/>
      <c r="L76" s="153" t="str">
        <f t="shared" si="0"/>
        <v>1452</v>
      </c>
      <c r="M76" s="154" t="str">
        <f t="shared" si="1"/>
        <v>PNEUS</v>
      </c>
      <c r="N76" s="155">
        <f>+IF(OR($Q76=Parametres!$G$2,$Q76=Parametres!$G$3),I76,C76)</f>
        <v>30540.2</v>
      </c>
      <c r="O76" s="155">
        <f>+IF(OR($Q76=Parametres!$G$2,$Q76=Parametres!$G$3),J76,D76)</f>
        <v>-6253.22</v>
      </c>
      <c r="P76" s="155">
        <f>+IF(OR($Q76=Parametres!$G$2,$Q76=Parametres!$G$3),K76,E76)</f>
        <v>24286.98</v>
      </c>
      <c r="Q76" s="154" t="str">
        <f t="shared" si="6"/>
        <v>2-Actifs</v>
      </c>
      <c r="R76" s="153" t="str">
        <f t="shared" si="6"/>
        <v>1442</v>
      </c>
      <c r="S76" s="154">
        <f t="shared" si="6"/>
        <v>0</v>
      </c>
      <c r="T76" s="156" t="str">
        <f>+VLOOKUP($L76,Data_Validation!$A:$D,1,0)</f>
        <v>1452</v>
      </c>
      <c r="U76" s="156" t="str">
        <f>+VLOOKUP($L76,Data_Validation!$A:$D,3,0)</f>
        <v>Bilan</v>
      </c>
      <c r="V76" s="156" t="str">
        <f>+VLOOKUP($L76,Data_Validation!$A:$D,4,0)</f>
        <v>Inventaire Pièces, Pneus, Huile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72" t="s">
        <v>2740</v>
      </c>
      <c r="B77" s="1072" t="s">
        <v>2741</v>
      </c>
      <c r="C77" s="1074">
        <v>97.02</v>
      </c>
      <c r="D77" s="1074">
        <v>-97.02</v>
      </c>
      <c r="E77" s="1074">
        <v>0</v>
      </c>
      <c r="F77" s="1072" t="s">
        <v>293</v>
      </c>
      <c r="G77" s="1072" t="s">
        <v>2741</v>
      </c>
      <c r="H77" s="1073"/>
      <c r="I77" s="1073"/>
      <c r="J77" s="1073"/>
      <c r="K77" s="1073"/>
      <c r="L77" s="153" t="str">
        <f t="shared" si="0"/>
        <v>1456</v>
      </c>
      <c r="M77" s="154" t="str">
        <f t="shared" si="1"/>
        <v>PIECES VW NON ORIGINE</v>
      </c>
      <c r="N77" s="155">
        <f>+IF(OR($Q77=Parametres!$G$2,$Q77=Parametres!$G$3),I77,C77)</f>
        <v>97.02</v>
      </c>
      <c r="O77" s="155">
        <f>+IF(OR($Q77=Parametres!$G$2,$Q77=Parametres!$G$3),J77,D77)</f>
        <v>-97.02</v>
      </c>
      <c r="P77" s="155">
        <f>+IF(OR($Q77=Parametres!$G$2,$Q77=Parametres!$G$3),K77,E77)</f>
        <v>0</v>
      </c>
      <c r="Q77" s="154" t="str">
        <f t="shared" si="6"/>
        <v>2-Actifs</v>
      </c>
      <c r="R77" s="153" t="str">
        <f t="shared" si="6"/>
        <v>1456</v>
      </c>
      <c r="S77" s="154">
        <f t="shared" si="6"/>
        <v>0</v>
      </c>
      <c r="T77" s="156" t="str">
        <f>+VLOOKUP($L77,Data_Validation!$A:$D,1,0)</f>
        <v>1456</v>
      </c>
      <c r="U77" s="156" t="str">
        <f>+VLOOKUP($L77,Data_Validation!$A:$D,3,0)</f>
        <v>Bilan</v>
      </c>
      <c r="V77" s="156" t="str">
        <f>+VLOOKUP($L77,Data_Validation!$A:$D,4,0)</f>
        <v>Inventaire Pièces, Pneus, Huile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72" t="s">
        <v>2589</v>
      </c>
      <c r="B78" s="1072" t="s">
        <v>2590</v>
      </c>
      <c r="C78" s="1074">
        <v>3855.16</v>
      </c>
      <c r="D78" s="1074">
        <v>139.54</v>
      </c>
      <c r="E78" s="1074">
        <v>3994.7</v>
      </c>
      <c r="F78" s="1072" t="s">
        <v>293</v>
      </c>
      <c r="G78" s="1072" t="s">
        <v>2590</v>
      </c>
      <c r="H78" s="1073"/>
      <c r="I78" s="1073"/>
      <c r="J78" s="1073"/>
      <c r="K78" s="1073"/>
      <c r="L78" s="153" t="str">
        <f t="shared" si="0"/>
        <v>1472</v>
      </c>
      <c r="M78" s="154" t="str">
        <f t="shared" si="1"/>
        <v>WIP M-O VW</v>
      </c>
      <c r="N78" s="155">
        <f>+IF(OR($Q78=Parametres!$G$2,$Q78=Parametres!$G$3),I78,C78)</f>
        <v>3855.16</v>
      </c>
      <c r="O78" s="608">
        <f>+IF(OR($Q78=Parametres!$G$2,$Q78=Parametres!$G$3),J78,D78)</f>
        <v>139.54</v>
      </c>
      <c r="P78" s="155">
        <f>+IF(OR($Q78=Parametres!$G$2,$Q78=Parametres!$G$3),K78,E78)</f>
        <v>3994.7</v>
      </c>
      <c r="Q78" s="154" t="str">
        <f t="shared" si="6"/>
        <v>2-Actifs</v>
      </c>
      <c r="R78" s="153" t="str">
        <f t="shared" si="6"/>
        <v>1472</v>
      </c>
      <c r="S78" s="154">
        <f t="shared" si="6"/>
        <v>0</v>
      </c>
      <c r="T78" s="156" t="str">
        <f>+VLOOKUP($L78,Data_Validation!$A:$D,1,0)</f>
        <v>1472</v>
      </c>
      <c r="U78" s="156" t="str">
        <f>+VLOOKUP($L78,Data_Validation!$A:$D,3,0)</f>
        <v>Bilan</v>
      </c>
      <c r="V78" s="156" t="str">
        <f>+VLOOKUP($L78,Data_Validation!$A:$D,4,0)</f>
        <v>Travaux en Cours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72" t="s">
        <v>2763</v>
      </c>
      <c r="B79" s="1072" t="s">
        <v>2764</v>
      </c>
      <c r="C79" s="1074">
        <v>2092.4499999999998</v>
      </c>
      <c r="D79" s="1074">
        <v>-8056.43</v>
      </c>
      <c r="E79" s="1074">
        <v>-5963.98</v>
      </c>
      <c r="F79" s="1072" t="s">
        <v>293</v>
      </c>
      <c r="G79" s="1072" t="s">
        <v>2590</v>
      </c>
      <c r="H79" s="1073"/>
      <c r="I79" s="1073"/>
      <c r="J79" s="1073"/>
      <c r="K79" s="1073"/>
      <c r="L79" s="153" t="str">
        <f t="shared" si="0"/>
        <v>1474</v>
      </c>
      <c r="M79" s="154" t="str">
        <f t="shared" si="1"/>
        <v>INVENTAIRE SOUS-TRAITANTS</v>
      </c>
      <c r="N79" s="155">
        <f>+IF(OR($Q79=Parametres!$G$2,$Q79=Parametres!$G$3),I79,C79)</f>
        <v>2092.4499999999998</v>
      </c>
      <c r="O79" s="155">
        <f>+IF(OR($Q79=Parametres!$G$2,$Q79=Parametres!$G$3),J79,D79)</f>
        <v>-8056.43</v>
      </c>
      <c r="P79" s="155">
        <f>+IF(OR($Q79=Parametres!$G$2,$Q79=Parametres!$G$3),K79,E79)</f>
        <v>-5963.98</v>
      </c>
      <c r="Q79" s="154" t="str">
        <f t="shared" si="6"/>
        <v>2-Actifs</v>
      </c>
      <c r="R79" s="153" t="str">
        <f t="shared" si="6"/>
        <v>1472</v>
      </c>
      <c r="S79" s="154">
        <f t="shared" si="6"/>
        <v>0</v>
      </c>
      <c r="T79" s="156" t="str">
        <f>+VLOOKUP($L79,Data_Validation!$A:$D,1,0)</f>
        <v>1474</v>
      </c>
      <c r="U79" s="156" t="str">
        <f>+VLOOKUP($L79,Data_Validation!$A:$D,3,0)</f>
        <v>Bilan</v>
      </c>
      <c r="V79" s="156" t="str">
        <f>+VLOOKUP($L79,Data_Validation!$A:$D,4,0)</f>
        <v>Sous-Traitance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72" t="s">
        <v>2140</v>
      </c>
      <c r="B80" s="1072" t="s">
        <v>2141</v>
      </c>
      <c r="C80" s="1074">
        <v>32929.980000000003</v>
      </c>
      <c r="D80" s="1074">
        <v>-3762.79</v>
      </c>
      <c r="E80" s="1074">
        <v>29167.19</v>
      </c>
      <c r="F80" s="1072" t="s">
        <v>293</v>
      </c>
      <c r="G80" s="1072" t="s">
        <v>2033</v>
      </c>
      <c r="H80" s="1073"/>
      <c r="I80" s="1073"/>
      <c r="J80" s="1073"/>
      <c r="K80" s="1073"/>
      <c r="L80" s="153" t="str">
        <f t="shared" si="0"/>
        <v>1492</v>
      </c>
      <c r="M80" s="154" t="str">
        <f t="shared" si="1"/>
        <v>CARBURANT, HUILE, GRAISSE</v>
      </c>
      <c r="N80" s="155">
        <f>+IF(OR($Q80=Parametres!$G$2,$Q80=Parametres!$G$3),I80,C80)</f>
        <v>32929.980000000003</v>
      </c>
      <c r="O80" s="155">
        <f>+IF(OR($Q80=Parametres!$G$2,$Q80=Parametres!$G$3),J80,D80)</f>
        <v>-3762.79</v>
      </c>
      <c r="P80" s="155">
        <f>+IF(OR($Q80=Parametres!$G$2,$Q80=Parametres!$G$3),K80,E80)</f>
        <v>29167.19</v>
      </c>
      <c r="Q80" s="154" t="str">
        <f t="shared" si="6"/>
        <v>2-Actifs</v>
      </c>
      <c r="R80" s="153" t="str">
        <f t="shared" si="6"/>
        <v>1442</v>
      </c>
      <c r="S80" s="154">
        <f t="shared" si="6"/>
        <v>0</v>
      </c>
      <c r="T80" s="156" t="str">
        <f>+VLOOKUP($L80,Data_Validation!$A:$D,1,0)</f>
        <v>1492</v>
      </c>
      <c r="U80" s="156" t="str">
        <f>+VLOOKUP($L80,Data_Validation!$A:$D,3,0)</f>
        <v>Bilan</v>
      </c>
      <c r="V80" s="156" t="str">
        <f>+VLOOKUP($L80,Data_Validation!$A:$D,4,0)</f>
        <v>Inventaire Pièces, Pneus, Huile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72" t="s">
        <v>2870</v>
      </c>
      <c r="B81" s="1072" t="s">
        <v>2871</v>
      </c>
      <c r="C81" s="1074">
        <v>0</v>
      </c>
      <c r="D81" s="1074">
        <v>6.96</v>
      </c>
      <c r="E81" s="1074">
        <v>6.96</v>
      </c>
      <c r="F81" s="1072" t="s">
        <v>293</v>
      </c>
      <c r="G81" s="1072" t="s">
        <v>2871</v>
      </c>
      <c r="H81" s="1075"/>
      <c r="I81" s="1076"/>
      <c r="J81" s="1076"/>
      <c r="K81" s="1076"/>
      <c r="L81" s="153" t="str">
        <f t="shared" si="0"/>
        <v>1496</v>
      </c>
      <c r="M81" s="154" t="str">
        <f t="shared" si="1"/>
        <v>MATERIAUX DE PEINTURE/ DEBOSSE</v>
      </c>
      <c r="N81" s="155">
        <f>+IF(OR($Q81=Parametres!$G$2,$Q81=Parametres!$G$3),I81,C81)</f>
        <v>0</v>
      </c>
      <c r="O81" s="155">
        <f>+IF(OR($Q81=Parametres!$G$2,$Q81=Parametres!$G$3),J81,D81)</f>
        <v>6.96</v>
      </c>
      <c r="P81" s="155">
        <f>+IF(OR($Q81=Parametres!$G$2,$Q81=Parametres!$G$3),K81,E81)</f>
        <v>6.96</v>
      </c>
      <c r="Q81" s="154" t="str">
        <f t="shared" si="6"/>
        <v>2-Actifs</v>
      </c>
      <c r="R81" s="153" t="str">
        <f t="shared" si="6"/>
        <v>1496</v>
      </c>
      <c r="S81" s="154">
        <f t="shared" si="6"/>
        <v>0</v>
      </c>
      <c r="T81" s="156" t="e">
        <f>+VLOOKUP($L81,Data_Validation!$A:$D,1,0)</f>
        <v>#N/A</v>
      </c>
      <c r="U81" s="156" t="e">
        <f>+VLOOKUP($L81,Data_Validation!$A:$D,3,0)</f>
        <v>#N/A</v>
      </c>
      <c r="V81" s="156" t="e">
        <f>+VLOOKUP($L81,Data_Validation!$A:$D,4,0)</f>
        <v>#N/A</v>
      </c>
      <c r="W81" s="156" t="e">
        <f>+VLOOKUP($L81,Data_Validation!$A:$E,5,0)</f>
        <v>#N/A</v>
      </c>
      <c r="X81" s="156" t="e">
        <f>+VLOOKUP($L81,Data_Validation!$A:$F,6,0)</f>
        <v>#N/A</v>
      </c>
    </row>
    <row r="82" spans="1:24" ht="15" hidden="1" customHeight="1">
      <c r="A82" s="1072" t="s">
        <v>2691</v>
      </c>
      <c r="B82" s="1072" t="s">
        <v>2692</v>
      </c>
      <c r="C82" s="1074">
        <v>21987.86</v>
      </c>
      <c r="D82" s="1074">
        <v>6984.88</v>
      </c>
      <c r="E82" s="1074">
        <v>28972.74</v>
      </c>
      <c r="F82" s="1072" t="s">
        <v>293</v>
      </c>
      <c r="G82" s="1072" t="s">
        <v>2692</v>
      </c>
      <c r="H82" s="1075"/>
      <c r="I82" s="1076"/>
      <c r="J82" s="1076"/>
      <c r="K82" s="1076"/>
      <c r="L82" s="153" t="str">
        <f t="shared" si="0"/>
        <v>1498</v>
      </c>
      <c r="M82" s="154" t="str">
        <f t="shared" si="1"/>
        <v>AUTRES INVENTAIRES</v>
      </c>
      <c r="N82" s="155">
        <f>+IF(OR($Q82=Parametres!$G$2,$Q82=Parametres!$G$3),I82,C82)</f>
        <v>21987.86</v>
      </c>
      <c r="O82" s="155">
        <f>+IF(OR($Q82=Parametres!$G$2,$Q82=Parametres!$G$3),J82,D82)</f>
        <v>6984.88</v>
      </c>
      <c r="P82" s="155">
        <f>+IF(OR($Q82=Parametres!$G$2,$Q82=Parametres!$G$3),K82,E82)</f>
        <v>28972.74</v>
      </c>
      <c r="Q82" s="154" t="str">
        <f t="shared" ref="Q82:S97" si="7">+F82</f>
        <v>2-Actifs</v>
      </c>
      <c r="R82" s="153" t="str">
        <f t="shared" si="7"/>
        <v>1498</v>
      </c>
      <c r="S82" s="154">
        <f t="shared" si="7"/>
        <v>0</v>
      </c>
      <c r="T82" s="156" t="str">
        <f>+VLOOKUP($L82,Data_Validation!$A:$D,1,0)</f>
        <v>1498</v>
      </c>
      <c r="U82" s="156" t="str">
        <f>+VLOOKUP($L82,Data_Validation!$A:$D,3,0)</f>
        <v>Bilan</v>
      </c>
      <c r="V82" s="156" t="str">
        <f>+VLOOKUP($L82,Data_Validation!$A:$D,4,0)</f>
        <v>Inventaire Pièces, Pneus, Huile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072" t="s">
        <v>2104</v>
      </c>
      <c r="B83" s="1072" t="s">
        <v>2105</v>
      </c>
      <c r="C83" s="1074">
        <v>3824.63</v>
      </c>
      <c r="D83" s="1074">
        <v>1752.39</v>
      </c>
      <c r="E83" s="1074">
        <v>5577.02</v>
      </c>
      <c r="F83" s="1072" t="s">
        <v>293</v>
      </c>
      <c r="G83" s="1072" t="s">
        <v>2106</v>
      </c>
      <c r="H83" s="1075"/>
      <c r="I83" s="1076"/>
      <c r="J83" s="1076"/>
      <c r="K83" s="1076"/>
      <c r="L83" s="153" t="str">
        <f t="shared" si="0"/>
        <v>1502</v>
      </c>
      <c r="M83" s="154" t="str">
        <f t="shared" si="1"/>
        <v>FPA PUB.VEHICULES NEUFS</v>
      </c>
      <c r="N83" s="155">
        <f>+IF(OR($Q83=Parametres!$G$2,$Q83=Parametres!$G$3),I83,C83)</f>
        <v>3824.63</v>
      </c>
      <c r="O83" s="155">
        <f>+IF(OR($Q83=Parametres!$G$2,$Q83=Parametres!$G$3),J83,D83)</f>
        <v>1752.39</v>
      </c>
      <c r="P83" s="155">
        <f>+IF(OR($Q83=Parametres!$G$2,$Q83=Parametres!$G$3),K83,E83)</f>
        <v>5577.02</v>
      </c>
      <c r="Q83" s="154" t="str">
        <f t="shared" si="7"/>
        <v>2-Actifs</v>
      </c>
      <c r="R83" s="153" t="str">
        <f t="shared" si="7"/>
        <v>1500</v>
      </c>
      <c r="S83" s="154">
        <f t="shared" si="7"/>
        <v>0</v>
      </c>
      <c r="T83" s="156" t="str">
        <f>+VLOOKUP($L83,Data_Validation!$A:$D,1,0)</f>
        <v>1502</v>
      </c>
      <c r="U83" s="156" t="str">
        <f>+VLOOKUP($L83,Data_Validation!$A:$D,3,0)</f>
        <v>Bilan</v>
      </c>
      <c r="V83" s="156" t="str">
        <f>+VLOOKUP($L83,Data_Validation!$A:$D,4,0)</f>
        <v>Frais Payés d'Avance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72" t="s">
        <v>2130</v>
      </c>
      <c r="B84" s="1072" t="s">
        <v>2131</v>
      </c>
      <c r="C84" s="1074">
        <v>3917</v>
      </c>
      <c r="D84" s="1074">
        <v>-2507.6</v>
      </c>
      <c r="E84" s="1074">
        <v>1409.4</v>
      </c>
      <c r="F84" s="1072" t="s">
        <v>293</v>
      </c>
      <c r="G84" s="1072" t="s">
        <v>2106</v>
      </c>
      <c r="H84" s="1075"/>
      <c r="I84" s="1076"/>
      <c r="J84" s="1076"/>
      <c r="K84" s="1076"/>
      <c r="L84" s="153" t="str">
        <f t="shared" si="0"/>
        <v>1504</v>
      </c>
      <c r="M84" s="154" t="str">
        <f t="shared" si="1"/>
        <v>PUBLICITE VEH USAGES</v>
      </c>
      <c r="N84" s="155">
        <f>+IF(OR($Q84=Parametres!$G$2,$Q84=Parametres!$G$3),I84,C84)</f>
        <v>3917</v>
      </c>
      <c r="O84" s="608">
        <f>+IF(OR($Q84=Parametres!$G$2,$Q84=Parametres!$G$3),J84,D84)</f>
        <v>-2507.6</v>
      </c>
      <c r="P84" s="155">
        <f>+IF(OR($Q84=Parametres!$G$2,$Q84=Parametres!$G$3),K84,E84)</f>
        <v>1409.4</v>
      </c>
      <c r="Q84" s="154" t="str">
        <f t="shared" si="7"/>
        <v>2-Actifs</v>
      </c>
      <c r="R84" s="153" t="str">
        <f t="shared" si="7"/>
        <v>1500</v>
      </c>
      <c r="S84" s="154">
        <f t="shared" si="7"/>
        <v>0</v>
      </c>
      <c r="T84" s="156" t="str">
        <f>+VLOOKUP($L84,Data_Validation!$A:$D,1,0)</f>
        <v>1504</v>
      </c>
      <c r="U84" s="156" t="str">
        <f>+VLOOKUP($L84,Data_Validation!$A:$D,3,0)</f>
        <v>Bilan</v>
      </c>
      <c r="V84" s="156" t="str">
        <f>+VLOOKUP($L84,Data_Validation!$A:$D,4,0)</f>
        <v>Frais Payés d'Avance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72" t="s">
        <v>2806</v>
      </c>
      <c r="B85" s="1072" t="s">
        <v>2807</v>
      </c>
      <c r="C85" s="1074">
        <v>737.06</v>
      </c>
      <c r="D85" s="1074">
        <v>6799.88</v>
      </c>
      <c r="E85" s="1074">
        <v>7536.94</v>
      </c>
      <c r="F85" s="1072" t="s">
        <v>293</v>
      </c>
      <c r="G85" s="1072" t="s">
        <v>2106</v>
      </c>
      <c r="H85" s="1075"/>
      <c r="I85" s="1076"/>
      <c r="J85" s="1076"/>
      <c r="K85" s="1076"/>
      <c r="L85" s="153" t="str">
        <f t="shared" si="0"/>
        <v>1506</v>
      </c>
      <c r="M85" s="154" t="str">
        <f t="shared" si="1"/>
        <v>FPA PUBLICITE SERVICE</v>
      </c>
      <c r="N85" s="155">
        <f>+IF(OR($Q85=Parametres!$G$2,$Q85=Parametres!$G$3),I85,C85)</f>
        <v>737.06</v>
      </c>
      <c r="O85" s="608">
        <f>+IF(OR($Q85=Parametres!$G$2,$Q85=Parametres!$G$3),J85,D85)</f>
        <v>6799.88</v>
      </c>
      <c r="P85" s="155">
        <f>+IF(OR($Q85=Parametres!$G$2,$Q85=Parametres!$G$3),K85,E85)</f>
        <v>7536.94</v>
      </c>
      <c r="Q85" s="154" t="str">
        <f t="shared" si="7"/>
        <v>2-Actifs</v>
      </c>
      <c r="R85" s="153" t="str">
        <f t="shared" si="7"/>
        <v>1500</v>
      </c>
      <c r="S85" s="154">
        <f t="shared" si="7"/>
        <v>0</v>
      </c>
      <c r="T85" s="156" t="str">
        <f>+VLOOKUP($L85,Data_Validation!$A:$D,1,0)</f>
        <v>1506</v>
      </c>
      <c r="U85" s="156" t="str">
        <f>+VLOOKUP($L85,Data_Validation!$A:$D,3,0)</f>
        <v>Bilan</v>
      </c>
      <c r="V85" s="156" t="str">
        <f>+VLOOKUP($L85,Data_Validation!$A:$D,4,0)</f>
        <v>Frais Payés d'Avance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72" t="s">
        <v>2642</v>
      </c>
      <c r="B86" s="1072" t="s">
        <v>2643</v>
      </c>
      <c r="C86" s="1074">
        <v>1798</v>
      </c>
      <c r="D86" s="1074">
        <v>-150</v>
      </c>
      <c r="E86" s="1074">
        <v>1648</v>
      </c>
      <c r="F86" s="1072" t="s">
        <v>293</v>
      </c>
      <c r="G86" s="1072" t="s">
        <v>2106</v>
      </c>
      <c r="H86" s="1075"/>
      <c r="I86" s="1076"/>
      <c r="J86" s="1076"/>
      <c r="K86" s="1076"/>
      <c r="L86" s="153" t="str">
        <f t="shared" si="0"/>
        <v>1510</v>
      </c>
      <c r="M86" s="154" t="str">
        <f t="shared" si="1"/>
        <v>DIAMOND KOTE (NANO)</v>
      </c>
      <c r="N86" s="155">
        <f>+IF(OR($Q86=Parametres!$G$2,$Q86=Parametres!$G$3),I86,C86)</f>
        <v>1798</v>
      </c>
      <c r="O86" s="155">
        <f>+IF(OR($Q86=Parametres!$G$2,$Q86=Parametres!$G$3),J86,D86)</f>
        <v>-150</v>
      </c>
      <c r="P86" s="155">
        <f>+IF(OR($Q86=Parametres!$G$2,$Q86=Parametres!$G$3),K86,E86)</f>
        <v>1648</v>
      </c>
      <c r="Q86" s="154" t="str">
        <f t="shared" si="7"/>
        <v>2-Actifs</v>
      </c>
      <c r="R86" s="153" t="str">
        <f t="shared" si="7"/>
        <v>1500</v>
      </c>
      <c r="S86" s="154">
        <f t="shared" si="7"/>
        <v>0</v>
      </c>
      <c r="T86" s="156" t="str">
        <f>+VLOOKUP($L86,Data_Validation!$A:$D,1,0)</f>
        <v>1510</v>
      </c>
      <c r="U86" s="156" t="str">
        <f>+VLOOKUP($L86,Data_Validation!$A:$D,3,0)</f>
        <v>Bilan</v>
      </c>
      <c r="V86" s="156" t="str">
        <f>+VLOOKUP($L86,Data_Validation!$A:$D,4,0)</f>
        <v>Frais Payés d'Avance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72" t="s">
        <v>2152</v>
      </c>
      <c r="B87" s="1072" t="s">
        <v>2153</v>
      </c>
      <c r="C87" s="1074">
        <v>2149.23</v>
      </c>
      <c r="D87" s="1074">
        <v>-2040.04</v>
      </c>
      <c r="E87" s="1074">
        <v>109.19</v>
      </c>
      <c r="F87" s="1072" t="s">
        <v>293</v>
      </c>
      <c r="G87" s="1072" t="s">
        <v>2106</v>
      </c>
      <c r="H87" s="1075"/>
      <c r="I87" s="1076"/>
      <c r="J87" s="1076"/>
      <c r="K87" s="1076"/>
      <c r="L87" s="153" t="str">
        <f t="shared" si="0"/>
        <v>1520</v>
      </c>
      <c r="M87" s="154" t="str">
        <f t="shared" si="1"/>
        <v>FPA IMMATRICULATION</v>
      </c>
      <c r="N87" s="155">
        <f>+IF(OR($Q87=Parametres!$G$2,$Q87=Parametres!$G$3),I87,C87)</f>
        <v>2149.23</v>
      </c>
      <c r="O87" s="155">
        <f>+IF(OR($Q87=Parametres!$G$2,$Q87=Parametres!$G$3),J87,D87)</f>
        <v>-2040.04</v>
      </c>
      <c r="P87" s="155">
        <f>+IF(OR($Q87=Parametres!$G$2,$Q87=Parametres!$G$3),K87,E87)</f>
        <v>109.19</v>
      </c>
      <c r="Q87" s="154" t="str">
        <f t="shared" si="7"/>
        <v>2-Actifs</v>
      </c>
      <c r="R87" s="153" t="str">
        <f t="shared" si="7"/>
        <v>1500</v>
      </c>
      <c r="S87" s="154">
        <f t="shared" si="7"/>
        <v>0</v>
      </c>
      <c r="T87" s="156" t="str">
        <f>+VLOOKUP($L87,Data_Validation!$A:$D,1,0)</f>
        <v>1520</v>
      </c>
      <c r="U87" s="156" t="str">
        <f>+VLOOKUP($L87,Data_Validation!$A:$D,3,0)</f>
        <v>Bilan</v>
      </c>
      <c r="V87" s="156" t="str">
        <f>+VLOOKUP($L87,Data_Validation!$A:$D,4,0)</f>
        <v>Frais Payés d'Avance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72" t="s">
        <v>2396</v>
      </c>
      <c r="B88" s="1072" t="s">
        <v>2397</v>
      </c>
      <c r="C88" s="1074">
        <v>17926</v>
      </c>
      <c r="D88" s="1074">
        <v>-2310</v>
      </c>
      <c r="E88" s="1074">
        <v>15616</v>
      </c>
      <c r="F88" s="1072" t="s">
        <v>293</v>
      </c>
      <c r="G88" s="1072" t="s">
        <v>2106</v>
      </c>
      <c r="H88" s="1075"/>
      <c r="I88" s="1076"/>
      <c r="J88" s="1076"/>
      <c r="K88" s="1076"/>
      <c r="L88" s="153" t="str">
        <f t="shared" si="0"/>
        <v>1522</v>
      </c>
      <c r="M88" s="154" t="str">
        <f t="shared" si="1"/>
        <v>ASSURANCE DALE PARIZEAU</v>
      </c>
      <c r="N88" s="155">
        <f>+IF(OR($Q88=Parametres!$G$2,$Q88=Parametres!$G$3),I88,C88)</f>
        <v>17926</v>
      </c>
      <c r="O88" s="608">
        <f>+IF(OR($Q88=Parametres!$G$2,$Q88=Parametres!$G$3),J88,D88)</f>
        <v>-2310</v>
      </c>
      <c r="P88" s="155">
        <f>+IF(OR($Q88=Parametres!$G$2,$Q88=Parametres!$G$3),K88,E88)</f>
        <v>15616</v>
      </c>
      <c r="Q88" s="154" t="str">
        <f t="shared" si="7"/>
        <v>2-Actifs</v>
      </c>
      <c r="R88" s="153" t="str">
        <f t="shared" si="7"/>
        <v>1500</v>
      </c>
      <c r="S88" s="154">
        <f t="shared" si="7"/>
        <v>0</v>
      </c>
      <c r="T88" s="156" t="str">
        <f>+VLOOKUP($L88,Data_Validation!$A:$D,1,0)</f>
        <v>1522</v>
      </c>
      <c r="U88" s="156" t="str">
        <f>+VLOOKUP($L88,Data_Validation!$A:$D,3,0)</f>
        <v>Bilan</v>
      </c>
      <c r="V88" s="156" t="str">
        <f>+VLOOKUP($L88,Data_Validation!$A:$D,4,0)</f>
        <v>Frais Payés d'Avance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72" t="s">
        <v>2857</v>
      </c>
      <c r="B89" s="1072" t="s">
        <v>2858</v>
      </c>
      <c r="C89" s="1074">
        <v>2694</v>
      </c>
      <c r="D89" s="1074">
        <v>-385</v>
      </c>
      <c r="E89" s="1074">
        <v>2309</v>
      </c>
      <c r="F89" s="1072" t="s">
        <v>293</v>
      </c>
      <c r="G89" s="1072" t="s">
        <v>2106</v>
      </c>
      <c r="H89" s="1075"/>
      <c r="I89" s="1076"/>
      <c r="J89" s="1076"/>
      <c r="K89" s="1076"/>
      <c r="L89" s="153" t="str">
        <f t="shared" si="0"/>
        <v>1524</v>
      </c>
      <c r="M89" s="154" t="str">
        <f t="shared" si="1"/>
        <v>FPS ASSURANCE DEMO</v>
      </c>
      <c r="N89" s="155">
        <f>+IF(OR($Q89=Parametres!$G$2,$Q89=Parametres!$G$3),I89,C89)</f>
        <v>2694</v>
      </c>
      <c r="O89" s="155">
        <f>+IF(OR($Q89=Parametres!$G$2,$Q89=Parametres!$G$3),J89,D89)</f>
        <v>-385</v>
      </c>
      <c r="P89" s="155">
        <f>+IF(OR($Q89=Parametres!$G$2,$Q89=Parametres!$G$3),K89,E89)</f>
        <v>2309</v>
      </c>
      <c r="Q89" s="154" t="str">
        <f t="shared" si="7"/>
        <v>2-Actifs</v>
      </c>
      <c r="R89" s="153" t="str">
        <f t="shared" si="7"/>
        <v>1500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hidden="1" customHeight="1">
      <c r="A90" s="1072" t="s">
        <v>2124</v>
      </c>
      <c r="B90" s="1072" t="s">
        <v>2125</v>
      </c>
      <c r="C90" s="1074">
        <v>0</v>
      </c>
      <c r="D90" s="1074">
        <v>-2000</v>
      </c>
      <c r="E90" s="1074">
        <v>-2000</v>
      </c>
      <c r="F90" s="1072" t="s">
        <v>293</v>
      </c>
      <c r="G90" s="1072" t="s">
        <v>2106</v>
      </c>
      <c r="H90" s="1075"/>
      <c r="I90" s="1076"/>
      <c r="J90" s="1076"/>
      <c r="K90" s="1076"/>
      <c r="L90" s="153" t="str">
        <f t="shared" si="0"/>
        <v>1528</v>
      </c>
      <c r="M90" s="154" t="str">
        <f t="shared" si="1"/>
        <v>FPA DEDUCTIBLE ASSURANCE</v>
      </c>
      <c r="N90" s="155">
        <f>+IF(OR($Q90=Parametres!$G$2,$Q90=Parametres!$G$3),I90,C90)</f>
        <v>0</v>
      </c>
      <c r="O90" s="155">
        <f>+IF(OR($Q90=Parametres!$G$2,$Q90=Parametres!$G$3),J90,D90)</f>
        <v>-2000</v>
      </c>
      <c r="P90" s="155">
        <f>+IF(OR($Q90=Parametres!$G$2,$Q90=Parametres!$G$3),K90,E90)</f>
        <v>-2000</v>
      </c>
      <c r="Q90" s="154" t="str">
        <f t="shared" si="7"/>
        <v>2-Actifs</v>
      </c>
      <c r="R90" s="153" t="str">
        <f t="shared" si="7"/>
        <v>1500</v>
      </c>
      <c r="S90" s="154">
        <f t="shared" si="7"/>
        <v>0</v>
      </c>
      <c r="T90" s="156" t="str">
        <f>+VLOOKUP($L90,Data_Validation!$A:$D,1,0)</f>
        <v>1528</v>
      </c>
      <c r="U90" s="156" t="str">
        <f>+VLOOKUP($L90,Data_Validation!$A:$D,3,0)</f>
        <v>Bilan</v>
      </c>
      <c r="V90" s="156" t="str">
        <f>+VLOOKUP($L90,Data_Validation!$A:$D,4,0)</f>
        <v>Autres Courus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72" t="s">
        <v>2605</v>
      </c>
      <c r="B91" s="1072" t="s">
        <v>2606</v>
      </c>
      <c r="C91" s="1074">
        <v>2432.79</v>
      </c>
      <c r="D91" s="1074">
        <v>-669.43</v>
      </c>
      <c r="E91" s="1074">
        <v>1763.36</v>
      </c>
      <c r="F91" s="1072" t="s">
        <v>293</v>
      </c>
      <c r="G91" s="1072" t="s">
        <v>2106</v>
      </c>
      <c r="H91" s="1075"/>
      <c r="I91" s="1076"/>
      <c r="J91" s="1076"/>
      <c r="K91" s="1076"/>
      <c r="L91" s="153" t="str">
        <f t="shared" si="0"/>
        <v>1530</v>
      </c>
      <c r="M91" s="154" t="str">
        <f t="shared" si="1"/>
        <v>FPA PAPETERIE</v>
      </c>
      <c r="N91" s="155">
        <f>+IF(OR($Q91=Parametres!$G$2,$Q91=Parametres!$G$3),I91,C91)</f>
        <v>2432.79</v>
      </c>
      <c r="O91" s="155">
        <f>+IF(OR($Q91=Parametres!$G$2,$Q91=Parametres!$G$3),J91,D91)</f>
        <v>-669.43</v>
      </c>
      <c r="P91" s="155">
        <f>+IF(OR($Q91=Parametres!$G$2,$Q91=Parametres!$G$3),K91,E91)</f>
        <v>1763.36</v>
      </c>
      <c r="Q91" s="154" t="str">
        <f t="shared" si="7"/>
        <v>2-Actifs</v>
      </c>
      <c r="R91" s="153" t="str">
        <f t="shared" si="7"/>
        <v>1500</v>
      </c>
      <c r="S91" s="154">
        <f t="shared" si="7"/>
        <v>0</v>
      </c>
      <c r="T91" s="156" t="str">
        <f>+VLOOKUP($L91,Data_Validation!$A:$D,1,0)</f>
        <v>1530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72" t="s">
        <v>2181</v>
      </c>
      <c r="B92" s="1072" t="s">
        <v>2182</v>
      </c>
      <c r="C92" s="1074">
        <v>2313.9499999999998</v>
      </c>
      <c r="D92" s="1074">
        <v>-200</v>
      </c>
      <c r="E92" s="1074">
        <v>2113.9499999999998</v>
      </c>
      <c r="F92" s="1072" t="s">
        <v>293</v>
      </c>
      <c r="G92" s="1072" t="s">
        <v>2106</v>
      </c>
      <c r="H92" s="1075"/>
      <c r="I92" s="1076"/>
      <c r="J92" s="1076"/>
      <c r="K92" s="1076"/>
      <c r="L92" s="153" t="str">
        <f t="shared" si="0"/>
        <v>1532</v>
      </c>
      <c r="M92" s="154" t="str">
        <f t="shared" si="1"/>
        <v>FPA C.C.A.M.Q.</v>
      </c>
      <c r="N92" s="155">
        <f>+IF(OR($Q92=Parametres!$G$2,$Q92=Parametres!$G$3),I92,C92)</f>
        <v>2313.9499999999998</v>
      </c>
      <c r="O92" s="155">
        <f>+IF(OR($Q92=Parametres!$G$2,$Q92=Parametres!$G$3),J92,D92)</f>
        <v>-200</v>
      </c>
      <c r="P92" s="155">
        <f>+IF(OR($Q92=Parametres!$G$2,$Q92=Parametres!$G$3),K92,E92)</f>
        <v>2113.9499999999998</v>
      </c>
      <c r="Q92" s="154" t="str">
        <f t="shared" si="7"/>
        <v>2-Actifs</v>
      </c>
      <c r="R92" s="153" t="str">
        <f t="shared" si="7"/>
        <v>1500</v>
      </c>
      <c r="S92" s="154">
        <f t="shared" si="7"/>
        <v>0</v>
      </c>
      <c r="T92" s="156" t="str">
        <f>+VLOOKUP($L92,Data_Validation!$A:$D,1,0)</f>
        <v>1532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72" t="s">
        <v>2199</v>
      </c>
      <c r="B93" s="1072" t="s">
        <v>2200</v>
      </c>
      <c r="C93" s="1074">
        <v>2607.23</v>
      </c>
      <c r="D93" s="1074">
        <v>-1173.3900000000001</v>
      </c>
      <c r="E93" s="1074">
        <v>1433.84</v>
      </c>
      <c r="F93" s="1072" t="s">
        <v>293</v>
      </c>
      <c r="G93" s="1072" t="s">
        <v>2106</v>
      </c>
      <c r="H93" s="1075"/>
      <c r="I93" s="1076"/>
      <c r="J93" s="1076"/>
      <c r="K93" s="1076"/>
      <c r="L93" s="153" t="str">
        <f t="shared" si="0"/>
        <v>1534</v>
      </c>
      <c r="M93" s="154" t="str">
        <f t="shared" si="1"/>
        <v>FPA FOURNITURES LAVAGE</v>
      </c>
      <c r="N93" s="155">
        <f>+IF(OR($Q93=Parametres!$G$2,$Q93=Parametres!$G$3),I93,C93)</f>
        <v>2607.23</v>
      </c>
      <c r="O93" s="608">
        <f>+IF(OR($Q93=Parametres!$G$2,$Q93=Parametres!$G$3),J93,D93)</f>
        <v>-1173.3900000000001</v>
      </c>
      <c r="P93" s="155">
        <f>+IF(OR($Q93=Parametres!$G$2,$Q93=Parametres!$G$3),K93,E93)</f>
        <v>1433.84</v>
      </c>
      <c r="Q93" s="154" t="str">
        <f t="shared" si="7"/>
        <v>2-Actifs</v>
      </c>
      <c r="R93" s="153" t="str">
        <f t="shared" si="7"/>
        <v>1500</v>
      </c>
      <c r="S93" s="154">
        <f t="shared" si="7"/>
        <v>0</v>
      </c>
      <c r="T93" s="156" t="str">
        <f>+VLOOKUP($L93,Data_Validation!$A:$D,1,0)</f>
        <v>1534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72" t="s">
        <v>2398</v>
      </c>
      <c r="B94" s="1072" t="s">
        <v>2399</v>
      </c>
      <c r="C94" s="1074">
        <v>0</v>
      </c>
      <c r="D94" s="1074">
        <v>-2058.09</v>
      </c>
      <c r="E94" s="1074">
        <v>-2058.09</v>
      </c>
      <c r="F94" s="1072" t="s">
        <v>293</v>
      </c>
      <c r="G94" s="1072" t="s">
        <v>2106</v>
      </c>
      <c r="H94" s="1075"/>
      <c r="I94" s="1076"/>
      <c r="J94" s="1076"/>
      <c r="K94" s="1076"/>
      <c r="L94" s="153" t="str">
        <f t="shared" si="0"/>
        <v>1536</v>
      </c>
      <c r="M94" s="154" t="str">
        <f t="shared" si="1"/>
        <v>FPA HONORAIRES PROFESSIONNELS</v>
      </c>
      <c r="N94" s="155">
        <f>+IF(OR($Q94=Parametres!$G$2,$Q94=Parametres!$G$3),I94,C94)</f>
        <v>0</v>
      </c>
      <c r="O94" s="155">
        <f>+IF(OR($Q94=Parametres!$G$2,$Q94=Parametres!$G$3),J94,D94)</f>
        <v>-2058.09</v>
      </c>
      <c r="P94" s="155">
        <f>+IF(OR($Q94=Parametres!$G$2,$Q94=Parametres!$G$3),K94,E94)</f>
        <v>-2058.09</v>
      </c>
      <c r="Q94" s="154" t="str">
        <f t="shared" si="7"/>
        <v>2-Actifs</v>
      </c>
      <c r="R94" s="153" t="str">
        <f t="shared" si="7"/>
        <v>1500</v>
      </c>
      <c r="S94" s="154">
        <f t="shared" si="7"/>
        <v>0</v>
      </c>
      <c r="T94" s="156" t="str">
        <f>+VLOOKUP($L94,Data_Validation!$A:$D,1,0)</f>
        <v>1536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72" t="s">
        <v>2682</v>
      </c>
      <c r="B95" s="1072" t="s">
        <v>2683</v>
      </c>
      <c r="C95" s="1074">
        <v>0</v>
      </c>
      <c r="D95" s="1074">
        <v>-7523.53</v>
      </c>
      <c r="E95" s="1074">
        <v>-7523.53</v>
      </c>
      <c r="F95" s="1072" t="s">
        <v>293</v>
      </c>
      <c r="G95" s="1072" t="s">
        <v>2106</v>
      </c>
      <c r="H95" s="1075"/>
      <c r="I95" s="1076"/>
      <c r="J95" s="1076"/>
      <c r="K95" s="1076"/>
      <c r="L95" s="153" t="str">
        <f t="shared" si="0"/>
        <v>1538</v>
      </c>
      <c r="M95" s="154" t="str">
        <f t="shared" si="1"/>
        <v>FPA FORMATION</v>
      </c>
      <c r="N95" s="155">
        <f>+IF(OR($Q95=Parametres!$G$2,$Q95=Parametres!$G$3),I95,C95)</f>
        <v>0</v>
      </c>
      <c r="O95" s="155">
        <f>+IF(OR($Q95=Parametres!$G$2,$Q95=Parametres!$G$3),J95,D95)</f>
        <v>-7523.53</v>
      </c>
      <c r="P95" s="155">
        <f>+IF(OR($Q95=Parametres!$G$2,$Q95=Parametres!$G$3),K95,E95)</f>
        <v>-7523.53</v>
      </c>
      <c r="Q95" s="154" t="str">
        <f t="shared" si="7"/>
        <v>2-Actifs</v>
      </c>
      <c r="R95" s="153" t="str">
        <f t="shared" si="7"/>
        <v>1500</v>
      </c>
      <c r="S95" s="154">
        <f t="shared" si="7"/>
        <v>0</v>
      </c>
      <c r="T95" s="156" t="str">
        <f>+VLOOKUP($L95,Data_Validation!$A:$D,1,0)</f>
        <v>1538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72" t="s">
        <v>2785</v>
      </c>
      <c r="B96" s="1072" t="s">
        <v>2786</v>
      </c>
      <c r="C96" s="1074">
        <v>3306.46</v>
      </c>
      <c r="D96" s="1074">
        <v>-5455.56</v>
      </c>
      <c r="E96" s="1074">
        <v>-2149.1</v>
      </c>
      <c r="F96" s="1072" t="s">
        <v>293</v>
      </c>
      <c r="G96" s="1072" t="s">
        <v>2106</v>
      </c>
      <c r="H96" s="1075"/>
      <c r="I96" s="1076"/>
      <c r="J96" s="1076"/>
      <c r="K96" s="1076"/>
      <c r="L96" s="153" t="str">
        <f t="shared" si="0"/>
        <v>1540</v>
      </c>
      <c r="M96" s="154" t="str">
        <f t="shared" si="1"/>
        <v>FPA CONTRATS DE SERVICES</v>
      </c>
      <c r="N96" s="155">
        <f>+IF(OR($Q96=Parametres!$G$2,$Q96=Parametres!$G$3),I96,C96)</f>
        <v>3306.46</v>
      </c>
      <c r="O96" s="155">
        <f>+IF(OR($Q96=Parametres!$G$2,$Q96=Parametres!$G$3),J96,D96)</f>
        <v>-5455.56</v>
      </c>
      <c r="P96" s="155">
        <f>+IF(OR($Q96=Parametres!$G$2,$Q96=Parametres!$G$3),K96,E96)</f>
        <v>-2149.1</v>
      </c>
      <c r="Q96" s="154" t="str">
        <f t="shared" si="7"/>
        <v>2-Actifs</v>
      </c>
      <c r="R96" s="153" t="str">
        <f t="shared" si="7"/>
        <v>1500</v>
      </c>
      <c r="S96" s="154">
        <f t="shared" si="7"/>
        <v>0</v>
      </c>
      <c r="T96" s="156" t="str">
        <f>+VLOOKUP($L96,Data_Validation!$A:$D,1,0)</f>
        <v>1540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72" t="s">
        <v>2201</v>
      </c>
      <c r="B97" s="1072" t="s">
        <v>2202</v>
      </c>
      <c r="C97" s="1074">
        <v>-2603.13</v>
      </c>
      <c r="D97" s="1074">
        <v>5508.94</v>
      </c>
      <c r="E97" s="1074">
        <v>2905.81</v>
      </c>
      <c r="F97" s="1072" t="s">
        <v>293</v>
      </c>
      <c r="G97" s="1072" t="s">
        <v>2106</v>
      </c>
      <c r="H97" s="1050"/>
      <c r="I97" s="1050"/>
      <c r="J97" s="1050"/>
      <c r="K97" s="1050"/>
      <c r="L97" s="153" t="str">
        <f t="shared" si="0"/>
        <v>1544</v>
      </c>
      <c r="M97" s="154" t="str">
        <f t="shared" si="1"/>
        <v>FPA GAZ METROPOLITAIN</v>
      </c>
      <c r="N97" s="155">
        <f>+IF(OR($Q97=Parametres!$G$2,$Q97=Parametres!$G$3),I97,C97)</f>
        <v>-2603.13</v>
      </c>
      <c r="O97" s="155">
        <f>+IF(OR($Q97=Parametres!$G$2,$Q97=Parametres!$G$3),J97,D97)</f>
        <v>5508.94</v>
      </c>
      <c r="P97" s="155">
        <f>+IF(OR($Q97=Parametres!$G$2,$Q97=Parametres!$G$3),K97,E97)</f>
        <v>2905.81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1544</v>
      </c>
      <c r="U97" s="156" t="str">
        <f>+VLOOKUP($L97,Data_Validation!$A:$D,3,0)</f>
        <v>Bilan</v>
      </c>
      <c r="V97" s="156" t="str">
        <f>+VLOOKUP($L97,Data_Validation!$A:$D,4,0)</f>
        <v>Autres Courus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72" t="s">
        <v>2186</v>
      </c>
      <c r="B98" s="1072" t="s">
        <v>2187</v>
      </c>
      <c r="C98" s="1074">
        <v>-2306.11</v>
      </c>
      <c r="D98" s="1074">
        <v>-625.25</v>
      </c>
      <c r="E98" s="1074">
        <v>-2931.36</v>
      </c>
      <c r="F98" s="1072" t="s">
        <v>293</v>
      </c>
      <c r="G98" s="1072" t="s">
        <v>2106</v>
      </c>
      <c r="H98" s="1050"/>
      <c r="I98" s="1050"/>
      <c r="J98" s="1050"/>
      <c r="K98" s="1050"/>
      <c r="L98" s="153" t="str">
        <f t="shared" si="0"/>
        <v>1546</v>
      </c>
      <c r="M98" s="154" t="str">
        <f t="shared" si="1"/>
        <v>FPA ELECTRICITE HYDRO-QUEBEC</v>
      </c>
      <c r="N98" s="155">
        <f>+IF(OR($Q98=Parametres!$G$2,$Q98=Parametres!$G$3),I98,C98)</f>
        <v>-2306.11</v>
      </c>
      <c r="O98" s="155">
        <f>+IF(OR($Q98=Parametres!$G$2,$Q98=Parametres!$G$3),J98,D98)</f>
        <v>-625.25</v>
      </c>
      <c r="P98" s="155">
        <f>+IF(OR($Q98=Parametres!$G$2,$Q98=Parametres!$G$3),K98,E98)</f>
        <v>-2931.36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1546</v>
      </c>
      <c r="U98" s="156" t="str">
        <f>+VLOOKUP($L98,Data_Validation!$A:$D,3,0)</f>
        <v>Bilan</v>
      </c>
      <c r="V98" s="156" t="str">
        <f>+VLOOKUP($L98,Data_Validation!$A:$D,4,0)</f>
        <v>Autres Courus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72" t="s">
        <v>2122</v>
      </c>
      <c r="B99" s="1072" t="s">
        <v>2123</v>
      </c>
      <c r="C99" s="1074">
        <v>17269</v>
      </c>
      <c r="D99" s="1074">
        <v>1921.77</v>
      </c>
      <c r="E99" s="1074">
        <v>19190.77</v>
      </c>
      <c r="F99" s="1072" t="s">
        <v>293</v>
      </c>
      <c r="G99" s="1072" t="s">
        <v>2106</v>
      </c>
      <c r="H99" s="1050"/>
      <c r="I99" s="1050"/>
      <c r="J99" s="1050"/>
      <c r="K99" s="1050"/>
      <c r="L99" s="153" t="str">
        <f t="shared" si="0"/>
        <v>1552</v>
      </c>
      <c r="M99" s="154" t="str">
        <f t="shared" si="1"/>
        <v>FPA C.S.S.T.</v>
      </c>
      <c r="N99" s="155">
        <f>+IF(OR($Q99=Parametres!$G$2,$Q99=Parametres!$G$3),I99,C99)</f>
        <v>17269</v>
      </c>
      <c r="O99" s="155">
        <f>+IF(OR($Q99=Parametres!$G$2,$Q99=Parametres!$G$3),J99,D99)</f>
        <v>1921.77</v>
      </c>
      <c r="P99" s="155">
        <f>+IF(OR($Q99=Parametres!$G$2,$Q99=Parametres!$G$3),K99,E99)</f>
        <v>19190.77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1552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72" t="s">
        <v>2116</v>
      </c>
      <c r="B100" s="1072" t="s">
        <v>2117</v>
      </c>
      <c r="C100" s="1074">
        <v>0</v>
      </c>
      <c r="D100" s="1074">
        <v>-4275</v>
      </c>
      <c r="E100" s="1074">
        <v>-4275</v>
      </c>
      <c r="F100" s="1072" t="s">
        <v>293</v>
      </c>
      <c r="G100" s="1072" t="s">
        <v>2106</v>
      </c>
      <c r="H100" s="1050"/>
      <c r="I100" s="1050"/>
      <c r="J100" s="1050"/>
      <c r="K100" s="1050"/>
      <c r="L100" s="153" t="str">
        <f t="shared" si="0"/>
        <v>1582</v>
      </c>
      <c r="M100" s="154" t="str">
        <f t="shared" si="1"/>
        <v>FPA TAXES MUNICIPALES</v>
      </c>
      <c r="N100" s="155">
        <f>+IF(OR($Q100=Parametres!$G$2,$Q100=Parametres!$G$3),I100,C100)</f>
        <v>0</v>
      </c>
      <c r="O100" s="155">
        <f>+IF(OR($Q100=Parametres!$G$2,$Q100=Parametres!$G$3),J100,D100)</f>
        <v>-4275</v>
      </c>
      <c r="P100" s="155">
        <f>+IF(OR($Q100=Parametres!$G$2,$Q100=Parametres!$G$3),K100,E100)</f>
        <v>-4275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1582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72" t="s">
        <v>2142</v>
      </c>
      <c r="B101" s="1072" t="s">
        <v>2143</v>
      </c>
      <c r="C101" s="1074">
        <v>0</v>
      </c>
      <c r="D101" s="1074">
        <v>-2925</v>
      </c>
      <c r="E101" s="1074">
        <v>-2925</v>
      </c>
      <c r="F101" s="1072" t="s">
        <v>293</v>
      </c>
      <c r="G101" s="1072" t="s">
        <v>2106</v>
      </c>
      <c r="H101" s="1050"/>
      <c r="I101" s="1050"/>
      <c r="J101" s="1050"/>
      <c r="K101" s="1050"/>
      <c r="L101" s="153" t="str">
        <f t="shared" si="0"/>
        <v>1584</v>
      </c>
      <c r="M101" s="154" t="str">
        <f t="shared" si="1"/>
        <v>FPA TAXES AFFAIRES</v>
      </c>
      <c r="N101" s="155">
        <f>+IF(OR($Q101=Parametres!$G$2,$Q101=Parametres!$G$3),I101,C101)</f>
        <v>0</v>
      </c>
      <c r="O101" s="155">
        <f>+IF(OR($Q101=Parametres!$G$2,$Q101=Parametres!$G$3),J101,D101)</f>
        <v>-2925</v>
      </c>
      <c r="P101" s="155">
        <f>+IF(OR($Q101=Parametres!$G$2,$Q101=Parametres!$G$3),K101,E101)</f>
        <v>-2925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1584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72" t="s">
        <v>2177</v>
      </c>
      <c r="B102" s="1072" t="s">
        <v>2178</v>
      </c>
      <c r="C102" s="1074">
        <v>1991.73</v>
      </c>
      <c r="D102" s="1074">
        <v>-650</v>
      </c>
      <c r="E102" s="1074">
        <v>1341.73</v>
      </c>
      <c r="F102" s="1072" t="s">
        <v>293</v>
      </c>
      <c r="G102" s="1072" t="s">
        <v>2106</v>
      </c>
      <c r="H102" s="1050"/>
      <c r="I102" s="1050"/>
      <c r="J102" s="1050"/>
      <c r="K102" s="1050"/>
      <c r="L102" s="153" t="str">
        <f t="shared" si="0"/>
        <v>1586</v>
      </c>
      <c r="M102" s="154" t="str">
        <f t="shared" si="1"/>
        <v>FPA TAXES SCOLAIRES</v>
      </c>
      <c r="N102" s="155">
        <f>+IF(OR($Q102=Parametres!$G$2,$Q102=Parametres!$G$3),I102,C102)</f>
        <v>1991.73</v>
      </c>
      <c r="O102" s="608">
        <f>+IF(OR($Q102=Parametres!$G$2,$Q102=Parametres!$G$3),J102,D102)</f>
        <v>-650</v>
      </c>
      <c r="P102" s="155">
        <f>+IF(OR($Q102=Parametres!$G$2,$Q102=Parametres!$G$3),K102,E102)</f>
        <v>1341.73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1586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72" t="s">
        <v>2803</v>
      </c>
      <c r="B103" s="1072" t="s">
        <v>2804</v>
      </c>
      <c r="C103" s="1074">
        <v>2910.13</v>
      </c>
      <c r="D103" s="1074">
        <v>97154.57</v>
      </c>
      <c r="E103" s="1074">
        <v>100064.7</v>
      </c>
      <c r="F103" s="1072" t="s">
        <v>293</v>
      </c>
      <c r="G103" s="1072" t="s">
        <v>2106</v>
      </c>
      <c r="H103" s="1050"/>
      <c r="I103" s="1049"/>
      <c r="J103" s="1049"/>
      <c r="K103" s="1049"/>
      <c r="L103" s="153" t="str">
        <f t="shared" si="0"/>
        <v>1592</v>
      </c>
      <c r="M103" s="154" t="str">
        <f t="shared" si="1"/>
        <v>FPA AUTRES</v>
      </c>
      <c r="N103" s="155">
        <f>+IF(OR($Q103=Parametres!$G$2,$Q103=Parametres!$G$3),I103,C103)</f>
        <v>2910.13</v>
      </c>
      <c r="O103" s="155">
        <f>+IF(OR($Q103=Parametres!$G$2,$Q103=Parametres!$G$3),J103,D103)</f>
        <v>97154.57</v>
      </c>
      <c r="P103" s="155">
        <f>+IF(OR($Q103=Parametres!$G$2,$Q103=Parametres!$G$3),K103,E103)</f>
        <v>100064.7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1592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72" t="s">
        <v>478</v>
      </c>
      <c r="B104" s="1072" t="s">
        <v>2129</v>
      </c>
      <c r="C104" s="1074">
        <v>0</v>
      </c>
      <c r="D104" s="1074">
        <v>-2710.19</v>
      </c>
      <c r="E104" s="1074">
        <v>-2710.19</v>
      </c>
      <c r="F104" s="1072" t="s">
        <v>293</v>
      </c>
      <c r="G104" s="1072" t="s">
        <v>2106</v>
      </c>
      <c r="H104" s="1050"/>
      <c r="I104" s="1049"/>
      <c r="J104" s="1049"/>
      <c r="K104" s="1049"/>
      <c r="L104" s="153" t="str">
        <f t="shared" si="0"/>
        <v>1593</v>
      </c>
      <c r="M104" s="154" t="str">
        <f t="shared" si="1"/>
        <v>FRAIS REPAS ET REPRESENTATION 50%</v>
      </c>
      <c r="N104" s="155">
        <f>+IF(OR($Q104=Parametres!$G$2,$Q104=Parametres!$G$3),I104,C104)</f>
        <v>0</v>
      </c>
      <c r="O104" s="155">
        <f>+IF(OR($Q104=Parametres!$G$2,$Q104=Parametres!$G$3),J104,D104)</f>
        <v>-2710.19</v>
      </c>
      <c r="P104" s="155">
        <f>+IF(OR($Q104=Parametres!$G$2,$Q104=Parametres!$G$3),K104,E104)</f>
        <v>-2710.19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1593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72" t="s">
        <v>2576</v>
      </c>
      <c r="B105" s="1072" t="s">
        <v>2577</v>
      </c>
      <c r="C105" s="1074">
        <v>0</v>
      </c>
      <c r="D105" s="1074">
        <v>46.13</v>
      </c>
      <c r="E105" s="1074">
        <v>46.13</v>
      </c>
      <c r="F105" s="1072" t="s">
        <v>293</v>
      </c>
      <c r="G105" s="1072" t="s">
        <v>2106</v>
      </c>
      <c r="H105" s="1050"/>
      <c r="I105" s="1049"/>
      <c r="J105" s="1049"/>
      <c r="K105" s="1049"/>
      <c r="L105" s="153" t="str">
        <f t="shared" si="0"/>
        <v>1594</v>
      </c>
      <c r="M105" s="154" t="str">
        <f t="shared" si="1"/>
        <v>FRAIS VOYAGE 100%</v>
      </c>
      <c r="N105" s="155">
        <f>+IF(OR($Q105=Parametres!$G$2,$Q105=Parametres!$G$3),I105,C105)</f>
        <v>0</v>
      </c>
      <c r="O105" s="155">
        <f>+IF(OR($Q105=Parametres!$G$2,$Q105=Parametres!$G$3),J105,D105)</f>
        <v>46.13</v>
      </c>
      <c r="P105" s="155">
        <f>+IF(OR($Q105=Parametres!$G$2,$Q105=Parametres!$G$3),K105,E105)</f>
        <v>46.13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1594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72" t="s">
        <v>2400</v>
      </c>
      <c r="B106" s="1072" t="s">
        <v>2401</v>
      </c>
      <c r="C106" s="1074">
        <v>133189.21</v>
      </c>
      <c r="D106" s="1074">
        <v>0</v>
      </c>
      <c r="E106" s="1074">
        <v>133189.21</v>
      </c>
      <c r="F106" s="1072" t="s">
        <v>293</v>
      </c>
      <c r="G106" s="1072" t="s">
        <v>2128</v>
      </c>
      <c r="H106" s="1050"/>
      <c r="I106" s="1049"/>
      <c r="J106" s="1049"/>
      <c r="K106" s="1049"/>
      <c r="L106" s="153" t="str">
        <f t="shared" si="0"/>
        <v>1732</v>
      </c>
      <c r="M106" s="154" t="str">
        <f t="shared" si="1"/>
        <v>AMELIOR. LOCATIVES</v>
      </c>
      <c r="N106" s="155">
        <f>+IF(OR($Q106=Parametres!$G$2,$Q106=Parametres!$G$3),I106,C106)</f>
        <v>133189.21</v>
      </c>
      <c r="O106" s="608">
        <f>+IF(OR($Q106=Parametres!$G$2,$Q106=Parametres!$G$3),J106,D106)</f>
        <v>0</v>
      </c>
      <c r="P106" s="155">
        <f>+IF(OR($Q106=Parametres!$G$2,$Q106=Parametres!$G$3),K106,E106)</f>
        <v>133189.21</v>
      </c>
      <c r="Q106" s="154" t="str">
        <f t="shared" si="8"/>
        <v>2-Actifs</v>
      </c>
      <c r="R106" s="153" t="str">
        <f t="shared" si="8"/>
        <v>1700</v>
      </c>
      <c r="S106" s="154">
        <f t="shared" si="8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72" t="s">
        <v>2156</v>
      </c>
      <c r="B107" s="1072" t="s">
        <v>2157</v>
      </c>
      <c r="C107" s="1074">
        <v>-67222.87</v>
      </c>
      <c r="D107" s="1074">
        <v>-1600</v>
      </c>
      <c r="E107" s="1074">
        <v>-68822.87</v>
      </c>
      <c r="F107" s="1072" t="s">
        <v>293</v>
      </c>
      <c r="G107" s="1072" t="s">
        <v>2128</v>
      </c>
      <c r="H107" s="1050"/>
      <c r="I107" s="1049"/>
      <c r="J107" s="1049"/>
      <c r="K107" s="1049"/>
      <c r="L107" s="153" t="str">
        <f t="shared" si="0"/>
        <v>1733</v>
      </c>
      <c r="M107" s="154" t="str">
        <f t="shared" si="1"/>
        <v>AMORT. CUM. AMEL. LOCAT.</v>
      </c>
      <c r="N107" s="155">
        <f>+IF(OR($Q107=Parametres!$G$2,$Q107=Parametres!$G$3),I107,C107)</f>
        <v>-67222.87</v>
      </c>
      <c r="O107" s="155">
        <f>+IF(OR($Q107=Parametres!$G$2,$Q107=Parametres!$G$3),J107,D107)</f>
        <v>-1600</v>
      </c>
      <c r="P107" s="155">
        <f>+IF(OR($Q107=Parametres!$G$2,$Q107=Parametres!$G$3),K107,E107)</f>
        <v>-68822.87</v>
      </c>
      <c r="Q107" s="154" t="str">
        <f t="shared" si="8"/>
        <v>2-Actifs</v>
      </c>
      <c r="R107" s="153" t="str">
        <f t="shared" si="8"/>
        <v>1700</v>
      </c>
      <c r="S107" s="154">
        <f t="shared" si="8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72" t="s">
        <v>2402</v>
      </c>
      <c r="B108" s="1072" t="s">
        <v>2403</v>
      </c>
      <c r="C108" s="1074">
        <v>862919.43</v>
      </c>
      <c r="D108" s="1074">
        <v>0</v>
      </c>
      <c r="E108" s="1074">
        <v>862919.43</v>
      </c>
      <c r="F108" s="1072" t="s">
        <v>293</v>
      </c>
      <c r="G108" s="1072" t="s">
        <v>2128</v>
      </c>
      <c r="H108" s="1050"/>
      <c r="I108" s="1049"/>
      <c r="J108" s="1049"/>
      <c r="K108" s="1049"/>
      <c r="L108" s="153" t="str">
        <f t="shared" si="0"/>
        <v>1742</v>
      </c>
      <c r="M108" s="154" t="str">
        <f t="shared" si="1"/>
        <v>MACHINERIE &amp; EQUIPEMENT</v>
      </c>
      <c r="N108" s="155">
        <f>+IF(OR($Q108=Parametres!$G$2,$Q108=Parametres!$G$3),I108,C108)</f>
        <v>862919.43</v>
      </c>
      <c r="O108" s="155">
        <f>+IF(OR($Q108=Parametres!$G$2,$Q108=Parametres!$G$3),J108,D108)</f>
        <v>0</v>
      </c>
      <c r="P108" s="155">
        <f>+IF(OR($Q108=Parametres!$G$2,$Q108=Parametres!$G$3),K108,E108)</f>
        <v>862919.43</v>
      </c>
      <c r="Q108" s="154" t="str">
        <f t="shared" si="8"/>
        <v>2-Actifs</v>
      </c>
      <c r="R108" s="153" t="str">
        <f t="shared" si="8"/>
        <v>1700</v>
      </c>
      <c r="S108" s="154">
        <f t="shared" si="8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72" t="s">
        <v>2126</v>
      </c>
      <c r="B109" s="1072" t="s">
        <v>2127</v>
      </c>
      <c r="C109" s="1074">
        <v>-673420.53</v>
      </c>
      <c r="D109" s="1074">
        <v>-3600</v>
      </c>
      <c r="E109" s="1074">
        <v>-677020.53</v>
      </c>
      <c r="F109" s="1072" t="s">
        <v>293</v>
      </c>
      <c r="G109" s="1072" t="s">
        <v>2128</v>
      </c>
      <c r="H109" s="1050"/>
      <c r="I109" s="1049"/>
      <c r="J109" s="1049"/>
      <c r="K109" s="1049"/>
      <c r="L109" s="153" t="str">
        <f t="shared" si="0"/>
        <v>1743</v>
      </c>
      <c r="M109" s="154" t="str">
        <f t="shared" si="1"/>
        <v>AMORTISS.MACHINERIE &amp; EQUIP.</v>
      </c>
      <c r="N109" s="155">
        <f>+IF(OR($Q109=Parametres!$G$2,$Q109=Parametres!$G$3),I109,C109)</f>
        <v>-673420.53</v>
      </c>
      <c r="O109" s="608">
        <f>+IF(OR($Q109=Parametres!$G$2,$Q109=Parametres!$G$3),J109,D109)</f>
        <v>-3600</v>
      </c>
      <c r="P109" s="155">
        <f>+IF(OR($Q109=Parametres!$G$2,$Q109=Parametres!$G$3),K109,E109)</f>
        <v>-677020.53</v>
      </c>
      <c r="Q109" s="154" t="str">
        <f t="shared" si="8"/>
        <v>2-Actifs</v>
      </c>
      <c r="R109" s="153" t="str">
        <f t="shared" si="8"/>
        <v>1700</v>
      </c>
      <c r="S109" s="154">
        <f t="shared" si="8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72" t="s">
        <v>2404</v>
      </c>
      <c r="B110" s="1072" t="s">
        <v>2405</v>
      </c>
      <c r="C110" s="1074">
        <v>47461.59</v>
      </c>
      <c r="D110" s="1074">
        <v>0</v>
      </c>
      <c r="E110" s="1074">
        <v>47461.59</v>
      </c>
      <c r="F110" s="1072" t="s">
        <v>293</v>
      </c>
      <c r="G110" s="1072" t="s">
        <v>2128</v>
      </c>
      <c r="H110" s="1050"/>
      <c r="I110" s="1049"/>
      <c r="J110" s="1049"/>
      <c r="K110" s="1049"/>
      <c r="L110" s="153" t="str">
        <f t="shared" si="0"/>
        <v>1744</v>
      </c>
      <c r="M110" s="154" t="str">
        <f t="shared" si="1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8"/>
        <v>2-Actifs</v>
      </c>
      <c r="R110" s="153" t="str">
        <f t="shared" si="8"/>
        <v>1700</v>
      </c>
      <c r="S110" s="154">
        <f t="shared" si="8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72" t="s">
        <v>2197</v>
      </c>
      <c r="B111" s="1072" t="s">
        <v>2198</v>
      </c>
      <c r="C111" s="1074">
        <v>-44517.66</v>
      </c>
      <c r="D111" s="1074">
        <v>-250</v>
      </c>
      <c r="E111" s="1074">
        <v>-44767.66</v>
      </c>
      <c r="F111" s="1072" t="s">
        <v>293</v>
      </c>
      <c r="G111" s="1072" t="s">
        <v>2128</v>
      </c>
      <c r="H111" s="1050"/>
      <c r="I111" s="1049"/>
      <c r="J111" s="1049"/>
      <c r="K111" s="1049"/>
      <c r="L111" s="153" t="str">
        <f t="shared" si="0"/>
        <v>1745</v>
      </c>
      <c r="M111" s="154" t="str">
        <f t="shared" si="1"/>
        <v>AMORTISS.EQUIPEMENTS PIECES</v>
      </c>
      <c r="N111" s="155">
        <f>+IF(OR($Q111=Parametres!$G$2,$Q111=Parametres!$G$3),I111,C111)</f>
        <v>-44517.66</v>
      </c>
      <c r="O111" s="155">
        <f>+IF(OR($Q111=Parametres!$G$2,$Q111=Parametres!$G$3),J111,D111)</f>
        <v>-250</v>
      </c>
      <c r="P111" s="155">
        <f>+IF(OR($Q111=Parametres!$G$2,$Q111=Parametres!$G$3),K111,E111)</f>
        <v>-44767.66</v>
      </c>
      <c r="Q111" s="154" t="str">
        <f t="shared" si="8"/>
        <v>2-Actifs</v>
      </c>
      <c r="R111" s="153" t="str">
        <f t="shared" si="8"/>
        <v>1700</v>
      </c>
      <c r="S111" s="154">
        <f t="shared" si="8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72" t="s">
        <v>2406</v>
      </c>
      <c r="B112" s="1072" t="s">
        <v>2407</v>
      </c>
      <c r="C112" s="1074">
        <v>155280.23000000001</v>
      </c>
      <c r="D112" s="1074">
        <v>0</v>
      </c>
      <c r="E112" s="1074">
        <v>155280.23000000001</v>
      </c>
      <c r="F112" s="1072" t="s">
        <v>293</v>
      </c>
      <c r="G112" s="1072" t="s">
        <v>2128</v>
      </c>
      <c r="H112" s="1050"/>
      <c r="I112" s="1049"/>
      <c r="J112" s="1049"/>
      <c r="K112" s="1049"/>
      <c r="L112" s="153" t="str">
        <f t="shared" si="0"/>
        <v>1760</v>
      </c>
      <c r="M112" s="154" t="str">
        <f t="shared" si="1"/>
        <v>EQUIPEMENT TELEPHONIQUE</v>
      </c>
      <c r="N112" s="155">
        <f>+IF(OR($Q112=Parametres!$G$2,$Q112=Parametres!$G$3),I112,C112)</f>
        <v>155280.23000000001</v>
      </c>
      <c r="O112" s="155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8"/>
        <v>2-Actifs</v>
      </c>
      <c r="R112" s="153" t="str">
        <f t="shared" si="8"/>
        <v>1700</v>
      </c>
      <c r="S112" s="154">
        <f t="shared" si="8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72" t="s">
        <v>2570</v>
      </c>
      <c r="B113" s="1072" t="s">
        <v>2571</v>
      </c>
      <c r="C113" s="1074">
        <v>-146837.57</v>
      </c>
      <c r="D113" s="1074">
        <v>-520</v>
      </c>
      <c r="E113" s="1074">
        <v>-147357.57</v>
      </c>
      <c r="F113" s="1072" t="s">
        <v>293</v>
      </c>
      <c r="G113" s="1072" t="s">
        <v>2128</v>
      </c>
      <c r="H113" s="1050"/>
      <c r="I113" s="1049"/>
      <c r="J113" s="1049"/>
      <c r="K113" s="1049"/>
      <c r="L113" s="153" t="str">
        <f t="shared" si="0"/>
        <v>1761</v>
      </c>
      <c r="M113" s="154" t="str">
        <f t="shared" si="1"/>
        <v>AMORTISS.EQUIP.TELEPHONIQUES</v>
      </c>
      <c r="N113" s="155">
        <f>+IF(OR($Q113=Parametres!$G$2,$Q113=Parametres!$G$3),I113,C113)</f>
        <v>-146837.57</v>
      </c>
      <c r="O113" s="608">
        <f>+IF(OR($Q113=Parametres!$G$2,$Q113=Parametres!$G$3),J113,D113)</f>
        <v>-520</v>
      </c>
      <c r="P113" s="155">
        <f>+IF(OR($Q113=Parametres!$G$2,$Q113=Parametres!$G$3),K113,E113)</f>
        <v>-147357.57</v>
      </c>
      <c r="Q113" s="154" t="str">
        <f t="shared" si="8"/>
        <v>2-Actifs</v>
      </c>
      <c r="R113" s="153" t="str">
        <f t="shared" si="8"/>
        <v>1700</v>
      </c>
      <c r="S113" s="154">
        <f t="shared" si="8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72" t="s">
        <v>2408</v>
      </c>
      <c r="B114" s="1072" t="s">
        <v>2409</v>
      </c>
      <c r="C114" s="1074">
        <v>431905.06</v>
      </c>
      <c r="D114" s="1074">
        <v>0</v>
      </c>
      <c r="E114" s="1074">
        <v>431905.06</v>
      </c>
      <c r="F114" s="1072" t="s">
        <v>293</v>
      </c>
      <c r="G114" s="1072" t="s">
        <v>2128</v>
      </c>
      <c r="H114" s="1050"/>
      <c r="I114" s="1049"/>
      <c r="J114" s="1049"/>
      <c r="K114" s="1049"/>
      <c r="L114" s="153" t="str">
        <f t="shared" si="0"/>
        <v>1762</v>
      </c>
      <c r="M114" s="612" t="str">
        <f t="shared" si="1"/>
        <v>AMEUBLEMENT &amp; INSTR.</v>
      </c>
      <c r="N114" s="155">
        <f>+IF(OR($Q114=Parametres!$G$2,$Q114=Parametres!$G$3),I114,C114)</f>
        <v>431905.06</v>
      </c>
      <c r="O114" s="613">
        <f>+IF(OR($Q114=Parametres!$G$2,$Q114=Parametres!$G$3),J114,D114)</f>
        <v>0</v>
      </c>
      <c r="P114" s="614">
        <f>+IF(OR($Q114=Parametres!$G$2,$Q114=Parametres!$G$3),K114,E114)</f>
        <v>431905.06</v>
      </c>
      <c r="Q114" s="154" t="str">
        <f t="shared" ref="Q114:S129" si="9">+F114</f>
        <v>2-Actifs</v>
      </c>
      <c r="R114" s="153" t="str">
        <f t="shared" si="9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72" t="s">
        <v>2163</v>
      </c>
      <c r="B115" s="1072" t="s">
        <v>2164</v>
      </c>
      <c r="C115" s="1074">
        <v>-373258.12</v>
      </c>
      <c r="D115" s="1074">
        <v>-1300</v>
      </c>
      <c r="E115" s="1074">
        <v>-374558.12</v>
      </c>
      <c r="F115" s="1072" t="s">
        <v>293</v>
      </c>
      <c r="G115" s="1072" t="s">
        <v>2128</v>
      </c>
      <c r="H115" s="1050"/>
      <c r="I115" s="1049"/>
      <c r="J115" s="1049"/>
      <c r="K115" s="1049"/>
      <c r="L115" s="153" t="str">
        <f t="shared" si="0"/>
        <v>1763</v>
      </c>
      <c r="M115" s="154" t="str">
        <f t="shared" si="1"/>
        <v>AMORTISS.AMEUBL.INSTR.</v>
      </c>
      <c r="N115" s="155">
        <f>+IF(OR($Q115=Parametres!$G$2,$Q115=Parametres!$G$3),I115,C115)</f>
        <v>-373258.12</v>
      </c>
      <c r="O115" s="155">
        <f>+IF(OR($Q115=Parametres!$G$2,$Q115=Parametres!$G$3),J115,D115)</f>
        <v>-1300</v>
      </c>
      <c r="P115" s="155">
        <f>+IF(OR($Q115=Parametres!$G$2,$Q115=Parametres!$G$3),K115,E115)</f>
        <v>-374558.12</v>
      </c>
      <c r="Q115" s="154" t="str">
        <f t="shared" si="9"/>
        <v>2-Actifs</v>
      </c>
      <c r="R115" s="153" t="str">
        <f t="shared" si="9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72" t="s">
        <v>2410</v>
      </c>
      <c r="B116" s="1072" t="s">
        <v>2411</v>
      </c>
      <c r="C116" s="1074">
        <v>3987.88</v>
      </c>
      <c r="D116" s="1074">
        <v>0</v>
      </c>
      <c r="E116" s="1074">
        <v>3987.88</v>
      </c>
      <c r="F116" s="1072" t="s">
        <v>293</v>
      </c>
      <c r="G116" s="1072" t="s">
        <v>2128</v>
      </c>
      <c r="H116" s="1050"/>
      <c r="I116" s="1049"/>
      <c r="J116" s="1049"/>
      <c r="K116" s="1049"/>
      <c r="L116" s="153" t="str">
        <f t="shared" si="0"/>
        <v>1772</v>
      </c>
      <c r="M116" s="154" t="str">
        <f t="shared" si="1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9"/>
        <v>2-Actifs</v>
      </c>
      <c r="R116" s="153" t="str">
        <f t="shared" si="9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72" t="s">
        <v>2412</v>
      </c>
      <c r="B117" s="1072" t="s">
        <v>2413</v>
      </c>
      <c r="C117" s="1074">
        <v>-3987.88</v>
      </c>
      <c r="D117" s="1074">
        <v>0</v>
      </c>
      <c r="E117" s="1074">
        <v>-3987.88</v>
      </c>
      <c r="F117" s="1072" t="s">
        <v>293</v>
      </c>
      <c r="G117" s="1072" t="s">
        <v>2128</v>
      </c>
      <c r="H117" s="1050"/>
      <c r="I117" s="1049"/>
      <c r="J117" s="1049"/>
      <c r="K117" s="1049"/>
      <c r="L117" s="153" t="str">
        <f t="shared" si="0"/>
        <v>1773</v>
      </c>
      <c r="M117" s="612" t="str">
        <f t="shared" si="1"/>
        <v>DEPRECIATION &amp; AMORT.</v>
      </c>
      <c r="N117" s="155">
        <f>+IF(OR($Q117=Parametres!$G$2,$Q117=Parametres!$G$3),I117,C117)</f>
        <v>-3987.88</v>
      </c>
      <c r="O117" s="613">
        <f>+IF(OR($Q117=Parametres!$G$2,$Q117=Parametres!$G$3),J117,D117)</f>
        <v>0</v>
      </c>
      <c r="P117" s="614">
        <f>+IF(OR($Q117=Parametres!$G$2,$Q117=Parametres!$G$3),K117,E117)</f>
        <v>-3987.88</v>
      </c>
      <c r="Q117" s="154" t="str">
        <f t="shared" si="9"/>
        <v>2-Actifs</v>
      </c>
      <c r="R117" s="153" t="str">
        <f t="shared" si="9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72" t="s">
        <v>2568</v>
      </c>
      <c r="B118" s="1072" t="s">
        <v>2569</v>
      </c>
      <c r="C118" s="1074">
        <v>257032.2</v>
      </c>
      <c r="D118" s="1074">
        <v>0</v>
      </c>
      <c r="E118" s="1074">
        <v>257032.2</v>
      </c>
      <c r="F118" s="1072" t="s">
        <v>293</v>
      </c>
      <c r="G118" s="1072" t="s">
        <v>2128</v>
      </c>
      <c r="H118" s="1050"/>
      <c r="I118" s="1049"/>
      <c r="J118" s="1049"/>
      <c r="K118" s="1049"/>
      <c r="L118" s="153" t="str">
        <f t="shared" si="0"/>
        <v>1786</v>
      </c>
      <c r="M118" s="154" t="str">
        <f t="shared" si="1"/>
        <v>EQUIPEMENT INFORMATIQUE</v>
      </c>
      <c r="N118" s="155">
        <f>+IF(OR($Q118=Parametres!$G$2,$Q118=Parametres!$G$3),I118,C118)</f>
        <v>257032.2</v>
      </c>
      <c r="O118" s="608">
        <f>+IF(OR($Q118=Parametres!$G$2,$Q118=Parametres!$G$3),J118,D118)</f>
        <v>0</v>
      </c>
      <c r="P118" s="155">
        <f>+IF(OR($Q118=Parametres!$G$2,$Q118=Parametres!$G$3),K118,E118)</f>
        <v>257032.2</v>
      </c>
      <c r="Q118" s="154" t="str">
        <f t="shared" si="9"/>
        <v>2-Actifs</v>
      </c>
      <c r="R118" s="153" t="str">
        <f t="shared" si="9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72" t="s">
        <v>2154</v>
      </c>
      <c r="B119" s="1072" t="s">
        <v>2155</v>
      </c>
      <c r="C119" s="1074">
        <v>-210519.73</v>
      </c>
      <c r="D119" s="1074">
        <v>-1380</v>
      </c>
      <c r="E119" s="1074">
        <v>-211899.73</v>
      </c>
      <c r="F119" s="1072" t="s">
        <v>293</v>
      </c>
      <c r="G119" s="1072" t="s">
        <v>2128</v>
      </c>
      <c r="H119" s="1050"/>
      <c r="I119" s="1049"/>
      <c r="J119" s="1049"/>
      <c r="K119" s="1049"/>
      <c r="L119" s="153" t="str">
        <f t="shared" si="0"/>
        <v>1787</v>
      </c>
      <c r="M119" s="154" t="str">
        <f t="shared" si="1"/>
        <v>AMORTISS.EQUIP.INFORMATIQUES</v>
      </c>
      <c r="N119" s="155">
        <f>+IF(OR($Q119=Parametres!$G$2,$Q119=Parametres!$G$3),I119,C119)</f>
        <v>-210519.73</v>
      </c>
      <c r="O119" s="608">
        <f>+IF(OR($Q119=Parametres!$G$2,$Q119=Parametres!$G$3),J119,D119)</f>
        <v>-1380</v>
      </c>
      <c r="P119" s="155">
        <f>+IF(OR($Q119=Parametres!$G$2,$Q119=Parametres!$G$3),K119,E119)</f>
        <v>-211899.73</v>
      </c>
      <c r="Q119" s="154" t="str">
        <f t="shared" si="9"/>
        <v>2-Actifs</v>
      </c>
      <c r="R119" s="153" t="str">
        <f t="shared" si="9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72" t="s">
        <v>822</v>
      </c>
      <c r="B120" s="1072" t="s">
        <v>2414</v>
      </c>
      <c r="C120" s="1074">
        <v>119393.66</v>
      </c>
      <c r="D120" s="1074">
        <v>0</v>
      </c>
      <c r="E120" s="1074">
        <v>119393.66</v>
      </c>
      <c r="F120" s="1072" t="s">
        <v>293</v>
      </c>
      <c r="G120" s="1072" t="s">
        <v>2128</v>
      </c>
      <c r="H120" s="1050"/>
      <c r="I120" s="1049"/>
      <c r="J120" s="1049"/>
      <c r="K120" s="1049"/>
      <c r="L120" s="153" t="str">
        <f t="shared" si="0"/>
        <v>1792</v>
      </c>
      <c r="M120" s="154" t="str">
        <f t="shared" si="1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9"/>
        <v>2-Actifs</v>
      </c>
      <c r="R120" s="153" t="str">
        <f t="shared" si="9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72" t="s">
        <v>2195</v>
      </c>
      <c r="B121" s="1072" t="s">
        <v>2196</v>
      </c>
      <c r="C121" s="1074">
        <v>-114110.48</v>
      </c>
      <c r="D121" s="1074">
        <v>-350</v>
      </c>
      <c r="E121" s="1074">
        <v>-114460.48</v>
      </c>
      <c r="F121" s="1072" t="s">
        <v>293</v>
      </c>
      <c r="G121" s="1072" t="s">
        <v>2128</v>
      </c>
      <c r="H121" s="1050"/>
      <c r="I121" s="1049"/>
      <c r="J121" s="1049"/>
      <c r="K121" s="1049"/>
      <c r="L121" s="153" t="str">
        <f t="shared" si="0"/>
        <v>1793</v>
      </c>
      <c r="M121" s="154" t="str">
        <f t="shared" si="1"/>
        <v>AMORT. CUM. ENSEIGNES</v>
      </c>
      <c r="N121" s="155">
        <f>+IF(OR($Q121=Parametres!$G$2,$Q121=Parametres!$G$3),I121,C121)</f>
        <v>-114110.48</v>
      </c>
      <c r="O121" s="155">
        <f>+IF(OR($Q121=Parametres!$G$2,$Q121=Parametres!$G$3),J121,D121)</f>
        <v>-350</v>
      </c>
      <c r="P121" s="155">
        <f>+IF(OR($Q121=Parametres!$G$2,$Q121=Parametres!$G$3),K121,E121)</f>
        <v>-114460.48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72" t="s">
        <v>2415</v>
      </c>
      <c r="B122" s="1072" t="s">
        <v>2416</v>
      </c>
      <c r="C122" s="1074">
        <v>1623600</v>
      </c>
      <c r="D122" s="1074">
        <v>0</v>
      </c>
      <c r="E122" s="1074">
        <v>1623600</v>
      </c>
      <c r="F122" s="1072" t="s">
        <v>293</v>
      </c>
      <c r="G122" s="1072" t="s">
        <v>2416</v>
      </c>
      <c r="H122" s="1050"/>
      <c r="I122" s="1049"/>
      <c r="J122" s="1049"/>
      <c r="K122" s="1049"/>
      <c r="L122" s="153" t="str">
        <f t="shared" si="0"/>
        <v>1804</v>
      </c>
      <c r="M122" s="154" t="str">
        <f t="shared" si="1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9"/>
        <v>2-Actifs</v>
      </c>
      <c r="R122" s="153" t="str">
        <f t="shared" si="9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72" t="s">
        <v>2752</v>
      </c>
      <c r="B123" s="1072" t="s">
        <v>2753</v>
      </c>
      <c r="C123" s="1074">
        <v>12591.55</v>
      </c>
      <c r="D123" s="1074">
        <v>-6399.22</v>
      </c>
      <c r="E123" s="1074">
        <v>6192.33</v>
      </c>
      <c r="F123" s="1072" t="s">
        <v>293</v>
      </c>
      <c r="G123" s="1072" t="s">
        <v>2623</v>
      </c>
      <c r="H123" s="1050"/>
      <c r="I123" s="1049"/>
      <c r="J123" s="1049"/>
      <c r="K123" s="1049"/>
      <c r="L123" s="153" t="str">
        <f t="shared" si="0"/>
        <v>1806</v>
      </c>
      <c r="M123" s="154" t="str">
        <f t="shared" si="1"/>
        <v>FINANCEMENT RECEVABLE</v>
      </c>
      <c r="N123" s="155">
        <f>+IF(OR($Q123=Parametres!$G$2,$Q123=Parametres!$G$3),I123,C123)</f>
        <v>12591.55</v>
      </c>
      <c r="O123" s="155">
        <f>+IF(OR($Q123=Parametres!$G$2,$Q123=Parametres!$G$3),J123,D123)</f>
        <v>-6399.22</v>
      </c>
      <c r="P123" s="155">
        <f>+IF(OR($Q123=Parametres!$G$2,$Q123=Parametres!$G$3),K123,E123)</f>
        <v>6192.33</v>
      </c>
      <c r="Q123" s="154" t="str">
        <f t="shared" si="9"/>
        <v>2-Actifs</v>
      </c>
      <c r="R123" s="153" t="str">
        <f t="shared" si="9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72" t="s">
        <v>2846</v>
      </c>
      <c r="B124" s="1072" t="s">
        <v>2847</v>
      </c>
      <c r="C124" s="1074">
        <v>-7821749.0499999998</v>
      </c>
      <c r="D124" s="1074">
        <v>-961672.66</v>
      </c>
      <c r="E124" s="1074">
        <v>-8783421.7100000009</v>
      </c>
      <c r="F124" s="1072" t="s">
        <v>282</v>
      </c>
      <c r="G124" s="1072" t="s">
        <v>2847</v>
      </c>
      <c r="H124" s="1050"/>
      <c r="I124" s="1049"/>
      <c r="J124" s="1049"/>
      <c r="K124" s="1049"/>
      <c r="L124" s="153" t="str">
        <f t="shared" si="0"/>
        <v>2101</v>
      </c>
      <c r="M124" s="154" t="str">
        <f t="shared" si="1"/>
        <v>NOTE A PAYER VEH. NEUFS VOLKS</v>
      </c>
      <c r="N124" s="155">
        <f>+IF(OR($Q124=Parametres!$G$2,$Q124=Parametres!$G$3),I124,C124)</f>
        <v>-7821749.0499999998</v>
      </c>
      <c r="O124" s="155">
        <f>+IF(OR($Q124=Parametres!$G$2,$Q124=Parametres!$G$3),J124,D124)</f>
        <v>-961672.66</v>
      </c>
      <c r="P124" s="155">
        <f>+IF(OR($Q124=Parametres!$G$2,$Q124=Parametres!$G$3),K124,E124)</f>
        <v>-8783421.7100000009</v>
      </c>
      <c r="Q124" s="154" t="str">
        <f t="shared" si="9"/>
        <v>3-Passifs</v>
      </c>
      <c r="R124" s="153" t="str">
        <f t="shared" si="9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72" t="s">
        <v>2417</v>
      </c>
      <c r="B125" s="1072" t="s">
        <v>2418</v>
      </c>
      <c r="C125" s="1074">
        <v>-15810</v>
      </c>
      <c r="D125" s="1074">
        <v>0</v>
      </c>
      <c r="E125" s="1074">
        <v>-15810</v>
      </c>
      <c r="F125" s="1072" t="s">
        <v>282</v>
      </c>
      <c r="G125" s="1072" t="s">
        <v>2418</v>
      </c>
      <c r="H125" s="1050"/>
      <c r="I125" s="1049"/>
      <c r="J125" s="1049"/>
      <c r="K125" s="1049"/>
      <c r="L125" s="153" t="str">
        <f t="shared" si="0"/>
        <v>2131</v>
      </c>
      <c r="M125" s="154" t="str">
        <f t="shared" si="1"/>
        <v>PORTION COURANTE PRET</v>
      </c>
      <c r="N125" s="155">
        <f>+IF(OR($Q125=Parametres!$G$2,$Q125=Parametres!$G$3),I125,C125)</f>
        <v>-15810</v>
      </c>
      <c r="O125" s="608">
        <f>+IF(OR($Q125=Parametres!$G$2,$Q125=Parametres!$G$3),J125,D125)</f>
        <v>0</v>
      </c>
      <c r="P125" s="155">
        <f>+IF(OR($Q125=Parametres!$G$2,$Q125=Parametres!$G$3),K125,E125)</f>
        <v>-15810</v>
      </c>
      <c r="Q125" s="154" t="str">
        <f t="shared" si="9"/>
        <v>3-Passifs</v>
      </c>
      <c r="R125" s="153" t="str">
        <f t="shared" si="9"/>
        <v>2131</v>
      </c>
      <c r="S125" s="154">
        <f t="shared" si="9"/>
        <v>0</v>
      </c>
      <c r="T125" s="156" t="str">
        <f>+VLOOKUP($L125,Data_Validation!$A:$D,1,0)</f>
        <v>2131</v>
      </c>
      <c r="U125" s="156" t="str">
        <f>+VLOOKUP($L125,Data_Validation!$A:$D,3,0)</f>
        <v>Bilan</v>
      </c>
      <c r="V125" s="156" t="str">
        <f>+VLOOKUP($L125,Data_Validation!$A:$D,4,0)</f>
        <v>Portion Court Terme de la Dette Long Terme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72" t="s">
        <v>2203</v>
      </c>
      <c r="B126" s="1072" t="s">
        <v>2204</v>
      </c>
      <c r="C126" s="1074">
        <v>-810.21</v>
      </c>
      <c r="D126" s="1074">
        <v>175.08</v>
      </c>
      <c r="E126" s="1074">
        <v>-635.13</v>
      </c>
      <c r="F126" s="1072" t="s">
        <v>282</v>
      </c>
      <c r="G126" s="1072" t="s">
        <v>2204</v>
      </c>
      <c r="H126" s="1050"/>
      <c r="I126" s="1049"/>
      <c r="J126" s="1049"/>
      <c r="K126" s="1049"/>
      <c r="L126" s="153" t="str">
        <f t="shared" si="0"/>
        <v>2220</v>
      </c>
      <c r="M126" s="154" t="str">
        <f t="shared" si="1"/>
        <v>TPA A PAYER</v>
      </c>
      <c r="N126" s="155">
        <f>+IF(OR($Q126=Parametres!$G$2,$Q126=Parametres!$G$3),I126,C126)</f>
        <v>-810.21</v>
      </c>
      <c r="O126" s="608">
        <f>+IF(OR($Q126=Parametres!$G$2,$Q126=Parametres!$G$3),J126,D126)</f>
        <v>175.08</v>
      </c>
      <c r="P126" s="155">
        <f>+IF(OR($Q126=Parametres!$G$2,$Q126=Parametres!$G$3),K126,E126)</f>
        <v>-635.13</v>
      </c>
      <c r="Q126" s="154" t="str">
        <f t="shared" si="9"/>
        <v>3-Passifs</v>
      </c>
      <c r="R126" s="153" t="str">
        <f t="shared" si="9"/>
        <v>2220</v>
      </c>
      <c r="S126" s="154">
        <f t="shared" si="9"/>
        <v>0</v>
      </c>
      <c r="T126" s="156" t="str">
        <f>+VLOOKUP($L126,Data_Validation!$A:$D,1,0)</f>
        <v>2220</v>
      </c>
      <c r="U126" s="156" t="str">
        <f>+VLOOKUP($L126,Data_Validation!$A:$D,3,0)</f>
        <v>Bilan</v>
      </c>
      <c r="V126" s="156" t="str">
        <f>+VLOOKUP($L126,Data_Validation!$A:$D,4,0)</f>
        <v>Taxes de Vente à Payer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72" t="s">
        <v>2056</v>
      </c>
      <c r="B127" s="1072" t="s">
        <v>2057</v>
      </c>
      <c r="C127" s="1074">
        <v>-70206.63</v>
      </c>
      <c r="D127" s="1074">
        <v>8757.68</v>
      </c>
      <c r="E127" s="1074">
        <v>-61448.95</v>
      </c>
      <c r="F127" s="1072" t="s">
        <v>282</v>
      </c>
      <c r="G127" s="1072" t="s">
        <v>2057</v>
      </c>
      <c r="H127" s="1050"/>
      <c r="I127" s="1049"/>
      <c r="J127" s="1049"/>
      <c r="K127" s="1049"/>
      <c r="L127" s="153" t="str">
        <f t="shared" si="0"/>
        <v>2221</v>
      </c>
      <c r="M127" s="154" t="str">
        <f t="shared" si="1"/>
        <v>TVQ A PAYER</v>
      </c>
      <c r="N127" s="155">
        <f>+IF(OR($Q127=Parametres!$G$2,$Q127=Parametres!$G$3),I127,C127)</f>
        <v>-70206.63</v>
      </c>
      <c r="O127" s="155">
        <f>+IF(OR($Q127=Parametres!$G$2,$Q127=Parametres!$G$3),J127,D127)</f>
        <v>8757.68</v>
      </c>
      <c r="P127" s="155">
        <f>+IF(OR($Q127=Parametres!$G$2,$Q127=Parametres!$G$3),K127,E127)</f>
        <v>-61448.95</v>
      </c>
      <c r="Q127" s="154" t="str">
        <f t="shared" si="9"/>
        <v>3-Passifs</v>
      </c>
      <c r="R127" s="153" t="str">
        <f t="shared" si="9"/>
        <v>2221</v>
      </c>
      <c r="S127" s="154">
        <f t="shared" si="9"/>
        <v>0</v>
      </c>
      <c r="T127" s="156" t="str">
        <f>+VLOOKUP($L127,Data_Validation!$A:$D,1,0)</f>
        <v>2221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72" t="s">
        <v>2796</v>
      </c>
      <c r="B128" s="1072" t="s">
        <v>2797</v>
      </c>
      <c r="C128" s="1074">
        <v>51660.97</v>
      </c>
      <c r="D128" s="1074">
        <v>-6126.44</v>
      </c>
      <c r="E128" s="1074">
        <v>45534.53</v>
      </c>
      <c r="F128" s="1072" t="s">
        <v>282</v>
      </c>
      <c r="G128" s="1072" t="s">
        <v>2057</v>
      </c>
      <c r="H128" s="1050"/>
      <c r="I128" s="1049"/>
      <c r="J128" s="1049"/>
      <c r="K128" s="1049"/>
      <c r="L128" s="153" t="str">
        <f t="shared" si="0"/>
        <v>2222</v>
      </c>
      <c r="M128" s="612" t="str">
        <f t="shared" si="1"/>
        <v>TVQ A RECEVOIR</v>
      </c>
      <c r="N128" s="155">
        <f>+IF(OR($Q128=Parametres!$G$2,$Q128=Parametres!$G$3),I128,C128)</f>
        <v>51660.97</v>
      </c>
      <c r="O128" s="613">
        <f>+IF(OR($Q128=Parametres!$G$2,$Q128=Parametres!$G$3),J128,D128)</f>
        <v>-6126.44</v>
      </c>
      <c r="P128" s="614">
        <f>+IF(OR($Q128=Parametres!$G$2,$Q128=Parametres!$G$3),K128,E128)</f>
        <v>45534.53</v>
      </c>
      <c r="Q128" s="154" t="str">
        <f t="shared" si="9"/>
        <v>3-Passifs</v>
      </c>
      <c r="R128" s="153" t="str">
        <f t="shared" si="9"/>
        <v>2221</v>
      </c>
      <c r="S128" s="154">
        <f t="shared" si="9"/>
        <v>0</v>
      </c>
      <c r="T128" s="156" t="str">
        <f>+VLOOKUP($L128,Data_Validation!$A:$D,1,0)</f>
        <v>2222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72" t="s">
        <v>2813</v>
      </c>
      <c r="B129" s="1072" t="s">
        <v>2066</v>
      </c>
      <c r="C129" s="1074">
        <v>-145955.99</v>
      </c>
      <c r="D129" s="1074">
        <v>-40888.31</v>
      </c>
      <c r="E129" s="1074">
        <v>-186844.3</v>
      </c>
      <c r="F129" s="1072" t="s">
        <v>282</v>
      </c>
      <c r="G129" s="1072" t="s">
        <v>2066</v>
      </c>
      <c r="H129" s="1050"/>
      <c r="I129" s="1049"/>
      <c r="J129" s="1049"/>
      <c r="K129" s="1049"/>
      <c r="L129" s="153" t="str">
        <f t="shared" si="0"/>
        <v>2223</v>
      </c>
      <c r="M129" s="154" t="str">
        <f t="shared" si="1"/>
        <v>TPS A PAYER</v>
      </c>
      <c r="N129" s="155">
        <f>+IF(OR($Q129=Parametres!$G$2,$Q129=Parametres!$G$3),I129,C129)</f>
        <v>-145955.99</v>
      </c>
      <c r="O129" s="155">
        <f>+IF(OR($Q129=Parametres!$G$2,$Q129=Parametres!$G$3),J129,D129)</f>
        <v>-40888.31</v>
      </c>
      <c r="P129" s="155">
        <f>+IF(OR($Q129=Parametres!$G$2,$Q129=Parametres!$G$3),K129,E129)</f>
        <v>-186844.3</v>
      </c>
      <c r="Q129" s="154" t="str">
        <f t="shared" si="9"/>
        <v>3-Passifs</v>
      </c>
      <c r="R129" s="153" t="str">
        <f t="shared" si="9"/>
        <v>2223</v>
      </c>
      <c r="S129" s="154">
        <f t="shared" si="9"/>
        <v>0</v>
      </c>
      <c r="T129" s="156" t="str">
        <f>+VLOOKUP($L129,Data_Validation!$A:$D,1,0)</f>
        <v>2223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72" t="s">
        <v>2064</v>
      </c>
      <c r="B130" s="1072" t="s">
        <v>2065</v>
      </c>
      <c r="C130" s="1074">
        <v>128910.6</v>
      </c>
      <c r="D130" s="1074">
        <v>80747.839999999997</v>
      </c>
      <c r="E130" s="1074">
        <v>209658.44</v>
      </c>
      <c r="F130" s="1072" t="s">
        <v>282</v>
      </c>
      <c r="G130" s="1072" t="s">
        <v>2066</v>
      </c>
      <c r="H130" s="1050"/>
      <c r="I130" s="1049"/>
      <c r="J130" s="1049"/>
      <c r="K130" s="1049"/>
      <c r="L130" s="153" t="str">
        <f t="shared" si="0"/>
        <v>2224</v>
      </c>
      <c r="M130" s="154" t="str">
        <f t="shared" si="1"/>
        <v>TPS A RECEVOIR</v>
      </c>
      <c r="N130" s="155">
        <f>+IF(OR($Q130=Parametres!$G$2,$Q130=Parametres!$G$3),I130,C130)</f>
        <v>128910.6</v>
      </c>
      <c r="O130" s="155">
        <f>+IF(OR($Q130=Parametres!$G$2,$Q130=Parametres!$G$3),J130,D130)</f>
        <v>80747.839999999997</v>
      </c>
      <c r="P130" s="155">
        <f>+IF(OR($Q130=Parametres!$G$2,$Q130=Parametres!$G$3),K130,E130)</f>
        <v>209658.44</v>
      </c>
      <c r="Q130" s="154" t="str">
        <f t="shared" ref="Q130:S145" si="10">+F130</f>
        <v>3-Passifs</v>
      </c>
      <c r="R130" s="153" t="str">
        <f t="shared" si="10"/>
        <v>2223</v>
      </c>
      <c r="S130" s="154">
        <f t="shared" si="10"/>
        <v>0</v>
      </c>
      <c r="T130" s="156" t="str">
        <f>+VLOOKUP($L130,Data_Validation!$A:$D,1,0)</f>
        <v>2224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72" t="s">
        <v>2616</v>
      </c>
      <c r="B131" s="1072" t="s">
        <v>2617</v>
      </c>
      <c r="C131" s="1074">
        <v>-1071</v>
      </c>
      <c r="D131" s="1074">
        <v>-681</v>
      </c>
      <c r="E131" s="1074">
        <v>-1752</v>
      </c>
      <c r="F131" s="1072" t="s">
        <v>282</v>
      </c>
      <c r="G131" s="1072" t="s">
        <v>2057</v>
      </c>
      <c r="H131" s="1050"/>
      <c r="I131" s="1049"/>
      <c r="J131" s="1049"/>
      <c r="K131" s="1049"/>
      <c r="L131" s="153" t="str">
        <f t="shared" si="0"/>
        <v>2225</v>
      </c>
      <c r="M131" s="154" t="str">
        <f t="shared" si="1"/>
        <v>DROIT SUR PNEUS</v>
      </c>
      <c r="N131" s="155">
        <f>+IF(OR($Q131=Parametres!$G$2,$Q131=Parametres!$G$3),I131,C131)</f>
        <v>-1071</v>
      </c>
      <c r="O131" s="155">
        <f>+IF(OR($Q131=Parametres!$G$2,$Q131=Parametres!$G$3),J131,D131)</f>
        <v>-681</v>
      </c>
      <c r="P131" s="155">
        <f>+IF(OR($Q131=Parametres!$G$2,$Q131=Parametres!$G$3),K131,E131)</f>
        <v>-1752</v>
      </c>
      <c r="Q131" s="154" t="str">
        <f t="shared" si="10"/>
        <v>3-Passifs</v>
      </c>
      <c r="R131" s="153" t="str">
        <f t="shared" si="10"/>
        <v>2221</v>
      </c>
      <c r="S131" s="154">
        <f t="shared" si="10"/>
        <v>0</v>
      </c>
      <c r="T131" s="156" t="str">
        <f>+VLOOKUP($L131,Data_Validation!$A:$D,1,0)</f>
        <v>2225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72" t="s">
        <v>2818</v>
      </c>
      <c r="B132" s="1072" t="s">
        <v>2819</v>
      </c>
      <c r="C132" s="1074">
        <v>-76676.25</v>
      </c>
      <c r="D132" s="1074">
        <v>43302.2</v>
      </c>
      <c r="E132" s="1074">
        <v>-33374.050000000003</v>
      </c>
      <c r="F132" s="1072" t="s">
        <v>282</v>
      </c>
      <c r="G132" s="1072" t="s">
        <v>2134</v>
      </c>
      <c r="H132" s="1050"/>
      <c r="I132" s="1049"/>
      <c r="J132" s="1049"/>
      <c r="K132" s="1049"/>
      <c r="L132" s="153" t="str">
        <f t="shared" si="0"/>
        <v>2281</v>
      </c>
      <c r="M132" s="154" t="str">
        <f t="shared" si="1"/>
        <v>LIEN A PAYER</v>
      </c>
      <c r="N132" s="155">
        <f>+IF(OR($Q132=Parametres!$G$2,$Q132=Parametres!$G$3),I132,C132)</f>
        <v>-76676.25</v>
      </c>
      <c r="O132" s="155">
        <f>+IF(OR($Q132=Parametres!$G$2,$Q132=Parametres!$G$3),J132,D132)</f>
        <v>43302.2</v>
      </c>
      <c r="P132" s="155">
        <f>+IF(OR($Q132=Parametres!$G$2,$Q132=Parametres!$G$3),K132,E132)</f>
        <v>-33374.050000000003</v>
      </c>
      <c r="Q132" s="154" t="str">
        <f t="shared" si="10"/>
        <v>3-Passifs</v>
      </c>
      <c r="R132" s="153" t="str">
        <f t="shared" si="10"/>
        <v>2283</v>
      </c>
      <c r="S132" s="154">
        <f t="shared" si="10"/>
        <v>0</v>
      </c>
      <c r="T132" s="156" t="str">
        <f>+VLOOKUP($L132,Data_Validation!$A:$D,1,0)</f>
        <v>2281</v>
      </c>
      <c r="U132" s="156" t="str">
        <f>+VLOOKUP($L132,Data_Validation!$A:$D,3,0)</f>
        <v>Bilan</v>
      </c>
      <c r="V132" s="156" t="str">
        <f>+VLOOKUP($L132,Data_Validation!$A:$D,4,0)</f>
        <v>Autres Comptes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72" t="s">
        <v>2173</v>
      </c>
      <c r="B133" s="1072" t="s">
        <v>2134</v>
      </c>
      <c r="C133" s="1074">
        <v>0</v>
      </c>
      <c r="D133" s="1074">
        <v>-855</v>
      </c>
      <c r="E133" s="1074">
        <v>-855</v>
      </c>
      <c r="F133" s="1072" t="s">
        <v>282</v>
      </c>
      <c r="G133" s="1072" t="s">
        <v>2134</v>
      </c>
      <c r="H133" s="1050"/>
      <c r="I133" s="1049"/>
      <c r="J133" s="1049"/>
      <c r="K133" s="1049"/>
      <c r="L133" s="153" t="str">
        <f t="shared" si="0"/>
        <v>2283</v>
      </c>
      <c r="M133" s="154" t="str">
        <f t="shared" si="1"/>
        <v>PLAQUE A PAYER</v>
      </c>
      <c r="N133" s="155">
        <f>+IF(OR($Q133=Parametres!$G$2,$Q133=Parametres!$G$3),I133,C133)</f>
        <v>0</v>
      </c>
      <c r="O133" s="155">
        <f>+IF(OR($Q133=Parametres!$G$2,$Q133=Parametres!$G$3),J133,D133)</f>
        <v>-855</v>
      </c>
      <c r="P133" s="155">
        <f>+IF(OR($Q133=Parametres!$G$2,$Q133=Parametres!$G$3),K133,E133)</f>
        <v>-855</v>
      </c>
      <c r="Q133" s="154" t="str">
        <f t="shared" si="10"/>
        <v>3-Passifs</v>
      </c>
      <c r="R133" s="153" t="str">
        <f t="shared" si="10"/>
        <v>2283</v>
      </c>
      <c r="S133" s="154">
        <f t="shared" si="10"/>
        <v>0</v>
      </c>
      <c r="T133" s="156" t="str">
        <f>+VLOOKUP($L133,Data_Validation!$A:$D,1,0)</f>
        <v>2283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72" t="s">
        <v>2772</v>
      </c>
      <c r="B134" s="1072" t="s">
        <v>2773</v>
      </c>
      <c r="C134" s="1074">
        <v>-40846.93</v>
      </c>
      <c r="D134" s="1074">
        <v>-1646.13</v>
      </c>
      <c r="E134" s="1074">
        <v>-42493.06</v>
      </c>
      <c r="F134" s="1072" t="s">
        <v>282</v>
      </c>
      <c r="G134" s="1072" t="s">
        <v>2134</v>
      </c>
      <c r="H134" s="1050"/>
      <c r="I134" s="1049"/>
      <c r="J134" s="1049"/>
      <c r="K134" s="1049"/>
      <c r="L134" s="153" t="str">
        <f t="shared" si="0"/>
        <v>2285</v>
      </c>
      <c r="M134" s="154" t="str">
        <f t="shared" si="1"/>
        <v>PROTECTIONS A PAYER</v>
      </c>
      <c r="N134" s="155">
        <f>+IF(OR($Q134=Parametres!$G$2,$Q134=Parametres!$G$3),I134,C134)</f>
        <v>-40846.93</v>
      </c>
      <c r="O134" s="155">
        <f>+IF(OR($Q134=Parametres!$G$2,$Q134=Parametres!$G$3),J134,D134)</f>
        <v>-1646.13</v>
      </c>
      <c r="P134" s="155">
        <f>+IF(OR($Q134=Parametres!$G$2,$Q134=Parametres!$G$3),K134,E134)</f>
        <v>-42493.06</v>
      </c>
      <c r="Q134" s="154" t="str">
        <f t="shared" si="10"/>
        <v>3-Passifs</v>
      </c>
      <c r="R134" s="153" t="str">
        <f t="shared" si="10"/>
        <v>2283</v>
      </c>
      <c r="S134" s="154">
        <f t="shared" si="10"/>
        <v>0</v>
      </c>
      <c r="T134" s="156" t="str">
        <f>+VLOOKUP($L134,Data_Validation!$A:$D,1,0)</f>
        <v>2285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72" t="s">
        <v>2746</v>
      </c>
      <c r="B135" s="1072" t="s">
        <v>2747</v>
      </c>
      <c r="C135" s="1074">
        <v>-7341.64</v>
      </c>
      <c r="D135" s="1074">
        <v>-8641.1299999999992</v>
      </c>
      <c r="E135" s="1074">
        <v>-15982.77</v>
      </c>
      <c r="F135" s="1072" t="s">
        <v>282</v>
      </c>
      <c r="G135" s="1072" t="s">
        <v>2134</v>
      </c>
      <c r="H135" s="1050"/>
      <c r="I135" s="1049"/>
      <c r="J135" s="1049"/>
      <c r="K135" s="1049"/>
      <c r="L135" s="153" t="str">
        <f t="shared" si="0"/>
        <v>2287</v>
      </c>
      <c r="M135" s="154" t="str">
        <f t="shared" si="1"/>
        <v>A PAYER INVAPLAN</v>
      </c>
      <c r="N135" s="155">
        <f>+IF(OR($Q135=Parametres!$G$2,$Q135=Parametres!$G$3),I135,C135)</f>
        <v>-7341.64</v>
      </c>
      <c r="O135" s="155">
        <f>+IF(OR($Q135=Parametres!$G$2,$Q135=Parametres!$G$3),J135,D135)</f>
        <v>-8641.1299999999992</v>
      </c>
      <c r="P135" s="155">
        <f>+IF(OR($Q135=Parametres!$G$2,$Q135=Parametres!$G$3),K135,E135)</f>
        <v>-15982.77</v>
      </c>
      <c r="Q135" s="154" t="str">
        <f t="shared" si="10"/>
        <v>3-Passifs</v>
      </c>
      <c r="R135" s="153" t="str">
        <f t="shared" si="10"/>
        <v>2283</v>
      </c>
      <c r="S135" s="154">
        <f t="shared" si="10"/>
        <v>0</v>
      </c>
      <c r="T135" s="156" t="str">
        <f>+VLOOKUP($L135,Data_Validation!$A:$D,1,0)</f>
        <v>2287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72" t="s">
        <v>2009</v>
      </c>
      <c r="B136" s="1072" t="s">
        <v>2010</v>
      </c>
      <c r="C136" s="1074">
        <v>-288857.23</v>
      </c>
      <c r="D136" s="1074">
        <v>17741.82</v>
      </c>
      <c r="E136" s="1074">
        <v>-271115.40999999997</v>
      </c>
      <c r="F136" s="1072" t="s">
        <v>282</v>
      </c>
      <c r="G136" s="1072" t="s">
        <v>2010</v>
      </c>
      <c r="H136" s="1050"/>
      <c r="I136" s="1049"/>
      <c r="J136" s="1049"/>
      <c r="K136" s="1049"/>
      <c r="L136" s="153" t="str">
        <f t="shared" si="0"/>
        <v>2291</v>
      </c>
      <c r="M136" s="154" t="str">
        <f t="shared" si="1"/>
        <v>COMPTES FOURNISSEURS</v>
      </c>
      <c r="N136" s="155">
        <f>+IF(OR($Q136=Parametres!$G$2,$Q136=Parametres!$G$3),I136,C136)</f>
        <v>-288857.23</v>
      </c>
      <c r="O136" s="155">
        <f>+IF(OR($Q136=Parametres!$G$2,$Q136=Parametres!$G$3),J136,D136)</f>
        <v>17741.82</v>
      </c>
      <c r="P136" s="155">
        <f>+IF(OR($Q136=Parametres!$G$2,$Q136=Parametres!$G$3),K136,E136)</f>
        <v>-271115.40999999997</v>
      </c>
      <c r="Q136" s="154" t="str">
        <f t="shared" si="10"/>
        <v>3-Passifs</v>
      </c>
      <c r="R136" s="153" t="str">
        <f t="shared" si="10"/>
        <v>2291</v>
      </c>
      <c r="S136" s="154">
        <f t="shared" si="10"/>
        <v>0</v>
      </c>
      <c r="T136" s="156" t="str">
        <f>+VLOOKUP($L136,Data_Validation!$A:$D,1,0)</f>
        <v>2291</v>
      </c>
      <c r="U136" s="156" t="str">
        <f>+VLOOKUP($L136,Data_Validation!$A:$D,3,0)</f>
        <v>Bilan</v>
      </c>
      <c r="V136" s="156" t="str">
        <f>+VLOOKUP($L136,Data_Validation!$A:$D,4,0)</f>
        <v>Comptes à Payer Fournisseurs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72" t="s">
        <v>2049</v>
      </c>
      <c r="B137" s="1072" t="s">
        <v>2050</v>
      </c>
      <c r="C137" s="1074">
        <v>-15495</v>
      </c>
      <c r="D137" s="1074">
        <v>-21589.95</v>
      </c>
      <c r="E137" s="1074">
        <v>-37084.949999999997</v>
      </c>
      <c r="F137" s="1072" t="s">
        <v>282</v>
      </c>
      <c r="G137" s="1072" t="s">
        <v>2010</v>
      </c>
      <c r="H137" s="1050"/>
      <c r="I137" s="1049"/>
      <c r="J137" s="1049"/>
      <c r="K137" s="1049"/>
      <c r="L137" s="153" t="str">
        <f t="shared" si="0"/>
        <v>2292</v>
      </c>
      <c r="M137" s="154" t="str">
        <f t="shared" si="1"/>
        <v>ECHANGE ENTRE CONCESSIONNAIRES</v>
      </c>
      <c r="N137" s="155">
        <f>+IF(OR($Q137=Parametres!$G$2,$Q137=Parametres!$G$3),I137,C137)</f>
        <v>-15495</v>
      </c>
      <c r="O137" s="155">
        <f>+IF(OR($Q137=Parametres!$G$2,$Q137=Parametres!$G$3),J137,D137)</f>
        <v>-21589.95</v>
      </c>
      <c r="P137" s="155">
        <f>+IF(OR($Q137=Parametres!$G$2,$Q137=Parametres!$G$3),K137,E137)</f>
        <v>-37084.949999999997</v>
      </c>
      <c r="Q137" s="154" t="str">
        <f t="shared" si="10"/>
        <v>3-Passifs</v>
      </c>
      <c r="R137" s="153" t="str">
        <f t="shared" si="10"/>
        <v>2291</v>
      </c>
      <c r="S137" s="154">
        <f t="shared" si="10"/>
        <v>0</v>
      </c>
      <c r="T137" s="156" t="str">
        <f>+VLOOKUP($L137,Data_Validation!$A:$D,1,0)</f>
        <v>2292</v>
      </c>
      <c r="U137" s="156" t="str">
        <f>+VLOOKUP($L137,Data_Validation!$A:$D,3,0)</f>
        <v>Bilan</v>
      </c>
      <c r="V137" s="156" t="str">
        <f>+VLOOKUP($L137,Data_Validation!$A:$D,4,0)</f>
        <v>Autres Comptes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72" t="s">
        <v>2132</v>
      </c>
      <c r="B138" s="1072" t="s">
        <v>2133</v>
      </c>
      <c r="C138" s="1074">
        <v>0</v>
      </c>
      <c r="D138" s="1074">
        <v>-1401.62</v>
      </c>
      <c r="E138" s="1074">
        <v>-1401.62</v>
      </c>
      <c r="F138" s="1072" t="s">
        <v>282</v>
      </c>
      <c r="G138" s="1072" t="s">
        <v>2134</v>
      </c>
      <c r="H138" s="1050"/>
      <c r="I138" s="1049"/>
      <c r="J138" s="1049"/>
      <c r="K138" s="1049"/>
      <c r="L138" s="153" t="str">
        <f t="shared" si="0"/>
        <v>2293</v>
      </c>
      <c r="M138" s="154" t="str">
        <f t="shared" si="1"/>
        <v>PROVISIONS GARANTIES USAGEES</v>
      </c>
      <c r="N138" s="155">
        <f>+IF(OR($Q138=Parametres!$G$2,$Q138=Parametres!$G$3),I138,C138)</f>
        <v>0</v>
      </c>
      <c r="O138" s="155">
        <f>+IF(OR($Q138=Parametres!$G$2,$Q138=Parametres!$G$3),J138,D138)</f>
        <v>-1401.62</v>
      </c>
      <c r="P138" s="155">
        <f>+IF(OR($Q138=Parametres!$G$2,$Q138=Parametres!$G$3),K138,E138)</f>
        <v>-1401.62</v>
      </c>
      <c r="Q138" s="154" t="str">
        <f t="shared" si="10"/>
        <v>3-Passifs</v>
      </c>
      <c r="R138" s="153" t="str">
        <f t="shared" si="10"/>
        <v>2283</v>
      </c>
      <c r="S138" s="154">
        <f t="shared" si="10"/>
        <v>0</v>
      </c>
      <c r="T138" s="156" t="str">
        <f>+VLOOKUP($L138,Data_Validation!$A:$D,1,0)</f>
        <v>2293</v>
      </c>
      <c r="U138" s="156" t="str">
        <f>+VLOOKUP($L138,Data_Validation!$A:$D,3,0)</f>
        <v>Bilan</v>
      </c>
      <c r="V138" s="156" t="str">
        <f>+VLOOKUP($L138,Data_Validation!$A:$D,4,0)</f>
        <v>Autres Courus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72" t="s">
        <v>2419</v>
      </c>
      <c r="B139" s="1072" t="s">
        <v>2420</v>
      </c>
      <c r="C139" s="1074">
        <v>0</v>
      </c>
      <c r="D139" s="1074">
        <v>-20.03</v>
      </c>
      <c r="E139" s="1074">
        <v>-20.03</v>
      </c>
      <c r="F139" s="1072" t="s">
        <v>282</v>
      </c>
      <c r="G139" s="1072" t="s">
        <v>2133</v>
      </c>
      <c r="H139" s="1050"/>
      <c r="I139" s="1049"/>
      <c r="J139" s="1049"/>
      <c r="K139" s="1049"/>
      <c r="L139" s="153" t="str">
        <f t="shared" si="0"/>
        <v>2295</v>
      </c>
      <c r="M139" s="154" t="str">
        <f t="shared" si="1"/>
        <v>RESERVE ESSENCE</v>
      </c>
      <c r="N139" s="155">
        <f>+IF(OR($Q139=Parametres!$G$2,$Q139=Parametres!$G$3),I139,C139)</f>
        <v>0</v>
      </c>
      <c r="O139" s="155">
        <f>+IF(OR($Q139=Parametres!$G$2,$Q139=Parametres!$G$3),J139,D139)</f>
        <v>-20.03</v>
      </c>
      <c r="P139" s="155">
        <f>+IF(OR($Q139=Parametres!$G$2,$Q139=Parametres!$G$3),K139,E139)</f>
        <v>-20.03</v>
      </c>
      <c r="Q139" s="154" t="str">
        <f t="shared" si="10"/>
        <v>3-Passifs</v>
      </c>
      <c r="R139" s="153" t="str">
        <f t="shared" si="10"/>
        <v>2293</v>
      </c>
      <c r="S139" s="154">
        <f t="shared" si="10"/>
        <v>0</v>
      </c>
      <c r="T139" s="156" t="str">
        <f>+VLOOKUP($L139,Data_Validation!$A:$D,1,0)</f>
        <v>2295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72" t="s">
        <v>2146</v>
      </c>
      <c r="B140" s="1072" t="s">
        <v>2147</v>
      </c>
      <c r="C140" s="1074">
        <v>0</v>
      </c>
      <c r="D140" s="1074">
        <v>-4350</v>
      </c>
      <c r="E140" s="1074">
        <v>-4350</v>
      </c>
      <c r="F140" s="1072" t="s">
        <v>282</v>
      </c>
      <c r="G140" s="1072" t="s">
        <v>2134</v>
      </c>
      <c r="H140" s="1050"/>
      <c r="I140" s="1049"/>
      <c r="J140" s="1049"/>
      <c r="K140" s="1049"/>
      <c r="L140" s="153" t="str">
        <f t="shared" si="0"/>
        <v>2297</v>
      </c>
      <c r="M140" s="154" t="str">
        <f t="shared" si="1"/>
        <v>RESERVE RENOUVELLEMENT</v>
      </c>
      <c r="N140" s="155">
        <f>+IF(OR($Q140=Parametres!$G$2,$Q140=Parametres!$G$3),I140,C140)</f>
        <v>0</v>
      </c>
      <c r="O140" s="155">
        <f>+IF(OR($Q140=Parametres!$G$2,$Q140=Parametres!$G$3),J140,D140)</f>
        <v>-4350</v>
      </c>
      <c r="P140" s="155">
        <f>+IF(OR($Q140=Parametres!$G$2,$Q140=Parametres!$G$3),K140,E140)</f>
        <v>-4350</v>
      </c>
      <c r="Q140" s="154" t="str">
        <f t="shared" si="10"/>
        <v>3-Passifs</v>
      </c>
      <c r="R140" s="153" t="str">
        <f t="shared" si="10"/>
        <v>2283</v>
      </c>
      <c r="S140" s="154">
        <f t="shared" si="10"/>
        <v>0</v>
      </c>
      <c r="T140" s="156" t="str">
        <f>+VLOOKUP($L140,Data_Validation!$A:$D,1,0)</f>
        <v>2297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72" t="s">
        <v>2710</v>
      </c>
      <c r="B141" s="1072" t="s">
        <v>2162</v>
      </c>
      <c r="C141" s="1074">
        <v>7734.75</v>
      </c>
      <c r="D141" s="1074">
        <v>-6268.1</v>
      </c>
      <c r="E141" s="1074">
        <v>1466.65</v>
      </c>
      <c r="F141" s="1072" t="s">
        <v>282</v>
      </c>
      <c r="G141" s="1072" t="s">
        <v>2162</v>
      </c>
      <c r="H141" s="1050"/>
      <c r="I141" s="1049"/>
      <c r="J141" s="1049"/>
      <c r="K141" s="1049"/>
      <c r="L141" s="153" t="str">
        <f t="shared" si="0"/>
        <v>2315</v>
      </c>
      <c r="M141" s="154" t="str">
        <f t="shared" si="1"/>
        <v>PRIME ASSURANCE GROUPE</v>
      </c>
      <c r="N141" s="155">
        <f>+IF(OR($Q141=Parametres!$G$2,$Q141=Parametres!$G$3),I141,C141)</f>
        <v>7734.75</v>
      </c>
      <c r="O141" s="155">
        <f>+IF(OR($Q141=Parametres!$G$2,$Q141=Parametres!$G$3),J141,D141)</f>
        <v>-6268.1</v>
      </c>
      <c r="P141" s="155">
        <f>+IF(OR($Q141=Parametres!$G$2,$Q141=Parametres!$G$3),K141,E141)</f>
        <v>1466.65</v>
      </c>
      <c r="Q141" s="154" t="str">
        <f t="shared" si="10"/>
        <v>3-Passifs</v>
      </c>
      <c r="R141" s="153" t="str">
        <f t="shared" si="10"/>
        <v>2315</v>
      </c>
      <c r="S141" s="154">
        <f t="shared" si="10"/>
        <v>0</v>
      </c>
      <c r="T141" s="156" t="str">
        <f>+VLOOKUP($L141,Data_Validation!$A:$D,1,0)</f>
        <v>2315</v>
      </c>
      <c r="U141" s="156" t="str">
        <f>+VLOOKUP($L141,Data_Validation!$A:$D,3,0)</f>
        <v>Bilan</v>
      </c>
      <c r="V141" s="156" t="str">
        <f>+VLOOKUP($L141,Data_Validation!$A:$D,4,0)</f>
        <v>DAS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72" t="s">
        <v>2160</v>
      </c>
      <c r="B142" s="1072" t="s">
        <v>2161</v>
      </c>
      <c r="C142" s="1074">
        <v>0</v>
      </c>
      <c r="D142" s="1074">
        <v>949.06</v>
      </c>
      <c r="E142" s="1074">
        <v>949.06</v>
      </c>
      <c r="F142" s="1072" t="s">
        <v>282</v>
      </c>
      <c r="G142" s="1072" t="s">
        <v>2162</v>
      </c>
      <c r="H142" s="1050"/>
      <c r="I142" s="1049"/>
      <c r="J142" s="1049"/>
      <c r="K142" s="1049"/>
      <c r="L142" s="153" t="str">
        <f t="shared" si="0"/>
        <v>2335</v>
      </c>
      <c r="M142" s="154" t="str">
        <f t="shared" si="1"/>
        <v>COMITE SOCIAL</v>
      </c>
      <c r="N142" s="155">
        <f>+IF(OR($Q142=Parametres!$G$2,$Q142=Parametres!$G$3),I142,C142)</f>
        <v>0</v>
      </c>
      <c r="O142" s="155">
        <f>+IF(OR($Q142=Parametres!$G$2,$Q142=Parametres!$G$3),J142,D142)</f>
        <v>949.06</v>
      </c>
      <c r="P142" s="155">
        <f>+IF(OR($Q142=Parametres!$G$2,$Q142=Parametres!$G$3),K142,E142)</f>
        <v>949.06</v>
      </c>
      <c r="Q142" s="154" t="str">
        <f t="shared" si="10"/>
        <v>3-Passifs</v>
      </c>
      <c r="R142" s="153" t="str">
        <f t="shared" si="10"/>
        <v>2315</v>
      </c>
      <c r="S142" s="154">
        <f t="shared" si="10"/>
        <v>0</v>
      </c>
      <c r="T142" s="156" t="str">
        <f>+VLOOKUP($L142,Data_Validation!$A:$D,1,0)</f>
        <v>2335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72" t="s">
        <v>2749</v>
      </c>
      <c r="B143" s="1072" t="s">
        <v>2750</v>
      </c>
      <c r="C143" s="1074">
        <v>-14805.04</v>
      </c>
      <c r="D143" s="1074">
        <v>-21163.22</v>
      </c>
      <c r="E143" s="1074">
        <v>-35968.26</v>
      </c>
      <c r="F143" s="1072" t="s">
        <v>282</v>
      </c>
      <c r="G143" s="1072" t="s">
        <v>2162</v>
      </c>
      <c r="H143" s="1050"/>
      <c r="I143" s="1049"/>
      <c r="J143" s="1049"/>
      <c r="K143" s="1049"/>
      <c r="L143" s="153" t="str">
        <f t="shared" si="0"/>
        <v>2342</v>
      </c>
      <c r="M143" s="154" t="str">
        <f t="shared" si="1"/>
        <v>REER STANDARD LIFE</v>
      </c>
      <c r="N143" s="155">
        <f>+IF(OR($Q143=Parametres!$G$2,$Q143=Parametres!$G$3),I143,C143)</f>
        <v>-14805.04</v>
      </c>
      <c r="O143" s="155">
        <f>+IF(OR($Q143=Parametres!$G$2,$Q143=Parametres!$G$3),J143,D143)</f>
        <v>-21163.22</v>
      </c>
      <c r="P143" s="155">
        <f>+IF(OR($Q143=Parametres!$G$2,$Q143=Parametres!$G$3),K143,E143)</f>
        <v>-35968.26</v>
      </c>
      <c r="Q143" s="154" t="str">
        <f t="shared" si="10"/>
        <v>3-Passifs</v>
      </c>
      <c r="R143" s="153" t="str">
        <f t="shared" si="10"/>
        <v>2315</v>
      </c>
      <c r="S143" s="154">
        <f t="shared" si="10"/>
        <v>0</v>
      </c>
      <c r="T143" s="156" t="str">
        <f>+VLOOKUP($L143,Data_Validation!$A:$D,1,0)</f>
        <v>2342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72" t="s">
        <v>2582</v>
      </c>
      <c r="B144" s="1072" t="s">
        <v>2583</v>
      </c>
      <c r="C144" s="1074">
        <v>-567.44000000000005</v>
      </c>
      <c r="D144" s="1074">
        <v>-226.36</v>
      </c>
      <c r="E144" s="1074">
        <v>-793.8</v>
      </c>
      <c r="F144" s="1072" t="s">
        <v>282</v>
      </c>
      <c r="G144" s="1072" t="s">
        <v>2162</v>
      </c>
      <c r="H144" s="1050"/>
      <c r="I144" s="1049"/>
      <c r="J144" s="1049"/>
      <c r="K144" s="1049"/>
      <c r="L144" s="153" t="str">
        <f t="shared" si="0"/>
        <v>2343</v>
      </c>
      <c r="M144" s="154" t="str">
        <f t="shared" si="1"/>
        <v>COMITE PARITAIRE</v>
      </c>
      <c r="N144" s="155">
        <f>+IF(OR($Q144=Parametres!$G$2,$Q144=Parametres!$G$3),I144,C144)</f>
        <v>-567.44000000000005</v>
      </c>
      <c r="O144" s="155">
        <f>+IF(OR($Q144=Parametres!$G$2,$Q144=Parametres!$G$3),J144,D144)</f>
        <v>-226.36</v>
      </c>
      <c r="P144" s="155">
        <f>+IF(OR($Q144=Parametres!$G$2,$Q144=Parametres!$G$3),K144,E144)</f>
        <v>-793.8</v>
      </c>
      <c r="Q144" s="154" t="str">
        <f t="shared" si="10"/>
        <v>3-Passifs</v>
      </c>
      <c r="R144" s="153" t="str">
        <f t="shared" si="10"/>
        <v>2315</v>
      </c>
      <c r="S144" s="154">
        <f t="shared" si="10"/>
        <v>0</v>
      </c>
      <c r="T144" s="156" t="str">
        <f>+VLOOKUP($L144,Data_Validation!$A:$D,1,0)</f>
        <v>2343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72" t="s">
        <v>536</v>
      </c>
      <c r="B145" s="1072" t="s">
        <v>2185</v>
      </c>
      <c r="C145" s="1074">
        <v>-1041</v>
      </c>
      <c r="D145" s="1074">
        <v>512</v>
      </c>
      <c r="E145" s="1074">
        <v>-529</v>
      </c>
      <c r="F145" s="1072" t="s">
        <v>282</v>
      </c>
      <c r="G145" s="1072" t="s">
        <v>2162</v>
      </c>
      <c r="H145" s="1073"/>
      <c r="I145" s="1073"/>
      <c r="J145" s="1073"/>
      <c r="K145" s="1073"/>
      <c r="L145" s="153" t="str">
        <f t="shared" si="0"/>
        <v>2344</v>
      </c>
      <c r="M145" s="154" t="str">
        <f t="shared" si="1"/>
        <v>CENTRAIDE</v>
      </c>
      <c r="N145" s="155">
        <f>+IF(OR($Q145=Parametres!$G$2,$Q145=Parametres!$G$3),I145,C145)</f>
        <v>-1041</v>
      </c>
      <c r="O145" s="155">
        <f>+IF(OR($Q145=Parametres!$G$2,$Q145=Parametres!$G$3),J145,D145)</f>
        <v>512</v>
      </c>
      <c r="P145" s="155">
        <f>+IF(OR($Q145=Parametres!$G$2,$Q145=Parametres!$G$3),K145,E145)</f>
        <v>-529</v>
      </c>
      <c r="Q145" s="154" t="str">
        <f t="shared" si="10"/>
        <v>3-Passifs</v>
      </c>
      <c r="R145" s="153" t="str">
        <f t="shared" si="10"/>
        <v>2315</v>
      </c>
      <c r="S145" s="154">
        <f t="shared" si="10"/>
        <v>0</v>
      </c>
      <c r="T145" s="156" t="str">
        <f>+VLOOKUP($L145,Data_Validation!$A:$D,1,0)</f>
        <v>2344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72" t="s">
        <v>2193</v>
      </c>
      <c r="B146" s="1072" t="s">
        <v>2194</v>
      </c>
      <c r="C146" s="1074">
        <v>-21266.7</v>
      </c>
      <c r="D146" s="1074">
        <v>10056.700000000001</v>
      </c>
      <c r="E146" s="1074">
        <v>-11210</v>
      </c>
      <c r="F146" s="1072" t="s">
        <v>282</v>
      </c>
      <c r="G146" s="1072" t="s">
        <v>2194</v>
      </c>
      <c r="H146" s="1073"/>
      <c r="I146" s="1073"/>
      <c r="J146" s="1073"/>
      <c r="K146" s="1073"/>
      <c r="L146" s="153" t="str">
        <f t="shared" si="0"/>
        <v>2401</v>
      </c>
      <c r="M146" s="154" t="str">
        <f t="shared" si="1"/>
        <v>DEPOTS FIDUCIE-VENTE CLIENTS</v>
      </c>
      <c r="N146" s="155">
        <f>+IF(OR($Q146=Parametres!$G$2,$Q146=Parametres!$G$3),I146,C146)</f>
        <v>-21266.7</v>
      </c>
      <c r="O146" s="155">
        <f>+IF(OR($Q146=Parametres!$G$2,$Q146=Parametres!$G$3),J146,D146)</f>
        <v>10056.700000000001</v>
      </c>
      <c r="P146" s="155">
        <f>+IF(OR($Q146=Parametres!$G$2,$Q146=Parametres!$G$3),K146,E146)</f>
        <v>-11210</v>
      </c>
      <c r="Q146" s="154" t="str">
        <f t="shared" ref="Q146:S161" si="11">+F146</f>
        <v>3-Passifs</v>
      </c>
      <c r="R146" s="153" t="str">
        <f t="shared" si="11"/>
        <v>2401</v>
      </c>
      <c r="S146" s="154">
        <f t="shared" si="11"/>
        <v>0</v>
      </c>
      <c r="T146" s="156" t="str">
        <f>+VLOOKUP($L146,Data_Validation!$A:$D,1,0)</f>
        <v>2401</v>
      </c>
      <c r="U146" s="156" t="str">
        <f>+VLOOKUP($L146,Data_Validation!$A:$D,3,0)</f>
        <v>Bilan</v>
      </c>
      <c r="V146" s="156" t="str">
        <f>+VLOOKUP($L146,Data_Validation!$A:$D,4,0)</f>
        <v>Dépôts de Client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72" t="s">
        <v>2600</v>
      </c>
      <c r="B147" s="1072" t="s">
        <v>2601</v>
      </c>
      <c r="C147" s="1074">
        <v>-19575.88</v>
      </c>
      <c r="D147" s="1074">
        <v>12176.1</v>
      </c>
      <c r="E147" s="1074">
        <v>-7399.78</v>
      </c>
      <c r="F147" s="1072" t="s">
        <v>282</v>
      </c>
      <c r="G147" s="1072" t="s">
        <v>2601</v>
      </c>
      <c r="H147" s="1073"/>
      <c r="I147" s="1073"/>
      <c r="J147" s="1073"/>
      <c r="K147" s="1073"/>
      <c r="L147" s="153" t="str">
        <f t="shared" si="0"/>
        <v>2501</v>
      </c>
      <c r="M147" s="154" t="str">
        <f t="shared" si="1"/>
        <v>COMMISSION A PAYER</v>
      </c>
      <c r="N147" s="155">
        <f>+IF(OR($Q147=Parametres!$G$2,$Q147=Parametres!$G$3),I147,C147)</f>
        <v>-19575.88</v>
      </c>
      <c r="O147" s="155">
        <f>+IF(OR($Q147=Parametres!$G$2,$Q147=Parametres!$G$3),J147,D147)</f>
        <v>12176.1</v>
      </c>
      <c r="P147" s="155">
        <f>+IF(OR($Q147=Parametres!$G$2,$Q147=Parametres!$G$3),K147,E147)</f>
        <v>-7399.78</v>
      </c>
      <c r="Q147" s="154" t="str">
        <f t="shared" si="11"/>
        <v>3-Passifs</v>
      </c>
      <c r="R147" s="153" t="str">
        <f t="shared" si="11"/>
        <v>2501</v>
      </c>
      <c r="S147" s="154">
        <f t="shared" si="11"/>
        <v>0</v>
      </c>
      <c r="T147" s="156" t="str">
        <f>+VLOOKUP($L147,Data_Validation!$A:$D,1,0)</f>
        <v>2501</v>
      </c>
      <c r="U147" s="156" t="str">
        <f>+VLOOKUP($L147,Data_Validation!$A:$D,3,0)</f>
        <v>Bilan</v>
      </c>
      <c r="V147" s="156" t="str">
        <f>+VLOOKUP($L147,Data_Validation!$A:$D,4,0)</f>
        <v>Salaires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72" t="s">
        <v>2058</v>
      </c>
      <c r="B148" s="1072" t="s">
        <v>2059</v>
      </c>
      <c r="C148" s="1074">
        <v>-127063.46</v>
      </c>
      <c r="D148" s="1074">
        <v>127547.87</v>
      </c>
      <c r="E148" s="1074">
        <v>484.41</v>
      </c>
      <c r="F148" s="1072" t="s">
        <v>282</v>
      </c>
      <c r="G148" s="1072" t="s">
        <v>2059</v>
      </c>
      <c r="H148" s="1073"/>
      <c r="I148" s="1073"/>
      <c r="J148" s="1073"/>
      <c r="K148" s="1073"/>
      <c r="L148" s="153" t="str">
        <f t="shared" si="0"/>
        <v>2503</v>
      </c>
      <c r="M148" s="154" t="str">
        <f t="shared" si="1"/>
        <v>SALAIRES DES EMPLOYES</v>
      </c>
      <c r="N148" s="155">
        <f>+IF(OR($Q148=Parametres!$G$2,$Q148=Parametres!$G$3),I148,C148)</f>
        <v>-127063.46</v>
      </c>
      <c r="O148" s="155">
        <f>+IF(OR($Q148=Parametres!$G$2,$Q148=Parametres!$G$3),J148,D148)</f>
        <v>127547.87</v>
      </c>
      <c r="P148" s="155">
        <f>+IF(OR($Q148=Parametres!$G$2,$Q148=Parametres!$G$3),K148,E148)</f>
        <v>484.41</v>
      </c>
      <c r="Q148" s="154" t="str">
        <f t="shared" si="11"/>
        <v>3-Passifs</v>
      </c>
      <c r="R148" s="153" t="str">
        <f t="shared" si="11"/>
        <v>2503</v>
      </c>
      <c r="S148" s="154">
        <f t="shared" si="11"/>
        <v>0</v>
      </c>
      <c r="T148" s="156" t="str">
        <f>+VLOOKUP($L148,Data_Validation!$A:$D,1,0)</f>
        <v>2503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72" t="s">
        <v>2098</v>
      </c>
      <c r="B149" s="1072" t="s">
        <v>2099</v>
      </c>
      <c r="C149" s="1074">
        <v>0</v>
      </c>
      <c r="D149" s="1074">
        <v>44866.17</v>
      </c>
      <c r="E149" s="1074">
        <v>44866.17</v>
      </c>
      <c r="F149" s="1072" t="s">
        <v>282</v>
      </c>
      <c r="G149" s="1072" t="s">
        <v>2059</v>
      </c>
      <c r="H149" s="1073"/>
      <c r="I149" s="1073"/>
      <c r="J149" s="1073"/>
      <c r="K149" s="1073"/>
      <c r="L149" s="153" t="str">
        <f t="shared" si="0"/>
        <v>2505</v>
      </c>
      <c r="M149" s="154" t="str">
        <f t="shared" si="1"/>
        <v>JOURS FERIES</v>
      </c>
      <c r="N149" s="155">
        <f>+IF(OR($Q149=Parametres!$G$2,$Q149=Parametres!$G$3),I149,C149)</f>
        <v>0</v>
      </c>
      <c r="O149" s="155">
        <f>+IF(OR($Q149=Parametres!$G$2,$Q149=Parametres!$G$3),J149,D149)</f>
        <v>44866.17</v>
      </c>
      <c r="P149" s="155">
        <f>+IF(OR($Q149=Parametres!$G$2,$Q149=Parametres!$G$3),K149,E149)</f>
        <v>44866.17</v>
      </c>
      <c r="Q149" s="154" t="str">
        <f t="shared" si="11"/>
        <v>3-Passifs</v>
      </c>
      <c r="R149" s="153" t="str">
        <f t="shared" si="11"/>
        <v>2503</v>
      </c>
      <c r="S149" s="154">
        <f t="shared" si="11"/>
        <v>0</v>
      </c>
      <c r="T149" s="156" t="str">
        <f>+VLOOKUP($L149,Data_Validation!$A:$D,1,0)</f>
        <v>2505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72" t="s">
        <v>2094</v>
      </c>
      <c r="B150" s="1072" t="s">
        <v>2095</v>
      </c>
      <c r="C150" s="1074">
        <v>-168256.77</v>
      </c>
      <c r="D150" s="1074">
        <v>-1865.16</v>
      </c>
      <c r="E150" s="1074">
        <v>-170121.93</v>
      </c>
      <c r="F150" s="1072" t="s">
        <v>282</v>
      </c>
      <c r="G150" s="1072" t="s">
        <v>2059</v>
      </c>
      <c r="H150" s="1073"/>
      <c r="I150" s="1073"/>
      <c r="J150" s="1073"/>
      <c r="K150" s="1073"/>
      <c r="L150" s="153" t="str">
        <f t="shared" si="0"/>
        <v>2509</v>
      </c>
      <c r="M150" s="154" t="str">
        <f t="shared" si="1"/>
        <v>SALAIRES DE VACANCES</v>
      </c>
      <c r="N150" s="155">
        <f>+IF(OR($Q150=Parametres!$G$2,$Q150=Parametres!$G$3),I150,C150)</f>
        <v>-168256.77</v>
      </c>
      <c r="O150" s="155">
        <f>+IF(OR($Q150=Parametres!$G$2,$Q150=Parametres!$G$3),J150,D150)</f>
        <v>-1865.16</v>
      </c>
      <c r="P150" s="155">
        <f>+IF(OR($Q150=Parametres!$G$2,$Q150=Parametres!$G$3),K150,E150)</f>
        <v>-170121.93</v>
      </c>
      <c r="Q150" s="154" t="str">
        <f t="shared" si="11"/>
        <v>3-Passifs</v>
      </c>
      <c r="R150" s="153" t="str">
        <f t="shared" si="11"/>
        <v>2503</v>
      </c>
      <c r="S150" s="154">
        <f t="shared" si="11"/>
        <v>0</v>
      </c>
      <c r="T150" s="156" t="str">
        <f>+VLOOKUP($L150,Data_Validation!$A:$D,1,0)</f>
        <v>2509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72" t="s">
        <v>2188</v>
      </c>
      <c r="B151" s="1072" t="s">
        <v>2189</v>
      </c>
      <c r="C151" s="1074">
        <v>0</v>
      </c>
      <c r="D151" s="1074">
        <v>6534.81</v>
      </c>
      <c r="E151" s="1074">
        <v>6534.81</v>
      </c>
      <c r="F151" s="1072" t="s">
        <v>282</v>
      </c>
      <c r="G151" s="1072" t="s">
        <v>2059</v>
      </c>
      <c r="H151" s="1073"/>
      <c r="I151" s="1073"/>
      <c r="J151" s="1073"/>
      <c r="K151" s="1073"/>
      <c r="L151" s="153" t="str">
        <f t="shared" si="0"/>
        <v>2511</v>
      </c>
      <c r="M151" s="154" t="str">
        <f t="shared" si="1"/>
        <v>JOURNEE MALADIE</v>
      </c>
      <c r="N151" s="155">
        <f>+IF(OR($Q151=Parametres!$G$2,$Q151=Parametres!$G$3),I151,C151)</f>
        <v>0</v>
      </c>
      <c r="O151" s="155">
        <f>+IF(OR($Q151=Parametres!$G$2,$Q151=Parametres!$G$3),J151,D151)</f>
        <v>6534.81</v>
      </c>
      <c r="P151" s="155">
        <f>+IF(OR($Q151=Parametres!$G$2,$Q151=Parametres!$G$3),K151,E151)</f>
        <v>6534.81</v>
      </c>
      <c r="Q151" s="154" t="str">
        <f t="shared" si="11"/>
        <v>3-Passifs</v>
      </c>
      <c r="R151" s="153" t="str">
        <f t="shared" si="11"/>
        <v>2503</v>
      </c>
      <c r="S151" s="154">
        <f t="shared" si="11"/>
        <v>0</v>
      </c>
      <c r="T151" s="156" t="str">
        <f>+VLOOKUP($L151,Data_Validation!$A:$D,1,0)</f>
        <v>2511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72" t="s">
        <v>2689</v>
      </c>
      <c r="B152" s="1072" t="s">
        <v>2690</v>
      </c>
      <c r="C152" s="1074">
        <v>-56361.75</v>
      </c>
      <c r="D152" s="1074">
        <v>1317.5</v>
      </c>
      <c r="E152" s="1074">
        <v>-55044.25</v>
      </c>
      <c r="F152" s="1072" t="s">
        <v>282</v>
      </c>
      <c r="G152" s="1072" t="s">
        <v>2690</v>
      </c>
      <c r="H152" s="1073"/>
      <c r="I152" s="1073"/>
      <c r="J152" s="1073"/>
      <c r="K152" s="1073"/>
      <c r="L152" s="153" t="str">
        <f t="shared" si="0"/>
        <v>2801</v>
      </c>
      <c r="M152" s="154" t="str">
        <f t="shared" si="1"/>
        <v>PRET CIBC</v>
      </c>
      <c r="N152" s="155">
        <f>+IF(OR($Q152=Parametres!$G$2,$Q152=Parametres!$G$3),I152,C152)</f>
        <v>-56361.75</v>
      </c>
      <c r="O152" s="155">
        <f>+IF(OR($Q152=Parametres!$G$2,$Q152=Parametres!$G$3),J152,D152)</f>
        <v>1317.5</v>
      </c>
      <c r="P152" s="155">
        <f>+IF(OR($Q152=Parametres!$G$2,$Q152=Parametres!$G$3),K152,E152)</f>
        <v>-55044.25</v>
      </c>
      <c r="Q152" s="154" t="str">
        <f t="shared" si="11"/>
        <v>3-Passifs</v>
      </c>
      <c r="R152" s="153" t="str">
        <f t="shared" si="11"/>
        <v>2801</v>
      </c>
      <c r="S152" s="154">
        <f t="shared" si="11"/>
        <v>0</v>
      </c>
      <c r="T152" s="156" t="str">
        <f>+VLOOKUP($L152,Data_Validation!$A:$D,1,0)</f>
        <v>2801</v>
      </c>
      <c r="U152" s="156" t="str">
        <f>+VLOOKUP($L152,Data_Validation!$A:$D,3,0)</f>
        <v>Bilan</v>
      </c>
      <c r="V152" s="156" t="str">
        <f>+VLOOKUP($L152,Data_Validation!$A:$D,4,0)</f>
        <v>Dette à Long Terme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72" t="s">
        <v>827</v>
      </c>
      <c r="B153" s="1072" t="s">
        <v>2190</v>
      </c>
      <c r="C153" s="1074">
        <v>-20915.05</v>
      </c>
      <c r="D153" s="1074">
        <v>67.23</v>
      </c>
      <c r="E153" s="1074">
        <v>-20847.82</v>
      </c>
      <c r="F153" s="1072" t="s">
        <v>282</v>
      </c>
      <c r="G153" s="1072" t="s">
        <v>2190</v>
      </c>
      <c r="H153" s="1073"/>
      <c r="I153" s="1073"/>
      <c r="J153" s="1073"/>
      <c r="K153" s="1073"/>
      <c r="L153" s="153" t="str">
        <f t="shared" si="0"/>
        <v>2901</v>
      </c>
      <c r="M153" s="154" t="str">
        <f t="shared" si="1"/>
        <v>RESERVE CARTES PRIVILEGE</v>
      </c>
      <c r="N153" s="155">
        <f>+IF(OR($Q153=Parametres!$G$2,$Q153=Parametres!$G$3),I153,C153)</f>
        <v>-20915.05</v>
      </c>
      <c r="O153" s="155">
        <f>+IF(OR($Q153=Parametres!$G$2,$Q153=Parametres!$G$3),J153,D153)</f>
        <v>67.23</v>
      </c>
      <c r="P153" s="155">
        <f>+IF(OR($Q153=Parametres!$G$2,$Q153=Parametres!$G$3),K153,E153)</f>
        <v>-20847.82</v>
      </c>
      <c r="Q153" s="154" t="str">
        <f t="shared" si="11"/>
        <v>3-Passifs</v>
      </c>
      <c r="R153" s="153" t="str">
        <f t="shared" si="11"/>
        <v>2901</v>
      </c>
      <c r="S153" s="154">
        <f t="shared" si="11"/>
        <v>0</v>
      </c>
      <c r="T153" s="156" t="str">
        <f>+VLOOKUP($L153,Data_Validation!$A:$D,1,0)</f>
        <v>2901</v>
      </c>
      <c r="U153" s="156" t="str">
        <f>+VLOOKUP($L153,Data_Validation!$A:$D,3,0)</f>
        <v>Bilan</v>
      </c>
      <c r="V153" s="156" t="str">
        <f>+VLOOKUP($L153,Data_Validation!$A:$D,4,0)</f>
        <v>Autres Courus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72" t="s">
        <v>2423</v>
      </c>
      <c r="B154" s="1072" t="s">
        <v>2424</v>
      </c>
      <c r="C154" s="1074">
        <v>-2350000</v>
      </c>
      <c r="D154" s="1074">
        <v>0</v>
      </c>
      <c r="E154" s="1074">
        <v>-2350000</v>
      </c>
      <c r="F154" s="1072" t="s">
        <v>831</v>
      </c>
      <c r="G154" s="1072" t="s">
        <v>2424</v>
      </c>
      <c r="H154" s="1073"/>
      <c r="I154" s="1073"/>
      <c r="J154" s="1073"/>
      <c r="K154" s="1073"/>
      <c r="L154" s="153" t="str">
        <f t="shared" si="0"/>
        <v>3001</v>
      </c>
      <c r="M154" s="154" t="str">
        <f t="shared" si="1"/>
        <v>ACTIONS CATEGORIE 1</v>
      </c>
      <c r="N154" s="155">
        <f>+IF(OR($Q154=Parametres!$G$2,$Q154=Parametres!$G$3),I154,C154)</f>
        <v>-2350000</v>
      </c>
      <c r="O154" s="155">
        <f>+IF(OR($Q154=Parametres!$G$2,$Q154=Parametres!$G$3),J154,D154)</f>
        <v>0</v>
      </c>
      <c r="P154" s="155">
        <f>+IF(OR($Q154=Parametres!$G$2,$Q154=Parametres!$G$3),K154,E154)</f>
        <v>-2350000</v>
      </c>
      <c r="Q154" s="154" t="str">
        <f t="shared" si="11"/>
        <v>4-Valeur nette</v>
      </c>
      <c r="R154" s="153" t="str">
        <f t="shared" si="11"/>
        <v>3001</v>
      </c>
      <c r="S154" s="154">
        <f t="shared" si="11"/>
        <v>0</v>
      </c>
      <c r="T154" s="156" t="str">
        <f>+VLOOKUP($L154,Data_Validation!$A:$D,1,0)</f>
        <v>3001</v>
      </c>
      <c r="U154" s="156" t="str">
        <f>+VLOOKUP($L154,Data_Validation!$A:$D,3,0)</f>
        <v>Bilan</v>
      </c>
      <c r="V154" s="156" t="str">
        <f>+VLOOKUP($L154,Data_Validation!$A:$D,4,0)</f>
        <v>Capital Actions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72" t="s">
        <v>2425</v>
      </c>
      <c r="B155" s="1072" t="s">
        <v>2426</v>
      </c>
      <c r="C155" s="1074">
        <v>-1846000</v>
      </c>
      <c r="D155" s="1074">
        <v>0</v>
      </c>
      <c r="E155" s="1074">
        <v>-1846000</v>
      </c>
      <c r="F155" s="1072" t="s">
        <v>831</v>
      </c>
      <c r="G155" s="1072" t="s">
        <v>2424</v>
      </c>
      <c r="H155" s="1073"/>
      <c r="I155" s="1073"/>
      <c r="J155" s="1073"/>
      <c r="K155" s="1073"/>
      <c r="L155" s="153" t="str">
        <f t="shared" si="0"/>
        <v>3003</v>
      </c>
      <c r="M155" s="154" t="str">
        <f t="shared" si="1"/>
        <v>APPORT / RETRAIT</v>
      </c>
      <c r="N155" s="155">
        <f>+IF(OR($Q155=Parametres!$G$2,$Q155=Parametres!$G$3),I155,C155)</f>
        <v>-1846000</v>
      </c>
      <c r="O155" s="155">
        <f>+IF(OR($Q155=Parametres!$G$2,$Q155=Parametres!$G$3),J155,D155)</f>
        <v>0</v>
      </c>
      <c r="P155" s="155">
        <f>+IF(OR($Q155=Parametres!$G$2,$Q155=Parametres!$G$3),K155,E155)</f>
        <v>-1846000</v>
      </c>
      <c r="Q155" s="154" t="str">
        <f t="shared" si="11"/>
        <v>4-Valeur nette</v>
      </c>
      <c r="R155" s="153" t="str">
        <f t="shared" si="11"/>
        <v>3001</v>
      </c>
      <c r="S155" s="154">
        <f t="shared" si="11"/>
        <v>0</v>
      </c>
      <c r="T155" s="156" t="str">
        <f>+VLOOKUP($L155,Data_Validation!$A:$D,1,0)</f>
        <v>3003</v>
      </c>
      <c r="U155" s="156" t="str">
        <f>+VLOOKUP($L155,Data_Validation!$A:$D,3,0)</f>
        <v>Bilan</v>
      </c>
      <c r="V155" s="156" t="str">
        <f>+VLOOKUP($L155,Data_Validation!$A:$D,4,0)</f>
        <v>Apport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72" t="s">
        <v>2427</v>
      </c>
      <c r="B156" s="1072" t="s">
        <v>2428</v>
      </c>
      <c r="C156" s="1074">
        <v>-347547.5</v>
      </c>
      <c r="D156" s="1074">
        <v>0</v>
      </c>
      <c r="E156" s="1074">
        <v>-347547.5</v>
      </c>
      <c r="F156" s="1072" t="s">
        <v>831</v>
      </c>
      <c r="G156" s="1072" t="s">
        <v>2424</v>
      </c>
      <c r="H156" s="1073"/>
      <c r="I156" s="1073"/>
      <c r="J156" s="1073"/>
      <c r="K156" s="1073"/>
      <c r="L156" s="153" t="str">
        <f t="shared" si="0"/>
        <v>3007</v>
      </c>
      <c r="M156" s="154" t="str">
        <f t="shared" si="1"/>
        <v>ACTIONS PARTICIPANTES</v>
      </c>
      <c r="N156" s="155">
        <f>+IF(OR($Q156=Parametres!$G$2,$Q156=Parametres!$G$3),I156,C156)</f>
        <v>-347547.5</v>
      </c>
      <c r="O156" s="155">
        <f>+IF(OR($Q156=Parametres!$G$2,$Q156=Parametres!$G$3),J156,D156)</f>
        <v>0</v>
      </c>
      <c r="P156" s="155">
        <f>+IF(OR($Q156=Parametres!$G$2,$Q156=Parametres!$G$3),K156,E156)</f>
        <v>-347547.5</v>
      </c>
      <c r="Q156" s="154" t="str">
        <f t="shared" si="11"/>
        <v>4-Valeur nette</v>
      </c>
      <c r="R156" s="153" t="str">
        <f t="shared" si="11"/>
        <v>3001</v>
      </c>
      <c r="S156" s="154">
        <f t="shared" si="11"/>
        <v>0</v>
      </c>
      <c r="T156" s="156" t="str">
        <f>+VLOOKUP($L156,Data_Validation!$A:$D,1,0)</f>
        <v>3007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>
        <f>+VLOOKUP($L156,Data_Validation!$A:$E,5,0)</f>
        <v>0</v>
      </c>
      <c r="X156" s="156">
        <f>+VLOOKUP($L156,Data_Validation!$A:$F,6,0)</f>
        <v>0</v>
      </c>
    </row>
    <row r="157" spans="1:24" ht="15" hidden="1" customHeight="1">
      <c r="A157" s="1072" t="s">
        <v>2429</v>
      </c>
      <c r="B157" s="1072" t="s">
        <v>2430</v>
      </c>
      <c r="C157" s="1074">
        <v>-231711.86</v>
      </c>
      <c r="D157" s="1074">
        <v>0</v>
      </c>
      <c r="E157" s="1074">
        <v>-231711.86</v>
      </c>
      <c r="F157" s="1072" t="s">
        <v>831</v>
      </c>
      <c r="G157" s="1072" t="s">
        <v>2424</v>
      </c>
      <c r="H157" s="1073"/>
      <c r="I157" s="1073"/>
      <c r="J157" s="1073"/>
      <c r="K157" s="1073"/>
      <c r="L157" s="153" t="str">
        <f t="shared" si="0"/>
        <v>3201</v>
      </c>
      <c r="M157" s="154" t="str">
        <f t="shared" si="1"/>
        <v>BENEFICES NON-REPARTIS</v>
      </c>
      <c r="N157" s="155">
        <f>+IF(OR($Q157=Parametres!$G$2,$Q157=Parametres!$G$3),I157,C157)</f>
        <v>-231711.86</v>
      </c>
      <c r="O157" s="155">
        <f>+IF(OR($Q157=Parametres!$G$2,$Q157=Parametres!$G$3),J157,D157)</f>
        <v>0</v>
      </c>
      <c r="P157" s="155">
        <f>+IF(OR($Q157=Parametres!$G$2,$Q157=Parametres!$G$3),K157,E157)</f>
        <v>-231711.86</v>
      </c>
      <c r="Q157" s="154" t="str">
        <f t="shared" si="11"/>
        <v>4-Valeur nette</v>
      </c>
      <c r="R157" s="153" t="str">
        <f t="shared" si="11"/>
        <v>3001</v>
      </c>
      <c r="S157" s="154">
        <f t="shared" si="11"/>
        <v>0</v>
      </c>
      <c r="T157" s="156" t="str">
        <f>+VLOOKUP($L157,Data_Validation!$A:$D,1,0)</f>
        <v>3201</v>
      </c>
      <c r="U157" s="156" t="str">
        <f>+VLOOKUP($L157,Data_Validation!$A:$D,3,0)</f>
        <v>Bilan</v>
      </c>
      <c r="V157" s="156" t="str">
        <f>+VLOOKUP($L157,Data_Validation!$A:$D,4,0)</f>
        <v>Bénéfices non répartis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72" t="s">
        <v>2025</v>
      </c>
      <c r="B158" s="1072" t="s">
        <v>2026</v>
      </c>
      <c r="C158" s="1074">
        <v>0</v>
      </c>
      <c r="D158" s="1074">
        <v>-3889.15</v>
      </c>
      <c r="E158" s="1074">
        <v>-3889.15</v>
      </c>
      <c r="F158" s="1072" t="s">
        <v>285</v>
      </c>
      <c r="G158" s="1072" t="s">
        <v>2026</v>
      </c>
      <c r="H158" s="1073"/>
      <c r="I158" s="1073"/>
      <c r="J158" s="1073"/>
      <c r="K158" s="1073"/>
      <c r="L158" s="153" t="str">
        <f t="shared" si="0"/>
        <v>4100</v>
      </c>
      <c r="M158" s="154" t="str">
        <f t="shared" si="1"/>
        <v>VTE - RACHAT BAIL VW</v>
      </c>
      <c r="N158" s="155">
        <f>+IF(OR($Q158=Parametres!$G$2,$Q158=Parametres!$G$3),I158,C158)</f>
        <v>0</v>
      </c>
      <c r="O158" s="155">
        <f>+IF(OR($Q158=Parametres!$G$2,$Q158=Parametres!$G$3),J158,D158)</f>
        <v>-3889.15</v>
      </c>
      <c r="P158" s="155">
        <f>+IF(OR($Q158=Parametres!$G$2,$Q158=Parametres!$G$3),K158,E158)</f>
        <v>-3889.15</v>
      </c>
      <c r="Q158" s="154" t="str">
        <f t="shared" si="11"/>
        <v>5-Ventes</v>
      </c>
      <c r="R158" s="153" t="str">
        <f t="shared" si="11"/>
        <v>4100</v>
      </c>
      <c r="S158" s="154">
        <f t="shared" si="11"/>
        <v>0</v>
      </c>
      <c r="T158" s="156" t="str">
        <f>+VLOOKUP($L158,Data_Validation!$A:$D,1,0)</f>
        <v>4100</v>
      </c>
      <c r="U158" s="156" t="str">
        <f>+VLOOKUP($L158,Data_Validation!$A:$D,3,0)</f>
        <v>Véhicules neufs</v>
      </c>
      <c r="V158" s="156" t="str">
        <f>+VLOOKUP($L158,Data_Validation!$A:$D,4,0)</f>
        <v>Rachat bail</v>
      </c>
      <c r="W158" s="156" t="str">
        <f>+VLOOKUP($L158,Data_Validation!$A:$E,5,0)</f>
        <v>$</v>
      </c>
      <c r="X158" s="156" t="str">
        <f>+VLOOKUP($L158,Data_Validation!$A:$F,6,0)</f>
        <v>Oui</v>
      </c>
    </row>
    <row r="159" spans="1:24" ht="15.75" hidden="1" customHeight="1">
      <c r="A159" s="1072" t="s">
        <v>2431</v>
      </c>
      <c r="B159" s="1072" t="s">
        <v>2432</v>
      </c>
      <c r="C159" s="1074">
        <v>0</v>
      </c>
      <c r="D159" s="1074">
        <v>-73290.77</v>
      </c>
      <c r="E159" s="1074">
        <v>-73290.77</v>
      </c>
      <c r="F159" s="1072" t="s">
        <v>285</v>
      </c>
      <c r="G159" s="1072" t="s">
        <v>2432</v>
      </c>
      <c r="H159" s="1073"/>
      <c r="I159" s="1073"/>
      <c r="J159" s="1073"/>
      <c r="K159" s="1073"/>
      <c r="L159" s="153" t="str">
        <f t="shared" si="0"/>
        <v>4101</v>
      </c>
      <c r="M159" s="154" t="str">
        <f t="shared" si="1"/>
        <v>VTE - NEW BEETLE</v>
      </c>
      <c r="N159" s="155">
        <f>+IF(OR($Q159=Parametres!$G$2,$Q159=Parametres!$G$3),I159,C159)</f>
        <v>0</v>
      </c>
      <c r="O159" s="155">
        <f>+IF(OR($Q159=Parametres!$G$2,$Q159=Parametres!$G$3),J159,D159)</f>
        <v>-73290.77</v>
      </c>
      <c r="P159" s="155">
        <f>+IF(OR($Q159=Parametres!$G$2,$Q159=Parametres!$G$3),K159,E159)</f>
        <v>-73290.77</v>
      </c>
      <c r="Q159" s="154" t="str">
        <f t="shared" si="11"/>
        <v>5-Ventes</v>
      </c>
      <c r="R159" s="153" t="str">
        <f t="shared" si="11"/>
        <v>4101</v>
      </c>
      <c r="S159" s="154">
        <f t="shared" si="11"/>
        <v>0</v>
      </c>
      <c r="T159" s="156" t="str">
        <f>+VLOOKUP($L159,Data_Validation!$A:$D,1,0)</f>
        <v>4101</v>
      </c>
      <c r="U159" s="156" t="str">
        <f>+VLOOKUP($L159,Data_Validation!$A:$D,3,0)</f>
        <v>Véhicules neufs</v>
      </c>
      <c r="V159" s="156" t="str">
        <f>+VLOOKUP($L159,Data_Validation!$A:$D,4,0)</f>
        <v>Autos détail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hidden="1" customHeight="1">
      <c r="A160" s="1072" t="s">
        <v>2484</v>
      </c>
      <c r="B160" s="1072" t="s">
        <v>2485</v>
      </c>
      <c r="C160" s="1073"/>
      <c r="D160" s="1073"/>
      <c r="E160" s="1073"/>
      <c r="F160" s="1072" t="s">
        <v>4</v>
      </c>
      <c r="G160" s="1072" t="s">
        <v>2432</v>
      </c>
      <c r="H160" s="1073"/>
      <c r="I160" s="1074">
        <v>0</v>
      </c>
      <c r="J160" s="1074">
        <v>-2</v>
      </c>
      <c r="K160" s="1074">
        <v>-2</v>
      </c>
      <c r="L160" s="153" t="str">
        <f t="shared" si="0"/>
        <v>4101@</v>
      </c>
      <c r="M160" s="154" t="str">
        <f t="shared" si="1"/>
        <v>VTES NEW BEETLE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1"/>
        <v>10-Compte compteur</v>
      </c>
      <c r="R160" s="153" t="str">
        <f t="shared" si="11"/>
        <v>4101</v>
      </c>
      <c r="S160" s="154">
        <f t="shared" si="11"/>
        <v>0</v>
      </c>
      <c r="T160" s="156" t="str">
        <f>+VLOOKUP($L160,Data_Validation!$A:$D,1,0)</f>
        <v>4101@</v>
      </c>
      <c r="U160" s="156" t="str">
        <f>+VLOOKUP($L160,Data_Validation!$A:$D,3,0)</f>
        <v>Véhicules neufs</v>
      </c>
      <c r="V160" s="156" t="str">
        <f>+VLOOKUP($L160,Data_Validation!$A:$D,4,0)</f>
        <v>Autos détail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hidden="1" customHeight="1">
      <c r="A161" s="1072" t="s">
        <v>2018</v>
      </c>
      <c r="B161" s="1072" t="s">
        <v>2019</v>
      </c>
      <c r="C161" s="1074">
        <v>0</v>
      </c>
      <c r="D161" s="1074">
        <v>-259597.55</v>
      </c>
      <c r="E161" s="1074">
        <v>-259597.55</v>
      </c>
      <c r="F161" s="1072" t="s">
        <v>285</v>
      </c>
      <c r="G161" s="1072" t="s">
        <v>2019</v>
      </c>
      <c r="H161" s="1073"/>
      <c r="I161" s="1073"/>
      <c r="J161" s="1073"/>
      <c r="K161" s="1073"/>
      <c r="L161" s="153" t="str">
        <f t="shared" si="0"/>
        <v>4107</v>
      </c>
      <c r="M161" s="154" t="str">
        <f t="shared" si="1"/>
        <v>VTE - GOLF A6</v>
      </c>
      <c r="N161" s="155">
        <f>+IF(OR($Q161=Parametres!$G$2,$Q161=Parametres!$G$3),I161,C161)</f>
        <v>0</v>
      </c>
      <c r="O161" s="155">
        <f>+IF(OR($Q161=Parametres!$G$2,$Q161=Parametres!$G$3),J161,D161)</f>
        <v>-259597.55</v>
      </c>
      <c r="P161" s="155">
        <f>+IF(OR($Q161=Parametres!$G$2,$Q161=Parametres!$G$3),K161,E161)</f>
        <v>-259597.55</v>
      </c>
      <c r="Q161" s="154" t="str">
        <f t="shared" si="11"/>
        <v>5-Ventes</v>
      </c>
      <c r="R161" s="153" t="str">
        <f t="shared" si="11"/>
        <v>4107</v>
      </c>
      <c r="S161" s="154">
        <f t="shared" si="11"/>
        <v>0</v>
      </c>
      <c r="T161" s="156" t="str">
        <f>+VLOOKUP($L161,Data_Validation!$A:$D,1,0)</f>
        <v>4107</v>
      </c>
      <c r="U161" s="156" t="str">
        <f>+VLOOKUP($L161,Data_Validation!$A:$D,3,0)</f>
        <v>Véhicules neufs</v>
      </c>
      <c r="V161" s="156" t="str">
        <f>+VLOOKUP($L161,Data_Validation!$A:$D,4,0)</f>
        <v>Autos détail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hidden="1" customHeight="1">
      <c r="A162" s="1072" t="s">
        <v>2488</v>
      </c>
      <c r="B162" s="1072" t="s">
        <v>2489</v>
      </c>
      <c r="C162" s="1073"/>
      <c r="D162" s="1073"/>
      <c r="E162" s="1073"/>
      <c r="F162" s="1072" t="s">
        <v>4</v>
      </c>
      <c r="G162" s="1072" t="s">
        <v>2019</v>
      </c>
      <c r="H162" s="1073"/>
      <c r="I162" s="1074">
        <v>0</v>
      </c>
      <c r="J162" s="1074">
        <v>-10</v>
      </c>
      <c r="K162" s="1074">
        <v>-10</v>
      </c>
      <c r="L162" s="153" t="str">
        <f t="shared" si="0"/>
        <v>4107@</v>
      </c>
      <c r="M162" s="154" t="str">
        <f t="shared" si="1"/>
        <v>UNITES VENDUES GOLF</v>
      </c>
      <c r="N162" s="155">
        <f>+IF(OR($Q162=Parametres!$G$2,$Q162=Parametres!$G$3),I162,C162)</f>
        <v>0</v>
      </c>
      <c r="O162" s="155">
        <f>+IF(OR($Q162=Parametres!$G$2,$Q162=Parametres!$G$3),J162,D162)</f>
        <v>-10</v>
      </c>
      <c r="P162" s="155">
        <f>+IF(OR($Q162=Parametres!$G$2,$Q162=Parametres!$G$3),K162,E162)</f>
        <v>-10</v>
      </c>
      <c r="Q162" s="154" t="str">
        <f t="shared" ref="Q162:S177" si="12">+F162</f>
        <v>10-Compte compteur</v>
      </c>
      <c r="R162" s="153" t="str">
        <f t="shared" si="12"/>
        <v>4107</v>
      </c>
      <c r="S162" s="154">
        <f t="shared" si="12"/>
        <v>0</v>
      </c>
      <c r="T162" s="156" t="str">
        <f>+VLOOKUP($L162,Data_Validation!$A:$D,1,0)</f>
        <v>4107@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hidden="1" customHeight="1">
      <c r="A163" s="1072" t="s">
        <v>2435</v>
      </c>
      <c r="B163" s="1072" t="s">
        <v>2436</v>
      </c>
      <c r="C163" s="1074">
        <v>0</v>
      </c>
      <c r="D163" s="1074">
        <v>-85812.97</v>
      </c>
      <c r="E163" s="1074">
        <v>-85812.97</v>
      </c>
      <c r="F163" s="1072" t="s">
        <v>285</v>
      </c>
      <c r="G163" s="1072" t="s">
        <v>2436</v>
      </c>
      <c r="H163" s="1073"/>
      <c r="I163" s="1073"/>
      <c r="J163" s="1073"/>
      <c r="K163" s="1073"/>
      <c r="L163" s="153" t="str">
        <f t="shared" si="0"/>
        <v>4109</v>
      </c>
      <c r="M163" s="154" t="str">
        <f t="shared" si="1"/>
        <v>VTE - GOLF R</v>
      </c>
      <c r="N163" s="155">
        <f>+IF(OR($Q163=Parametres!$G$2,$Q163=Parametres!$G$3),I163,C163)</f>
        <v>0</v>
      </c>
      <c r="O163" s="155">
        <f>+IF(OR($Q163=Parametres!$G$2,$Q163=Parametres!$G$3),J163,D163)</f>
        <v>-85812.97</v>
      </c>
      <c r="P163" s="155">
        <f>+IF(OR($Q163=Parametres!$G$2,$Q163=Parametres!$G$3),K163,E163)</f>
        <v>-85812.97</v>
      </c>
      <c r="Q163" s="154" t="str">
        <f t="shared" si="12"/>
        <v>5-Ventes</v>
      </c>
      <c r="R163" s="153" t="str">
        <f t="shared" si="12"/>
        <v>4109</v>
      </c>
      <c r="S163" s="154">
        <f t="shared" si="12"/>
        <v>0</v>
      </c>
      <c r="T163" s="156" t="str">
        <f>+VLOOKUP($L163,Data_Validation!$A:$D,1,0)</f>
        <v>4109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hidden="1" customHeight="1">
      <c r="A164" s="1072" t="s">
        <v>2490</v>
      </c>
      <c r="B164" s="1072" t="s">
        <v>2491</v>
      </c>
      <c r="C164" s="1073"/>
      <c r="D164" s="1073"/>
      <c r="E164" s="1073"/>
      <c r="F164" s="1072" t="s">
        <v>4</v>
      </c>
      <c r="G164" s="1072" t="s">
        <v>2436</v>
      </c>
      <c r="H164" s="1073"/>
      <c r="I164" s="1074">
        <v>0</v>
      </c>
      <c r="J164" s="1074">
        <v>-2</v>
      </c>
      <c r="K164" s="1074">
        <v>-2</v>
      </c>
      <c r="L164" s="153" t="str">
        <f t="shared" si="0"/>
        <v>4109@</v>
      </c>
      <c r="M164" s="154" t="str">
        <f t="shared" si="1"/>
        <v># DE VENTE - GOLF R</v>
      </c>
      <c r="N164" s="155">
        <f>+IF(OR($Q164=Parametres!$G$2,$Q164=Parametres!$G$3),I164,C164)</f>
        <v>0</v>
      </c>
      <c r="O164" s="155">
        <f>+IF(OR($Q164=Parametres!$G$2,$Q164=Parametres!$G$3),J164,D164)</f>
        <v>-2</v>
      </c>
      <c r="P164" s="155">
        <f>+IF(OR($Q164=Parametres!$G$2,$Q164=Parametres!$G$3),K164,E164)</f>
        <v>-2</v>
      </c>
      <c r="Q164" s="154" t="str">
        <f t="shared" si="12"/>
        <v>10-Compte compteur</v>
      </c>
      <c r="R164" s="153" t="str">
        <f t="shared" si="12"/>
        <v>4109</v>
      </c>
      <c r="S164" s="154">
        <f t="shared" si="12"/>
        <v>0</v>
      </c>
      <c r="T164" s="156" t="str">
        <f>+VLOOKUP($L164,Data_Validation!$A:$D,1,0)</f>
        <v>4109@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hidden="1" customHeight="1">
      <c r="A165" s="1072" t="s">
        <v>2013</v>
      </c>
      <c r="B165" s="1072" t="s">
        <v>2014</v>
      </c>
      <c r="C165" s="1074">
        <v>0</v>
      </c>
      <c r="D165" s="1074">
        <v>-449520.56</v>
      </c>
      <c r="E165" s="1074">
        <v>-449520.56</v>
      </c>
      <c r="F165" s="1072" t="s">
        <v>285</v>
      </c>
      <c r="G165" s="1072" t="s">
        <v>2014</v>
      </c>
      <c r="H165" s="1073"/>
      <c r="I165" s="1073"/>
      <c r="J165" s="1073"/>
      <c r="K165" s="1073"/>
      <c r="L165" s="153" t="str">
        <f t="shared" si="0"/>
        <v>4111</v>
      </c>
      <c r="M165" s="154" t="str">
        <f t="shared" si="1"/>
        <v>VTE - JETTA</v>
      </c>
      <c r="N165" s="155">
        <f>+IF(OR($Q165=Parametres!$G$2,$Q165=Parametres!$G$3),I165,C165)</f>
        <v>0</v>
      </c>
      <c r="O165" s="155">
        <f>+IF(OR($Q165=Parametres!$G$2,$Q165=Parametres!$G$3),J165,D165)</f>
        <v>-449520.56</v>
      </c>
      <c r="P165" s="155">
        <f>+IF(OR($Q165=Parametres!$G$2,$Q165=Parametres!$G$3),K165,E165)</f>
        <v>-449520.56</v>
      </c>
      <c r="Q165" s="154" t="str">
        <f t="shared" si="12"/>
        <v>5-Ventes</v>
      </c>
      <c r="R165" s="153" t="str">
        <f t="shared" si="12"/>
        <v>4111</v>
      </c>
      <c r="S165" s="154">
        <f t="shared" si="12"/>
        <v>0</v>
      </c>
      <c r="T165" s="156" t="str">
        <f>+VLOOKUP($L165,Data_Validation!$A:$D,1,0)</f>
        <v>4111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hidden="1" customHeight="1">
      <c r="A166" s="1072" t="s">
        <v>2492</v>
      </c>
      <c r="B166" s="1072" t="s">
        <v>2493</v>
      </c>
      <c r="C166" s="1073"/>
      <c r="D166" s="1073"/>
      <c r="E166" s="1073"/>
      <c r="F166" s="1072" t="s">
        <v>4</v>
      </c>
      <c r="G166" s="1072" t="s">
        <v>2014</v>
      </c>
      <c r="H166" s="1073"/>
      <c r="I166" s="1074">
        <v>0</v>
      </c>
      <c r="J166" s="1074">
        <v>-18</v>
      </c>
      <c r="K166" s="1074">
        <v>-18</v>
      </c>
      <c r="L166" s="153" t="str">
        <f t="shared" si="0"/>
        <v>4111@</v>
      </c>
      <c r="M166" s="154" t="str">
        <f t="shared" si="1"/>
        <v>UNITES VENDUES - JETTA</v>
      </c>
      <c r="N166" s="155">
        <f>+IF(OR($Q166=Parametres!$G$2,$Q166=Parametres!$G$3),I166,C166)</f>
        <v>0</v>
      </c>
      <c r="O166" s="155">
        <f>+IF(OR($Q166=Parametres!$G$2,$Q166=Parametres!$G$3),J166,D166)</f>
        <v>-18</v>
      </c>
      <c r="P166" s="155">
        <f>+IF(OR($Q166=Parametres!$G$2,$Q166=Parametres!$G$3),K166,E166)</f>
        <v>-18</v>
      </c>
      <c r="Q166" s="154" t="str">
        <f t="shared" si="12"/>
        <v>10-Compte compteur</v>
      </c>
      <c r="R166" s="153" t="str">
        <f t="shared" si="12"/>
        <v>4111</v>
      </c>
      <c r="S166" s="154">
        <f t="shared" si="12"/>
        <v>0</v>
      </c>
      <c r="T166" s="156" t="str">
        <f>+VLOOKUP($L166,Data_Validation!$A:$D,1,0)</f>
        <v>4111@</v>
      </c>
      <c r="U166" s="156" t="str">
        <f>+VLOOKUP($L166,Data_Validation!$A:$D,3,0)</f>
        <v>Véhicules neufs</v>
      </c>
      <c r="V166" s="156" t="str">
        <f>+VLOOKUP($L166,Data_Validation!$A:$D,4,0)</f>
        <v>Autos détail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hidden="1" customHeight="1">
      <c r="A167" s="1072" t="s">
        <v>2437</v>
      </c>
      <c r="B167" s="1072" t="s">
        <v>2438</v>
      </c>
      <c r="C167" s="1074">
        <v>0</v>
      </c>
      <c r="D167" s="1074">
        <v>-173551</v>
      </c>
      <c r="E167" s="1074">
        <v>-173551</v>
      </c>
      <c r="F167" s="1072" t="s">
        <v>285</v>
      </c>
      <c r="G167" s="1072" t="s">
        <v>2438</v>
      </c>
      <c r="H167" s="1073"/>
      <c r="I167" s="1073"/>
      <c r="J167" s="1073"/>
      <c r="K167" s="1073"/>
      <c r="L167" s="153" t="str">
        <f t="shared" si="0"/>
        <v>4113</v>
      </c>
      <c r="M167" s="154" t="str">
        <f t="shared" si="1"/>
        <v>VTE - GOLF (FAMILIALE)</v>
      </c>
      <c r="N167" s="155">
        <f>+IF(OR($Q167=Parametres!$G$2,$Q167=Parametres!$G$3),I167,C167)</f>
        <v>0</v>
      </c>
      <c r="O167" s="155">
        <f>+IF(OR($Q167=Parametres!$G$2,$Q167=Parametres!$G$3),J167,D167)</f>
        <v>-173551</v>
      </c>
      <c r="P167" s="155">
        <f>+IF(OR($Q167=Parametres!$G$2,$Q167=Parametres!$G$3),K167,E167)</f>
        <v>-173551</v>
      </c>
      <c r="Q167" s="154" t="str">
        <f t="shared" si="12"/>
        <v>5-Ventes</v>
      </c>
      <c r="R167" s="153" t="str">
        <f t="shared" si="12"/>
        <v>4113</v>
      </c>
      <c r="S167" s="154">
        <f t="shared" si="12"/>
        <v>0</v>
      </c>
      <c r="T167" s="156" t="str">
        <f>+VLOOKUP($L167,Data_Validation!$A:$D,1,0)</f>
        <v>4113</v>
      </c>
      <c r="U167" s="156" t="str">
        <f>+VLOOKUP($L167,Data_Validation!$A:$D,3,0)</f>
        <v>Véhicules neufs</v>
      </c>
      <c r="V167" s="156" t="str">
        <f>+VLOOKUP($L167,Data_Validation!$A:$D,4,0)</f>
        <v>Autos détail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hidden="1" customHeight="1">
      <c r="A168" s="1072" t="s">
        <v>2494</v>
      </c>
      <c r="B168" s="1072" t="s">
        <v>2495</v>
      </c>
      <c r="C168" s="1073"/>
      <c r="D168" s="1073"/>
      <c r="E168" s="1073"/>
      <c r="F168" s="1072" t="s">
        <v>4</v>
      </c>
      <c r="G168" s="1072" t="s">
        <v>2438</v>
      </c>
      <c r="H168" s="1073"/>
      <c r="I168" s="1074">
        <v>0</v>
      </c>
      <c r="J168" s="1074">
        <v>-5</v>
      </c>
      <c r="K168" s="1074">
        <v>-5</v>
      </c>
      <c r="L168" s="153" t="str">
        <f t="shared" si="0"/>
        <v>4113@</v>
      </c>
      <c r="M168" s="154" t="str">
        <f t="shared" si="1"/>
        <v>UNITES VENDUES - GOLF (FAMILIALE)</v>
      </c>
      <c r="N168" s="155">
        <f>+IF(OR($Q168=Parametres!$G$2,$Q168=Parametres!$G$3),I168,C168)</f>
        <v>0</v>
      </c>
      <c r="O168" s="155">
        <f>+IF(OR($Q168=Parametres!$G$2,$Q168=Parametres!$G$3),J168,D168)</f>
        <v>-5</v>
      </c>
      <c r="P168" s="155">
        <f>+IF(OR($Q168=Parametres!$G$2,$Q168=Parametres!$G$3),K168,E168)</f>
        <v>-5</v>
      </c>
      <c r="Q168" s="154" t="str">
        <f t="shared" si="12"/>
        <v>10-Compte compteur</v>
      </c>
      <c r="R168" s="153" t="str">
        <f t="shared" si="12"/>
        <v>4113</v>
      </c>
      <c r="S168" s="154">
        <f t="shared" si="12"/>
        <v>0</v>
      </c>
      <c r="T168" s="156" t="str">
        <f>+VLOOKUP($L168,Data_Validation!$A:$D,1,0)</f>
        <v>4113@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hidden="1" customHeight="1">
      <c r="A169" s="1072" t="s">
        <v>2002</v>
      </c>
      <c r="B169" s="1072" t="s">
        <v>2003</v>
      </c>
      <c r="C169" s="1074">
        <v>0</v>
      </c>
      <c r="D169" s="1074">
        <v>-87624.94</v>
      </c>
      <c r="E169" s="1074">
        <v>-87624.94</v>
      </c>
      <c r="F169" s="1072" t="s">
        <v>285</v>
      </c>
      <c r="G169" s="1072" t="s">
        <v>2003</v>
      </c>
      <c r="H169" s="1073"/>
      <c r="I169" s="1073"/>
      <c r="J169" s="1073"/>
      <c r="K169" s="1073"/>
      <c r="L169" s="153" t="str">
        <f t="shared" si="0"/>
        <v>4119</v>
      </c>
      <c r="M169" s="154" t="str">
        <f t="shared" si="1"/>
        <v>VTE - ATLAS</v>
      </c>
      <c r="N169" s="155">
        <f>+IF(OR($Q169=Parametres!$G$2,$Q169=Parametres!$G$3),I169,C169)</f>
        <v>0</v>
      </c>
      <c r="O169" s="155">
        <f>+IF(OR($Q169=Parametres!$G$2,$Q169=Parametres!$G$3),J169,D169)</f>
        <v>-87624.94</v>
      </c>
      <c r="P169" s="155">
        <f>+IF(OR($Q169=Parametres!$G$2,$Q169=Parametres!$G$3),K169,E169)</f>
        <v>-87624.94</v>
      </c>
      <c r="Q169" s="154" t="str">
        <f t="shared" si="12"/>
        <v>5-Ventes</v>
      </c>
      <c r="R169" s="153" t="str">
        <f t="shared" si="12"/>
        <v>4119</v>
      </c>
      <c r="S169" s="154">
        <f t="shared" si="12"/>
        <v>0</v>
      </c>
      <c r="T169" s="156" t="str">
        <f>+VLOOKUP($L169,Data_Validation!$A:$D,1,0)</f>
        <v>4119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hidden="1" customHeight="1">
      <c r="A170" s="1072" t="s">
        <v>2498</v>
      </c>
      <c r="B170" s="1072" t="s">
        <v>2499</v>
      </c>
      <c r="C170" s="1073"/>
      <c r="D170" s="1073"/>
      <c r="E170" s="1073"/>
      <c r="F170" s="1072" t="s">
        <v>4</v>
      </c>
      <c r="G170" s="1072" t="s">
        <v>2003</v>
      </c>
      <c r="H170" s="1073"/>
      <c r="I170" s="1074">
        <v>0</v>
      </c>
      <c r="J170" s="1074">
        <v>-2</v>
      </c>
      <c r="K170" s="1074">
        <v>-2</v>
      </c>
      <c r="L170" s="153" t="str">
        <f t="shared" si="0"/>
        <v>4119@</v>
      </c>
      <c r="M170" s="154" t="str">
        <f t="shared" si="1"/>
        <v># DE VTE - ATLAS</v>
      </c>
      <c r="N170" s="155">
        <f>+IF(OR($Q170=Parametres!$G$2,$Q170=Parametres!$G$3),I170,C170)</f>
        <v>0</v>
      </c>
      <c r="O170" s="155">
        <f>+IF(OR($Q170=Parametres!$G$2,$Q170=Parametres!$G$3),J170,D170)</f>
        <v>-2</v>
      </c>
      <c r="P170" s="155">
        <f>+IF(OR($Q170=Parametres!$G$2,$Q170=Parametres!$G$3),K170,E170)</f>
        <v>-2</v>
      </c>
      <c r="Q170" s="154" t="str">
        <f t="shared" si="12"/>
        <v>10-Compte compteur</v>
      </c>
      <c r="R170" s="153" t="str">
        <f t="shared" si="12"/>
        <v>4119</v>
      </c>
      <c r="S170" s="154">
        <f t="shared" si="12"/>
        <v>0</v>
      </c>
      <c r="T170" s="156" t="str">
        <f>+VLOOKUP($L170,Data_Validation!$A:$D,1,0)</f>
        <v>4119@</v>
      </c>
      <c r="U170" s="156" t="str">
        <f>+VLOOKUP($L170,Data_Validation!$A:$D,3,0)</f>
        <v>Véhicules neufs</v>
      </c>
      <c r="V170" s="156" t="str">
        <f>+VLOOKUP($L170,Data_Validation!$A:$D,4,0)</f>
        <v>Camions détail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hidden="1" customHeight="1">
      <c r="A171" s="1072" t="s">
        <v>2030</v>
      </c>
      <c r="B171" s="1072" t="s">
        <v>2031</v>
      </c>
      <c r="C171" s="1074">
        <v>0</v>
      </c>
      <c r="D171" s="1074">
        <v>-35079.949999999997</v>
      </c>
      <c r="E171" s="1074">
        <v>-35079.949999999997</v>
      </c>
      <c r="F171" s="1072" t="s">
        <v>285</v>
      </c>
      <c r="G171" s="1072" t="s">
        <v>2031</v>
      </c>
      <c r="H171" s="1073"/>
      <c r="I171" s="1073"/>
      <c r="J171" s="1073"/>
      <c r="K171" s="1073"/>
      <c r="L171" s="153" t="str">
        <f t="shared" si="0"/>
        <v>4127</v>
      </c>
      <c r="M171" s="154" t="str">
        <f t="shared" si="1"/>
        <v>VTE - GOLF GTI</v>
      </c>
      <c r="N171" s="155">
        <f>+IF(OR($Q171=Parametres!$G$2,$Q171=Parametres!$G$3),I171,C171)</f>
        <v>0</v>
      </c>
      <c r="O171" s="155">
        <f>+IF(OR($Q171=Parametres!$G$2,$Q171=Parametres!$G$3),J171,D171)</f>
        <v>-35079.949999999997</v>
      </c>
      <c r="P171" s="155">
        <f>+IF(OR($Q171=Parametres!$G$2,$Q171=Parametres!$G$3),K171,E171)</f>
        <v>-35079.949999999997</v>
      </c>
      <c r="Q171" s="154" t="str">
        <f t="shared" si="12"/>
        <v>5-Ventes</v>
      </c>
      <c r="R171" s="153" t="str">
        <f t="shared" si="12"/>
        <v>4127</v>
      </c>
      <c r="S171" s="154">
        <f t="shared" si="12"/>
        <v>0</v>
      </c>
      <c r="T171" s="156" t="str">
        <f>+VLOOKUP($L171,Data_Validation!$A:$D,1,0)</f>
        <v>4127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hidden="1" customHeight="1">
      <c r="A172" s="1072" t="s">
        <v>2500</v>
      </c>
      <c r="B172" s="1072" t="s">
        <v>2501</v>
      </c>
      <c r="C172" s="1073"/>
      <c r="D172" s="1073"/>
      <c r="E172" s="1073"/>
      <c r="F172" s="1072" t="s">
        <v>4</v>
      </c>
      <c r="G172" s="1072" t="s">
        <v>2031</v>
      </c>
      <c r="H172" s="1073"/>
      <c r="I172" s="1074">
        <v>0</v>
      </c>
      <c r="J172" s="1074">
        <v>-1</v>
      </c>
      <c r="K172" s="1074">
        <v>-1</v>
      </c>
      <c r="L172" s="153" t="str">
        <f t="shared" si="0"/>
        <v>4127@</v>
      </c>
      <c r="M172" s="154" t="str">
        <f t="shared" si="1"/>
        <v># DE VENTE - GOLF GTI</v>
      </c>
      <c r="N172" s="155">
        <f>+IF(OR($Q172=Parametres!$G$2,$Q172=Parametres!$G$3),I172,C172)</f>
        <v>0</v>
      </c>
      <c r="O172" s="155">
        <f>+IF(OR($Q172=Parametres!$G$2,$Q172=Parametres!$G$3),J172,D172)</f>
        <v>-1</v>
      </c>
      <c r="P172" s="155">
        <f>+IF(OR($Q172=Parametres!$G$2,$Q172=Parametres!$G$3),K172,E172)</f>
        <v>-1</v>
      </c>
      <c r="Q172" s="154" t="str">
        <f t="shared" si="12"/>
        <v>10-Compte compteur</v>
      </c>
      <c r="R172" s="153" t="str">
        <f t="shared" si="12"/>
        <v>4127</v>
      </c>
      <c r="S172" s="154">
        <f t="shared" si="12"/>
        <v>0</v>
      </c>
      <c r="T172" s="156" t="str">
        <f>+VLOOKUP($L172,Data_Validation!$A:$D,1,0)</f>
        <v>4127@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hidden="1" customHeight="1">
      <c r="A173" s="1072" t="s">
        <v>1998</v>
      </c>
      <c r="B173" s="1072" t="s">
        <v>1999</v>
      </c>
      <c r="C173" s="1074">
        <v>0</v>
      </c>
      <c r="D173" s="1074">
        <v>-773522.34</v>
      </c>
      <c r="E173" s="1074">
        <v>-773522.34</v>
      </c>
      <c r="F173" s="1072" t="s">
        <v>285</v>
      </c>
      <c r="G173" s="1072" t="s">
        <v>1999</v>
      </c>
      <c r="H173" s="1073"/>
      <c r="I173" s="1073"/>
      <c r="J173" s="1073"/>
      <c r="K173" s="1073"/>
      <c r="L173" s="153" t="str">
        <f t="shared" si="0"/>
        <v>4131</v>
      </c>
      <c r="M173" s="154" t="str">
        <f t="shared" si="1"/>
        <v>VTE - TIGUAN LWB</v>
      </c>
      <c r="N173" s="155">
        <f>+IF(OR($Q173=Parametres!$G$2,$Q173=Parametres!$G$3),I173,C173)</f>
        <v>0</v>
      </c>
      <c r="O173" s="155">
        <f>+IF(OR($Q173=Parametres!$G$2,$Q173=Parametres!$G$3),J173,D173)</f>
        <v>-773522.34</v>
      </c>
      <c r="P173" s="155">
        <f>+IF(OR($Q173=Parametres!$G$2,$Q173=Parametres!$G$3),K173,E173)</f>
        <v>-773522.34</v>
      </c>
      <c r="Q173" s="154" t="str">
        <f t="shared" si="12"/>
        <v>5-Ventes</v>
      </c>
      <c r="R173" s="153" t="str">
        <f t="shared" si="12"/>
        <v>4131</v>
      </c>
      <c r="S173" s="154">
        <f t="shared" si="12"/>
        <v>0</v>
      </c>
      <c r="T173" s="156" t="str">
        <f>+VLOOKUP($L173,Data_Validation!$A:$D,1,0)</f>
        <v>4131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hidden="1" customHeight="1">
      <c r="A174" s="1072" t="s">
        <v>2502</v>
      </c>
      <c r="B174" s="1072" t="s">
        <v>2503</v>
      </c>
      <c r="C174" s="1073"/>
      <c r="D174" s="1073"/>
      <c r="E174" s="1073"/>
      <c r="F174" s="1072" t="s">
        <v>4</v>
      </c>
      <c r="G174" s="1072" t="s">
        <v>1999</v>
      </c>
      <c r="H174" s="1073"/>
      <c r="I174" s="1074">
        <v>0</v>
      </c>
      <c r="J174" s="1074">
        <v>-21</v>
      </c>
      <c r="K174" s="1074">
        <v>-21</v>
      </c>
      <c r="L174" s="153" t="str">
        <f t="shared" si="0"/>
        <v>4131@</v>
      </c>
      <c r="M174" s="154" t="str">
        <f t="shared" si="1"/>
        <v># DE VTE - TIGUAN LWB</v>
      </c>
      <c r="N174" s="155">
        <f>+IF(OR($Q174=Parametres!$G$2,$Q174=Parametres!$G$3),I174,C174)</f>
        <v>0</v>
      </c>
      <c r="O174" s="155">
        <f>+IF(OR($Q174=Parametres!$G$2,$Q174=Parametres!$G$3),J174,D174)</f>
        <v>-21</v>
      </c>
      <c r="P174" s="155">
        <f>+IF(OR($Q174=Parametres!$G$2,$Q174=Parametres!$G$3),K174,E174)</f>
        <v>-21</v>
      </c>
      <c r="Q174" s="154" t="str">
        <f t="shared" si="12"/>
        <v>10-Compte compteur</v>
      </c>
      <c r="R174" s="153" t="str">
        <f t="shared" si="12"/>
        <v>4131</v>
      </c>
      <c r="S174" s="154">
        <f t="shared" si="12"/>
        <v>0</v>
      </c>
      <c r="T174" s="156" t="str">
        <f>+VLOOKUP($L174,Data_Validation!$A:$D,1,0)</f>
        <v>4131@</v>
      </c>
      <c r="U174" s="156" t="str">
        <f>+VLOOKUP($L174,Data_Validation!$A:$D,3,0)</f>
        <v>Véhicules neufs</v>
      </c>
      <c r="V174" s="156" t="str">
        <f>+VLOOKUP($L174,Data_Validation!$A:$D,4,0)</f>
        <v>Camions détail</v>
      </c>
      <c r="W174" s="156" t="str">
        <f>+VLOOKUP($L174,Data_Validation!$A:$E,5,0)</f>
        <v>NB</v>
      </c>
      <c r="X174" s="156">
        <f>+VLOOKUP($L174,Data_Validation!$A:$F,6,0)</f>
        <v>0</v>
      </c>
    </row>
    <row r="175" spans="1:24" ht="15" hidden="1" customHeight="1">
      <c r="A175" s="1072" t="s">
        <v>2028</v>
      </c>
      <c r="B175" s="1072" t="s">
        <v>2029</v>
      </c>
      <c r="C175" s="1074">
        <v>0</v>
      </c>
      <c r="D175" s="1074">
        <v>-204190.1</v>
      </c>
      <c r="E175" s="1074">
        <v>-204190.1</v>
      </c>
      <c r="F175" s="1072" t="s">
        <v>285</v>
      </c>
      <c r="G175" s="1072" t="s">
        <v>2029</v>
      </c>
      <c r="H175" s="1073"/>
      <c r="I175" s="1073"/>
      <c r="J175" s="1073"/>
      <c r="K175" s="1073"/>
      <c r="L175" s="153" t="str">
        <f t="shared" si="0"/>
        <v>4135</v>
      </c>
      <c r="M175" s="154" t="str">
        <f t="shared" si="1"/>
        <v>VTE - EGOLF</v>
      </c>
      <c r="N175" s="155">
        <f>+IF(OR($Q175=Parametres!$G$2,$Q175=Parametres!$G$3),I175,C175)</f>
        <v>0</v>
      </c>
      <c r="O175" s="155">
        <f>+IF(OR($Q175=Parametres!$G$2,$Q175=Parametres!$G$3),J175,D175)</f>
        <v>-204190.1</v>
      </c>
      <c r="P175" s="155">
        <f>+IF(OR($Q175=Parametres!$G$2,$Q175=Parametres!$G$3),K175,E175)</f>
        <v>-204190.1</v>
      </c>
      <c r="Q175" s="154" t="str">
        <f t="shared" si="12"/>
        <v>5-Ventes</v>
      </c>
      <c r="R175" s="153" t="str">
        <f t="shared" si="12"/>
        <v>4135</v>
      </c>
      <c r="S175" s="154">
        <f t="shared" si="12"/>
        <v>0</v>
      </c>
      <c r="T175" s="156" t="str">
        <f>+VLOOKUP($L175,Data_Validation!$A:$D,1,0)</f>
        <v>4135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$</v>
      </c>
      <c r="X175" s="156" t="str">
        <f>+VLOOKUP($L175,Data_Validation!$A:$F,6,0)</f>
        <v>Oui</v>
      </c>
    </row>
    <row r="176" spans="1:24" ht="15.75" hidden="1" customHeight="1">
      <c r="A176" s="1072" t="s">
        <v>2504</v>
      </c>
      <c r="B176" s="1072" t="s">
        <v>2505</v>
      </c>
      <c r="C176" s="1073"/>
      <c r="D176" s="1073"/>
      <c r="E176" s="1073"/>
      <c r="F176" s="1072" t="s">
        <v>4</v>
      </c>
      <c r="G176" s="1072" t="s">
        <v>2506</v>
      </c>
      <c r="H176" s="1073"/>
      <c r="I176" s="1074">
        <v>0</v>
      </c>
      <c r="J176" s="1074">
        <v>-5</v>
      </c>
      <c r="K176" s="1074">
        <v>-5</v>
      </c>
      <c r="L176" s="153" t="str">
        <f t="shared" si="0"/>
        <v>4135@</v>
      </c>
      <c r="M176" s="154" t="str">
        <f t="shared" si="1"/>
        <v>UNITES VENDUES - EGOLF</v>
      </c>
      <c r="N176" s="155">
        <f>+IF(OR($Q176=Parametres!$G$2,$Q176=Parametres!$G$3),I176,C176)</f>
        <v>0</v>
      </c>
      <c r="O176" s="155">
        <f>+IF(OR($Q176=Parametres!$G$2,$Q176=Parametres!$G$3),J176,D176)</f>
        <v>-5</v>
      </c>
      <c r="P176" s="155">
        <f>+IF(OR($Q176=Parametres!$G$2,$Q176=Parametres!$G$3),K176,E176)</f>
        <v>-5</v>
      </c>
      <c r="Q176" s="154" t="str">
        <f t="shared" si="12"/>
        <v>10-Compte compteur</v>
      </c>
      <c r="R176" s="153" t="str">
        <f t="shared" si="12"/>
        <v>84135</v>
      </c>
      <c r="S176" s="154">
        <f t="shared" si="12"/>
        <v>0</v>
      </c>
      <c r="T176" s="156" t="str">
        <f>+VLOOKUP($L176,Data_Validation!$A:$D,1,0)</f>
        <v>4135@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NB</v>
      </c>
      <c r="X176" s="156">
        <f>+VLOOKUP($L176,Data_Validation!$A:$F,6,0)</f>
        <v>0</v>
      </c>
    </row>
    <row r="177" spans="1:24" ht="15" hidden="1" customHeight="1">
      <c r="A177" s="1072" t="s">
        <v>2443</v>
      </c>
      <c r="B177" s="1072" t="s">
        <v>2444</v>
      </c>
      <c r="C177" s="1074">
        <v>0</v>
      </c>
      <c r="D177" s="1074">
        <v>-233546</v>
      </c>
      <c r="E177" s="1074">
        <v>-233546</v>
      </c>
      <c r="F177" s="1072" t="s">
        <v>285</v>
      </c>
      <c r="G177" s="1072" t="s">
        <v>2444</v>
      </c>
      <c r="H177" s="1073"/>
      <c r="I177" s="1073"/>
      <c r="J177" s="1073"/>
      <c r="K177" s="1073"/>
      <c r="L177" s="153" t="str">
        <f t="shared" si="0"/>
        <v>4211</v>
      </c>
      <c r="M177" s="154" t="str">
        <f t="shared" si="1"/>
        <v>VTE - VW USAGES DETAIL</v>
      </c>
      <c r="N177" s="155">
        <f>+IF(OR($Q177=Parametres!$G$2,$Q177=Parametres!$G$3),I177,C177)</f>
        <v>0</v>
      </c>
      <c r="O177" s="155">
        <f>+IF(OR($Q177=Parametres!$G$2,$Q177=Parametres!$G$3),J177,D177)</f>
        <v>-233546</v>
      </c>
      <c r="P177" s="155">
        <f>+IF(OR($Q177=Parametres!$G$2,$Q177=Parametres!$G$3),K177,E177)</f>
        <v>-233546</v>
      </c>
      <c r="Q177" s="154" t="str">
        <f t="shared" si="12"/>
        <v>5-Ventes</v>
      </c>
      <c r="R177" s="153" t="str">
        <f t="shared" si="12"/>
        <v>4211</v>
      </c>
      <c r="S177" s="154">
        <f t="shared" si="12"/>
        <v>0</v>
      </c>
      <c r="T177" s="156" t="str">
        <f>+VLOOKUP($L177,Data_Validation!$A:$D,1,0)</f>
        <v>4211</v>
      </c>
      <c r="U177" s="156" t="str">
        <f>+VLOOKUP($L177,Data_Validation!$A:$D,3,0)</f>
        <v>Véhicules usagés</v>
      </c>
      <c r="V177" s="156" t="str">
        <f>+VLOOKUP($L177,Data_Validation!$A:$D,4,0)</f>
        <v>Non Certifié</v>
      </c>
      <c r="W177" s="156" t="str">
        <f>+VLOOKUP($L177,Data_Validation!$A:$E,5,0)</f>
        <v>$</v>
      </c>
      <c r="X177" s="156" t="str">
        <f>+VLOOKUP($L177,Data_Validation!$A:$F,6,0)</f>
        <v>Oui</v>
      </c>
    </row>
    <row r="178" spans="1:24" ht="15" hidden="1" customHeight="1">
      <c r="A178" s="1072" t="s">
        <v>2513</v>
      </c>
      <c r="B178" s="1072" t="s">
        <v>2514</v>
      </c>
      <c r="C178" s="1073"/>
      <c r="D178" s="1073"/>
      <c r="E178" s="1073"/>
      <c r="F178" s="1072" t="s">
        <v>4</v>
      </c>
      <c r="G178" s="1072" t="s">
        <v>2444</v>
      </c>
      <c r="H178" s="1073"/>
      <c r="I178" s="1074">
        <v>0</v>
      </c>
      <c r="J178" s="1074">
        <v>-12</v>
      </c>
      <c r="K178" s="1074">
        <v>-12</v>
      </c>
      <c r="L178" s="153" t="str">
        <f t="shared" si="0"/>
        <v>4211@</v>
      </c>
      <c r="M178" s="154" t="str">
        <f t="shared" si="1"/>
        <v>VENTES USED DET. CHAMBLY</v>
      </c>
      <c r="N178" s="155">
        <f>+IF(OR($Q178=Parametres!$G$2,$Q178=Parametres!$G$3),I178,C178)</f>
        <v>0</v>
      </c>
      <c r="O178" s="155">
        <f>+IF(OR($Q178=Parametres!$G$2,$Q178=Parametres!$G$3),J178,D178)</f>
        <v>-12</v>
      </c>
      <c r="P178" s="155">
        <f>+IF(OR($Q178=Parametres!$G$2,$Q178=Parametres!$G$3),K178,E178)</f>
        <v>-12</v>
      </c>
      <c r="Q178" s="154" t="str">
        <f t="shared" ref="Q178:S193" si="13">+F178</f>
        <v>10-Compte compteur</v>
      </c>
      <c r="R178" s="153" t="str">
        <f t="shared" si="13"/>
        <v>4211</v>
      </c>
      <c r="S178" s="154">
        <f t="shared" si="13"/>
        <v>0</v>
      </c>
      <c r="T178" s="156" t="str">
        <f>+VLOOKUP($L178,Data_Validation!$A:$D,1,0)</f>
        <v>4211@</v>
      </c>
      <c r="U178" s="156" t="str">
        <f>+VLOOKUP($L178,Data_Validation!$A:$D,3,0)</f>
        <v>Véhicules usagés</v>
      </c>
      <c r="V178" s="156" t="str">
        <f>+VLOOKUP($L178,Data_Validation!$A:$D,4,0)</f>
        <v>Non Certifié</v>
      </c>
      <c r="W178" s="156" t="str">
        <f>+VLOOKUP($L178,Data_Validation!$A:$E,5,0)</f>
        <v>NB</v>
      </c>
      <c r="X178" s="156">
        <f>+VLOOKUP($L178,Data_Validation!$A:$F,6,0)</f>
        <v>0</v>
      </c>
    </row>
    <row r="179" spans="1:24" ht="15" hidden="1" customHeight="1">
      <c r="A179" s="1072" t="s">
        <v>2038</v>
      </c>
      <c r="B179" s="1072" t="s">
        <v>2039</v>
      </c>
      <c r="C179" s="1074">
        <v>0</v>
      </c>
      <c r="D179" s="1074">
        <v>-83743.08</v>
      </c>
      <c r="E179" s="1074">
        <v>-83743.08</v>
      </c>
      <c r="F179" s="1072" t="s">
        <v>285</v>
      </c>
      <c r="G179" s="1072" t="s">
        <v>2040</v>
      </c>
      <c r="H179" s="1073"/>
      <c r="I179" s="1073"/>
      <c r="J179" s="1073"/>
      <c r="K179" s="1073"/>
      <c r="L179" s="153" t="str">
        <f t="shared" si="0"/>
        <v>4285</v>
      </c>
      <c r="M179" s="154" t="str">
        <f t="shared" si="1"/>
        <v>VEH. D'OCC. AUTRE DETAIL</v>
      </c>
      <c r="N179" s="155">
        <f>+IF(OR($Q179=Parametres!$G$2,$Q179=Parametres!$G$3),I179,C179)</f>
        <v>0</v>
      </c>
      <c r="O179" s="155">
        <f>+IF(OR($Q179=Parametres!$G$2,$Q179=Parametres!$G$3),J179,D179)</f>
        <v>-83743.08</v>
      </c>
      <c r="P179" s="155">
        <f>+IF(OR($Q179=Parametres!$G$2,$Q179=Parametres!$G$3),K179,E179)</f>
        <v>-83743.08</v>
      </c>
      <c r="Q179" s="154" t="str">
        <f t="shared" si="13"/>
        <v>5-Ventes</v>
      </c>
      <c r="R179" s="153" t="str">
        <f t="shared" si="13"/>
        <v>4261</v>
      </c>
      <c r="S179" s="154">
        <f t="shared" si="13"/>
        <v>0</v>
      </c>
      <c r="T179" s="156" t="str">
        <f>+VLOOKUP($L179,Data_Validation!$A:$D,1,0)</f>
        <v>4285</v>
      </c>
      <c r="U179" s="156" t="str">
        <f>+VLOOKUP($L179,Data_Validation!$A:$D,3,0)</f>
        <v>Véhicules usagés</v>
      </c>
      <c r="V179" s="156" t="str">
        <f>+VLOOKUP($L179,Data_Validation!$A:$D,4,0)</f>
        <v>Non Certifié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hidden="1" customHeight="1">
      <c r="A180" s="1072" t="s">
        <v>2515</v>
      </c>
      <c r="B180" s="1072" t="s">
        <v>2516</v>
      </c>
      <c r="C180" s="1073"/>
      <c r="D180" s="1073"/>
      <c r="E180" s="1073"/>
      <c r="F180" s="1072" t="s">
        <v>4</v>
      </c>
      <c r="G180" s="1072" t="s">
        <v>2040</v>
      </c>
      <c r="H180" s="1073"/>
      <c r="I180" s="1074">
        <v>0</v>
      </c>
      <c r="J180" s="1074">
        <v>-6</v>
      </c>
      <c r="K180" s="1074">
        <v>-6</v>
      </c>
      <c r="L180" s="153" t="str">
        <f t="shared" si="0"/>
        <v>4285@</v>
      </c>
      <c r="M180" s="154" t="str">
        <f t="shared" si="1"/>
        <v>AUTRE MARQUES DETAIL - USAGE</v>
      </c>
      <c r="N180" s="155">
        <f>+IF(OR($Q180=Parametres!$G$2,$Q180=Parametres!$G$3),I180,C180)</f>
        <v>0</v>
      </c>
      <c r="O180" s="155">
        <f>+IF(OR($Q180=Parametres!$G$2,$Q180=Parametres!$G$3),J180,D180)</f>
        <v>-6</v>
      </c>
      <c r="P180" s="155">
        <f>+IF(OR($Q180=Parametres!$G$2,$Q180=Parametres!$G$3),K180,E180)</f>
        <v>-6</v>
      </c>
      <c r="Q180" s="154" t="str">
        <f t="shared" si="13"/>
        <v>10-Compte compteur</v>
      </c>
      <c r="R180" s="153" t="str">
        <f t="shared" si="13"/>
        <v>4261</v>
      </c>
      <c r="S180" s="154">
        <f t="shared" si="13"/>
        <v>0</v>
      </c>
      <c r="T180" s="156" t="str">
        <f>+VLOOKUP($L180,Data_Validation!$A:$D,1,0)</f>
        <v>4285@</v>
      </c>
      <c r="U180" s="156" t="str">
        <f>+VLOOKUP($L180,Data_Validation!$A:$D,3,0)</f>
        <v>Véhicules usagés</v>
      </c>
      <c r="V180" s="156" t="str">
        <f>+VLOOKUP($L180,Data_Validation!$A:$D,4,0)</f>
        <v>Non Certifié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hidden="1" customHeight="1">
      <c r="A181" s="1072" t="s">
        <v>2006</v>
      </c>
      <c r="B181" s="1072" t="s">
        <v>2007</v>
      </c>
      <c r="C181" s="1074">
        <v>0</v>
      </c>
      <c r="D181" s="1074">
        <v>-148757</v>
      </c>
      <c r="E181" s="1074">
        <v>-148757</v>
      </c>
      <c r="F181" s="1072" t="s">
        <v>285</v>
      </c>
      <c r="G181" s="1072" t="s">
        <v>2008</v>
      </c>
      <c r="H181" s="1073"/>
      <c r="I181" s="1073"/>
      <c r="J181" s="1073"/>
      <c r="K181" s="1073"/>
      <c r="L181" s="153" t="str">
        <f t="shared" si="0"/>
        <v>4291</v>
      </c>
      <c r="M181" s="154" t="str">
        <f t="shared" si="1"/>
        <v>VEH. D'OCC. AU GROS</v>
      </c>
      <c r="N181" s="155">
        <f>+IF(OR($Q181=Parametres!$G$2,$Q181=Parametres!$G$3),I181,C181)</f>
        <v>0</v>
      </c>
      <c r="O181" s="155">
        <f>+IF(OR($Q181=Parametres!$G$2,$Q181=Parametres!$G$3),J181,D181)</f>
        <v>-148757</v>
      </c>
      <c r="P181" s="155">
        <f>+IF(OR($Q181=Parametres!$G$2,$Q181=Parametres!$G$3),K181,E181)</f>
        <v>-148757</v>
      </c>
      <c r="Q181" s="154" t="str">
        <f t="shared" si="13"/>
        <v>5-Ventes</v>
      </c>
      <c r="R181" s="153" t="str">
        <f t="shared" si="13"/>
        <v>4281</v>
      </c>
      <c r="S181" s="154">
        <f t="shared" si="13"/>
        <v>0</v>
      </c>
      <c r="T181" s="156" t="str">
        <f>+VLOOKUP($L181,Data_Validation!$A:$D,1,0)</f>
        <v>4291</v>
      </c>
      <c r="U181" s="156" t="str">
        <f>+VLOOKUP($L181,Data_Validation!$A:$D,3,0)</f>
        <v>Véhicules usagés</v>
      </c>
      <c r="V181" s="156" t="str">
        <f>+VLOOKUP($L181,Data_Validation!$A:$D,4,0)</f>
        <v>Ventes au Gros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hidden="1" customHeight="1">
      <c r="A182" s="1072" t="s">
        <v>2517</v>
      </c>
      <c r="B182" s="1072" t="s">
        <v>2518</v>
      </c>
      <c r="C182" s="1073"/>
      <c r="D182" s="1073"/>
      <c r="E182" s="1073"/>
      <c r="F182" s="1072" t="s">
        <v>4</v>
      </c>
      <c r="G182" s="1072" t="s">
        <v>2008</v>
      </c>
      <c r="H182" s="1073"/>
      <c r="I182" s="1074">
        <v>0</v>
      </c>
      <c r="J182" s="1074">
        <v>-11</v>
      </c>
      <c r="K182" s="1074">
        <v>-11</v>
      </c>
      <c r="L182" s="153" t="str">
        <f t="shared" si="0"/>
        <v>4291@</v>
      </c>
      <c r="M182" s="154" t="str">
        <f t="shared" si="1"/>
        <v>VENTE AU GROS - USAGES</v>
      </c>
      <c r="N182" s="155">
        <f>+IF(OR($Q182=Parametres!$G$2,$Q182=Parametres!$G$3),I182,C182)</f>
        <v>0</v>
      </c>
      <c r="O182" s="155">
        <f>+IF(OR($Q182=Parametres!$G$2,$Q182=Parametres!$G$3),J182,D182)</f>
        <v>-11</v>
      </c>
      <c r="P182" s="155">
        <f>+IF(OR($Q182=Parametres!$G$2,$Q182=Parametres!$G$3),K182,E182)</f>
        <v>-11</v>
      </c>
      <c r="Q182" s="154" t="str">
        <f t="shared" si="13"/>
        <v>10-Compte compteur</v>
      </c>
      <c r="R182" s="153" t="str">
        <f t="shared" si="13"/>
        <v>4281</v>
      </c>
      <c r="S182" s="154">
        <f t="shared" si="13"/>
        <v>0</v>
      </c>
      <c r="T182" s="156" t="str">
        <f>+VLOOKUP($L182,Data_Validation!$A:$D,1,0)</f>
        <v>4291@</v>
      </c>
      <c r="U182" s="156" t="str">
        <f>+VLOOKUP($L182,Data_Validation!$A:$D,3,0)</f>
        <v>Véhicules usagés</v>
      </c>
      <c r="V182" s="156" t="str">
        <f>+VLOOKUP($L182,Data_Validation!$A:$D,4,0)</f>
        <v>Ventes au Gros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hidden="1" customHeight="1">
      <c r="A183" s="1072" t="s">
        <v>2011</v>
      </c>
      <c r="B183" s="1072" t="s">
        <v>2012</v>
      </c>
      <c r="C183" s="1074">
        <v>0</v>
      </c>
      <c r="D183" s="1074">
        <v>-69640.87</v>
      </c>
      <c r="E183" s="1074">
        <v>-69640.87</v>
      </c>
      <c r="F183" s="1072" t="s">
        <v>285</v>
      </c>
      <c r="G183" s="1072" t="s">
        <v>2012</v>
      </c>
      <c r="H183" s="1073"/>
      <c r="I183" s="1073"/>
      <c r="J183" s="1073"/>
      <c r="K183" s="1073"/>
      <c r="L183" s="153" t="str">
        <f t="shared" si="0"/>
        <v>4401</v>
      </c>
      <c r="M183" s="154" t="str">
        <f t="shared" si="1"/>
        <v>M.O. MECANIQUE-VENTE CLIENTS</v>
      </c>
      <c r="N183" s="155">
        <f>+IF(OR($Q183=Parametres!$G$2,$Q183=Parametres!$G$3),I183,C183)</f>
        <v>0</v>
      </c>
      <c r="O183" s="155">
        <f>+IF(OR($Q183=Parametres!$G$2,$Q183=Parametres!$G$3),J183,D183)</f>
        <v>-69640.87</v>
      </c>
      <c r="P183" s="155">
        <f>+IF(OR($Q183=Parametres!$G$2,$Q183=Parametres!$G$3),K183,E183)</f>
        <v>-69640.87</v>
      </c>
      <c r="Q183" s="154" t="str">
        <f t="shared" si="13"/>
        <v>5-Ventes</v>
      </c>
      <c r="R183" s="153" t="str">
        <f t="shared" si="13"/>
        <v>4401</v>
      </c>
      <c r="S183" s="154">
        <f t="shared" si="13"/>
        <v>0</v>
      </c>
      <c r="T183" s="156" t="str">
        <f>+VLOOKUP($L183,Data_Validation!$A:$D,1,0)</f>
        <v>4401</v>
      </c>
      <c r="U183" s="156" t="str">
        <f>+VLOOKUP($L183,Data_Validation!$A:$D,3,0)</f>
        <v>Service</v>
      </c>
      <c r="V183" s="156" t="str">
        <f>+VLOOKUP($L183,Data_Validation!$A:$D,4,0)</f>
        <v>M/O Client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hidden="1" customHeight="1">
      <c r="A184" s="1072" t="s">
        <v>2011</v>
      </c>
      <c r="B184" s="1072" t="s">
        <v>2519</v>
      </c>
      <c r="C184" s="1073"/>
      <c r="D184" s="1073"/>
      <c r="E184" s="1073"/>
      <c r="F184" s="1072" t="s">
        <v>4</v>
      </c>
      <c r="G184" s="1072" t="s">
        <v>2012</v>
      </c>
      <c r="H184" s="1073"/>
      <c r="I184" s="1074">
        <v>0</v>
      </c>
      <c r="J184" s="1074">
        <v>-300</v>
      </c>
      <c r="K184" s="1074">
        <v>-300</v>
      </c>
      <c r="L184" s="153" t="str">
        <f t="shared" si="0"/>
        <v>4401@</v>
      </c>
      <c r="M184" s="154" t="str">
        <f t="shared" si="1"/>
        <v>M.O. MECANIQUE-VENTE CLIENTS</v>
      </c>
      <c r="N184" s="155">
        <f>+IF(OR($Q184=Parametres!$G$2,$Q184=Parametres!$G$3),I184,C184)</f>
        <v>0</v>
      </c>
      <c r="O184" s="155">
        <f>+IF(OR($Q184=Parametres!$G$2,$Q184=Parametres!$G$3),J184,D184)</f>
        <v>-300</v>
      </c>
      <c r="P184" s="155">
        <f>+IF(OR($Q184=Parametres!$G$2,$Q184=Parametres!$G$3),K184,E184)</f>
        <v>-300</v>
      </c>
      <c r="Q184" s="154" t="str">
        <f t="shared" si="13"/>
        <v>10-Compte compteur</v>
      </c>
      <c r="R184" s="153" t="str">
        <f t="shared" si="13"/>
        <v>4401</v>
      </c>
      <c r="S184" s="154">
        <f t="shared" si="13"/>
        <v>0</v>
      </c>
      <c r="T184" s="156" t="str">
        <f>+VLOOKUP($L184,Data_Validation!$A:$D,1,0)</f>
        <v>4401@</v>
      </c>
      <c r="U184" s="156" t="str">
        <f>+VLOOKUP($L184,Data_Validation!$A:$D,3,0)</f>
        <v>Service</v>
      </c>
      <c r="V184" s="156" t="str">
        <f>+VLOOKUP($L184,Data_Validation!$A:$D,4,0)</f>
        <v>M/O Client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hidden="1" customHeight="1">
      <c r="A185" s="1072" t="s">
        <v>2041</v>
      </c>
      <c r="B185" s="1072" t="s">
        <v>2042</v>
      </c>
      <c r="C185" s="1074">
        <v>0</v>
      </c>
      <c r="D185" s="1074">
        <v>-54710.36</v>
      </c>
      <c r="E185" s="1074">
        <v>-54710.36</v>
      </c>
      <c r="F185" s="1072" t="s">
        <v>285</v>
      </c>
      <c r="G185" s="1072" t="s">
        <v>2042</v>
      </c>
      <c r="H185" s="1073"/>
      <c r="I185" s="1073"/>
      <c r="J185" s="1073"/>
      <c r="K185" s="1073"/>
      <c r="L185" s="153" t="str">
        <f t="shared" si="0"/>
        <v>4403</v>
      </c>
      <c r="M185" s="154" t="str">
        <f t="shared" si="1"/>
        <v>M.O. MECANIQUE-VENTE GAR. MANU</v>
      </c>
      <c r="N185" s="155">
        <f>+IF(OR($Q185=Parametres!$G$2,$Q185=Parametres!$G$3),I185,C185)</f>
        <v>0</v>
      </c>
      <c r="O185" s="155">
        <f>+IF(OR($Q185=Parametres!$G$2,$Q185=Parametres!$G$3),J185,D185)</f>
        <v>-54710.36</v>
      </c>
      <c r="P185" s="155">
        <f>+IF(OR($Q185=Parametres!$G$2,$Q185=Parametres!$G$3),K185,E185)</f>
        <v>-54710.36</v>
      </c>
      <c r="Q185" s="154" t="str">
        <f t="shared" si="13"/>
        <v>5-Ventes</v>
      </c>
      <c r="R185" s="153" t="str">
        <f t="shared" si="13"/>
        <v>4403</v>
      </c>
      <c r="S185" s="154">
        <f t="shared" si="13"/>
        <v>0</v>
      </c>
      <c r="T185" s="156" t="str">
        <f>+VLOOKUP($L185,Data_Validation!$A:$D,1,0)</f>
        <v>4403</v>
      </c>
      <c r="U185" s="156" t="str">
        <f>+VLOOKUP($L185,Data_Validation!$A:$D,3,0)</f>
        <v>Service</v>
      </c>
      <c r="V185" s="156" t="str">
        <f>+VLOOKUP($L185,Data_Validation!$A:$D,4,0)</f>
        <v>M/O Garantie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hidden="1" customHeight="1">
      <c r="A186" s="1072" t="s">
        <v>2041</v>
      </c>
      <c r="B186" s="1072" t="s">
        <v>2522</v>
      </c>
      <c r="C186" s="1073"/>
      <c r="D186" s="1073"/>
      <c r="E186" s="1073"/>
      <c r="F186" s="1072" t="s">
        <v>4</v>
      </c>
      <c r="G186" s="1072" t="s">
        <v>2042</v>
      </c>
      <c r="H186" s="1073"/>
      <c r="I186" s="1074">
        <v>0</v>
      </c>
      <c r="J186" s="1074">
        <v>-294</v>
      </c>
      <c r="K186" s="1074">
        <v>-294</v>
      </c>
      <c r="L186" s="153" t="str">
        <f t="shared" si="0"/>
        <v>4403@</v>
      </c>
      <c r="M186" s="154" t="str">
        <f t="shared" si="1"/>
        <v>M.O. MECANIQUE-VENTE GAR. MANU</v>
      </c>
      <c r="N186" s="155">
        <f>+IF(OR($Q186=Parametres!$G$2,$Q186=Parametres!$G$3),I186,C186)</f>
        <v>0</v>
      </c>
      <c r="O186" s="155">
        <f>+IF(OR($Q186=Parametres!$G$2,$Q186=Parametres!$G$3),J186,D186)</f>
        <v>-294</v>
      </c>
      <c r="P186" s="155">
        <f>+IF(OR($Q186=Parametres!$G$2,$Q186=Parametres!$G$3),K186,E186)</f>
        <v>-294</v>
      </c>
      <c r="Q186" s="154" t="str">
        <f t="shared" si="13"/>
        <v>10-Compte compteur</v>
      </c>
      <c r="R186" s="153" t="str">
        <f t="shared" si="13"/>
        <v>4403</v>
      </c>
      <c r="S186" s="154">
        <f t="shared" si="13"/>
        <v>0</v>
      </c>
      <c r="T186" s="156" t="str">
        <f>+VLOOKUP($L186,Data_Validation!$A:$D,1,0)</f>
        <v>4403@</v>
      </c>
      <c r="U186" s="156" t="str">
        <f>+VLOOKUP($L186,Data_Validation!$A:$D,3,0)</f>
        <v>Service</v>
      </c>
      <c r="V186" s="156" t="str">
        <f>+VLOOKUP($L186,Data_Validation!$A:$D,4,0)</f>
        <v>M/O Garantie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hidden="1" customHeight="1">
      <c r="A187" s="1072" t="s">
        <v>2051</v>
      </c>
      <c r="B187" s="1072" t="s">
        <v>2052</v>
      </c>
      <c r="C187" s="1074">
        <v>0</v>
      </c>
      <c r="D187" s="1074">
        <v>-38396.53</v>
      </c>
      <c r="E187" s="1074">
        <v>-38396.53</v>
      </c>
      <c r="F187" s="1072" t="s">
        <v>285</v>
      </c>
      <c r="G187" s="1072" t="s">
        <v>2052</v>
      </c>
      <c r="H187" s="1073"/>
      <c r="I187" s="1073"/>
      <c r="J187" s="1073"/>
      <c r="K187" s="1073"/>
      <c r="L187" s="153" t="str">
        <f t="shared" si="0"/>
        <v>4405</v>
      </c>
      <c r="M187" s="154" t="str">
        <f t="shared" si="1"/>
        <v>M.O. MECANIQUE-VENTE INTERNE</v>
      </c>
      <c r="N187" s="155">
        <f>+IF(OR($Q187=Parametres!$G$2,$Q187=Parametres!$G$3),I187,C187)</f>
        <v>0</v>
      </c>
      <c r="O187" s="155">
        <f>+IF(OR($Q187=Parametres!$G$2,$Q187=Parametres!$G$3),J187,D187)</f>
        <v>-38396.53</v>
      </c>
      <c r="P187" s="155">
        <f>+IF(OR($Q187=Parametres!$G$2,$Q187=Parametres!$G$3),K187,E187)</f>
        <v>-38396.53</v>
      </c>
      <c r="Q187" s="154" t="str">
        <f t="shared" si="13"/>
        <v>5-Ventes</v>
      </c>
      <c r="R187" s="153" t="str">
        <f t="shared" si="13"/>
        <v>4405</v>
      </c>
      <c r="S187" s="154">
        <f t="shared" si="13"/>
        <v>0</v>
      </c>
      <c r="T187" s="156" t="str">
        <f>+VLOOKUP($L187,Data_Validation!$A:$D,1,0)</f>
        <v>4405</v>
      </c>
      <c r="U187" s="156" t="str">
        <f>+VLOOKUP($L187,Data_Validation!$A:$D,3,0)</f>
        <v>Service</v>
      </c>
      <c r="V187" s="156" t="str">
        <f>+VLOOKUP($L187,Data_Validation!$A:$D,4,0)</f>
        <v>M/O Interne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072" t="s">
        <v>2051</v>
      </c>
      <c r="B188" s="1072" t="s">
        <v>2523</v>
      </c>
      <c r="C188" s="1073"/>
      <c r="D188" s="1073"/>
      <c r="E188" s="1073"/>
      <c r="F188" s="1072" t="s">
        <v>4</v>
      </c>
      <c r="G188" s="1072" t="s">
        <v>2052</v>
      </c>
      <c r="H188" s="1073"/>
      <c r="I188" s="1074">
        <v>0</v>
      </c>
      <c r="J188" s="1074">
        <v>-226</v>
      </c>
      <c r="K188" s="1074">
        <v>-226</v>
      </c>
      <c r="L188" s="153" t="str">
        <f t="shared" si="0"/>
        <v>4405@</v>
      </c>
      <c r="M188" s="154" t="str">
        <f t="shared" si="1"/>
        <v>M.O. MECANIQUE-VENTE INTERNE</v>
      </c>
      <c r="N188" s="155">
        <f>+IF(OR($Q188=Parametres!$G$2,$Q188=Parametres!$G$3),I188,C188)</f>
        <v>0</v>
      </c>
      <c r="O188" s="155">
        <f>+IF(OR($Q188=Parametres!$G$2,$Q188=Parametres!$G$3),J188,D188)</f>
        <v>-226</v>
      </c>
      <c r="P188" s="155">
        <f>+IF(OR($Q188=Parametres!$G$2,$Q188=Parametres!$G$3),K188,E188)</f>
        <v>-226</v>
      </c>
      <c r="Q188" s="154" t="str">
        <f t="shared" si="13"/>
        <v>10-Compte compteur</v>
      </c>
      <c r="R188" s="153" t="str">
        <f t="shared" si="13"/>
        <v>4405</v>
      </c>
      <c r="S188" s="154">
        <f t="shared" si="13"/>
        <v>0</v>
      </c>
      <c r="T188" s="156" t="str">
        <f>+VLOOKUP($L188,Data_Validation!$A:$D,1,0)</f>
        <v>4405@</v>
      </c>
      <c r="U188" s="156" t="str">
        <f>+VLOOKUP($L188,Data_Validation!$A:$D,3,0)</f>
        <v>Service</v>
      </c>
      <c r="V188" s="156" t="str">
        <f>+VLOOKUP($L188,Data_Validation!$A:$D,4,0)</f>
        <v>M/O Interne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072" t="s">
        <v>2071</v>
      </c>
      <c r="B189" s="1072" t="s">
        <v>2072</v>
      </c>
      <c r="C189" s="1074">
        <v>0</v>
      </c>
      <c r="D189" s="1074">
        <v>-12499.4</v>
      </c>
      <c r="E189" s="1074">
        <v>-12499.4</v>
      </c>
      <c r="F189" s="1072" t="s">
        <v>285</v>
      </c>
      <c r="G189" s="1072" t="s">
        <v>2073</v>
      </c>
      <c r="H189" s="1073"/>
      <c r="I189" s="1073"/>
      <c r="J189" s="1073"/>
      <c r="K189" s="1073"/>
      <c r="L189" s="153" t="str">
        <f t="shared" si="0"/>
        <v>4451</v>
      </c>
      <c r="M189" s="154" t="str">
        <f t="shared" si="1"/>
        <v>CARBURANT/HUILE/GRAISSE</v>
      </c>
      <c r="N189" s="155">
        <f>+IF(OR($Q189=Parametres!$G$2,$Q189=Parametres!$G$3),I189,C189)</f>
        <v>0</v>
      </c>
      <c r="O189" s="155">
        <f>+IF(OR($Q189=Parametres!$G$2,$Q189=Parametres!$G$3),J189,D189)</f>
        <v>-12499.4</v>
      </c>
      <c r="P189" s="155">
        <f>+IF(OR($Q189=Parametres!$G$2,$Q189=Parametres!$G$3),K189,E189)</f>
        <v>-12499.4</v>
      </c>
      <c r="Q189" s="154" t="str">
        <f t="shared" si="13"/>
        <v>5-Ventes</v>
      </c>
      <c r="R189" s="153" t="str">
        <f t="shared" si="13"/>
        <v>4782</v>
      </c>
      <c r="S189" s="154">
        <f t="shared" si="13"/>
        <v>0</v>
      </c>
      <c r="T189" s="156" t="str">
        <f>+VLOOKUP($L189,Data_Validation!$A:$D,1,0)</f>
        <v>4451</v>
      </c>
      <c r="U189" s="156" t="str">
        <f>+VLOOKUP($L189,Data_Validation!$A:$D,3,0)</f>
        <v>Pièces</v>
      </c>
      <c r="V189" s="156" t="str">
        <f>+VLOOKUP($L189,Data_Validation!$A:$D,4,0)</f>
        <v>Huiles et Graisse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72" t="s">
        <v>2071</v>
      </c>
      <c r="B190" s="1072" t="s">
        <v>2526</v>
      </c>
      <c r="C190" s="1073"/>
      <c r="D190" s="1073"/>
      <c r="E190" s="1073"/>
      <c r="F190" s="1072" t="s">
        <v>4</v>
      </c>
      <c r="G190" s="1072" t="s">
        <v>2073</v>
      </c>
      <c r="H190" s="1073"/>
      <c r="I190" s="1074">
        <v>0</v>
      </c>
      <c r="J190" s="1074">
        <v>-227</v>
      </c>
      <c r="K190" s="1074">
        <v>-227</v>
      </c>
      <c r="L190" s="153" t="str">
        <f t="shared" si="0"/>
        <v>4451@</v>
      </c>
      <c r="M190" s="154" t="str">
        <f t="shared" si="1"/>
        <v>CARBURANT/HUILE/GRAISSE</v>
      </c>
      <c r="N190" s="155">
        <f>+IF(OR($Q190=Parametres!$G$2,$Q190=Parametres!$G$3),I190,C190)</f>
        <v>0</v>
      </c>
      <c r="O190" s="155">
        <f>+IF(OR($Q190=Parametres!$G$2,$Q190=Parametres!$G$3),J190,D190)</f>
        <v>-227</v>
      </c>
      <c r="P190" s="155">
        <f>+IF(OR($Q190=Parametres!$G$2,$Q190=Parametres!$G$3),K190,E190)</f>
        <v>-227</v>
      </c>
      <c r="Q190" s="154" t="str">
        <f t="shared" si="13"/>
        <v>10-Compte compteur</v>
      </c>
      <c r="R190" s="153" t="str">
        <f t="shared" si="13"/>
        <v>4782</v>
      </c>
      <c r="S190" s="154">
        <f t="shared" si="13"/>
        <v>0</v>
      </c>
      <c r="T190" s="156" t="str">
        <f>+VLOOKUP($L190,Data_Validation!$A:$D,1,0)</f>
        <v>4451@</v>
      </c>
      <c r="U190" s="156" t="str">
        <f>+VLOOKUP($L190,Data_Validation!$A:$D,3,0)</f>
        <v>Pièces</v>
      </c>
      <c r="V190" s="156" t="str">
        <f>+VLOOKUP($L190,Data_Validation!$A:$D,4,0)</f>
        <v>Huiles et Graisse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72" t="s">
        <v>2144</v>
      </c>
      <c r="B191" s="1072" t="s">
        <v>2145</v>
      </c>
      <c r="C191" s="1074">
        <v>0</v>
      </c>
      <c r="D191" s="1074">
        <v>-1881.81</v>
      </c>
      <c r="E191" s="1074">
        <v>-1881.81</v>
      </c>
      <c r="F191" s="1072" t="s">
        <v>285</v>
      </c>
      <c r="G191" s="1072" t="s">
        <v>2145</v>
      </c>
      <c r="H191" s="1073"/>
      <c r="I191" s="1073"/>
      <c r="J191" s="1073"/>
      <c r="K191" s="1073"/>
      <c r="L191" s="153" t="str">
        <f t="shared" si="0"/>
        <v>4491</v>
      </c>
      <c r="M191" s="154" t="str">
        <f t="shared" si="1"/>
        <v>REPARATION SOUS-LOC. - GENERAL</v>
      </c>
      <c r="N191" s="155">
        <f>+IF(OR($Q191=Parametres!$G$2,$Q191=Parametres!$G$3),I191,C191)</f>
        <v>0</v>
      </c>
      <c r="O191" s="155">
        <f>+IF(OR($Q191=Parametres!$G$2,$Q191=Parametres!$G$3),J191,D191)</f>
        <v>-1881.81</v>
      </c>
      <c r="P191" s="155">
        <f>+IF(OR($Q191=Parametres!$G$2,$Q191=Parametres!$G$3),K191,E191)</f>
        <v>-1881.81</v>
      </c>
      <c r="Q191" s="154" t="str">
        <f t="shared" si="13"/>
        <v>5-Ventes</v>
      </c>
      <c r="R191" s="153" t="str">
        <f t="shared" si="13"/>
        <v>4491</v>
      </c>
      <c r="S191" s="154">
        <f t="shared" si="13"/>
        <v>0</v>
      </c>
      <c r="T191" s="156" t="str">
        <f>+VLOOKUP($L191,Data_Validation!$A:$D,1,0)</f>
        <v>4491</v>
      </c>
      <c r="U191" s="156" t="str">
        <f>+VLOOKUP($L191,Data_Validation!$A:$D,3,0)</f>
        <v>Service</v>
      </c>
      <c r="V191" s="156" t="str">
        <f>+VLOOKUP($L191,Data_Validation!$A:$D,4,0)</f>
        <v>Sous-traitement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72" t="s">
        <v>2144</v>
      </c>
      <c r="B192" s="1072" t="s">
        <v>2527</v>
      </c>
      <c r="C192" s="1073"/>
      <c r="D192" s="1073"/>
      <c r="E192" s="1073"/>
      <c r="F192" s="1072" t="s">
        <v>4</v>
      </c>
      <c r="G192" s="1072" t="s">
        <v>2145</v>
      </c>
      <c r="H192" s="1073"/>
      <c r="I192" s="1074">
        <v>0</v>
      </c>
      <c r="J192" s="1074">
        <v>-10</v>
      </c>
      <c r="K192" s="1074">
        <v>-10</v>
      </c>
      <c r="L192" s="153" t="str">
        <f t="shared" si="0"/>
        <v>4491@</v>
      </c>
      <c r="M192" s="154" t="str">
        <f t="shared" si="1"/>
        <v>REPARATION SOUS-LOC. - GENERAL</v>
      </c>
      <c r="N192" s="155">
        <f>+IF(OR($Q192=Parametres!$G$2,$Q192=Parametres!$G$3),I192,C192)</f>
        <v>0</v>
      </c>
      <c r="O192" s="155">
        <f>+IF(OR($Q192=Parametres!$G$2,$Q192=Parametres!$G$3),J192,D192)</f>
        <v>-10</v>
      </c>
      <c r="P192" s="155">
        <f>+IF(OR($Q192=Parametres!$G$2,$Q192=Parametres!$G$3),K192,E192)</f>
        <v>-10</v>
      </c>
      <c r="Q192" s="154" t="str">
        <f t="shared" si="13"/>
        <v>10-Compte compteur</v>
      </c>
      <c r="R192" s="153" t="str">
        <f t="shared" si="13"/>
        <v>4491</v>
      </c>
      <c r="S192" s="154">
        <f t="shared" si="13"/>
        <v>0</v>
      </c>
      <c r="T192" s="156" t="str">
        <f>+VLOOKUP($L192,Data_Validation!$A:$D,1,0)</f>
        <v>4491@</v>
      </c>
      <c r="U192" s="156" t="str">
        <f>+VLOOKUP($L192,Data_Validation!$A:$D,3,0)</f>
        <v>Service</v>
      </c>
      <c r="V192" s="156" t="str">
        <f>+VLOOKUP($L192,Data_Validation!$A:$D,4,0)</f>
        <v>Sous-traitement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72" t="s">
        <v>2167</v>
      </c>
      <c r="B193" s="1072" t="s">
        <v>2168</v>
      </c>
      <c r="C193" s="1074">
        <v>0</v>
      </c>
      <c r="D193" s="1074">
        <v>-1009.05</v>
      </c>
      <c r="E193" s="1074">
        <v>-1009.05</v>
      </c>
      <c r="F193" s="1072" t="s">
        <v>285</v>
      </c>
      <c r="G193" s="1072" t="s">
        <v>2168</v>
      </c>
      <c r="H193" s="1073"/>
      <c r="I193" s="1073"/>
      <c r="J193" s="1073"/>
      <c r="K193" s="1073"/>
      <c r="L193" s="153" t="str">
        <f t="shared" si="0"/>
        <v>4493</v>
      </c>
      <c r="M193" s="154" t="str">
        <f t="shared" si="1"/>
        <v>VTE - SOUS-TRAITANCE GARANTIE</v>
      </c>
      <c r="N193" s="155">
        <f>+IF(OR($Q193=Parametres!$G$2,$Q193=Parametres!$G$3),I193,C193)</f>
        <v>0</v>
      </c>
      <c r="O193" s="155">
        <f>+IF(OR($Q193=Parametres!$G$2,$Q193=Parametres!$G$3),J193,D193)</f>
        <v>-1009.05</v>
      </c>
      <c r="P193" s="155">
        <f>+IF(OR($Q193=Parametres!$G$2,$Q193=Parametres!$G$3),K193,E193)</f>
        <v>-1009.05</v>
      </c>
      <c r="Q193" s="154" t="str">
        <f t="shared" si="13"/>
        <v>5-Ventes</v>
      </c>
      <c r="R193" s="153" t="str">
        <f t="shared" si="13"/>
        <v>4493</v>
      </c>
      <c r="S193" s="154">
        <f t="shared" si="13"/>
        <v>0</v>
      </c>
      <c r="T193" s="156" t="str">
        <f>+VLOOKUP($L193,Data_Validation!$A:$D,1,0)</f>
        <v>4493</v>
      </c>
      <c r="U193" s="156" t="str">
        <f>+VLOOKUP($L193,Data_Validation!$A:$D,3,0)</f>
        <v>Service</v>
      </c>
      <c r="V193" s="156" t="str">
        <f>+VLOOKUP($L193,Data_Validation!$A:$D,4,0)</f>
        <v>Sous-traitement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72" t="s">
        <v>2528</v>
      </c>
      <c r="B194" s="1072" t="s">
        <v>2529</v>
      </c>
      <c r="C194" s="1073"/>
      <c r="D194" s="1073"/>
      <c r="E194" s="1073"/>
      <c r="F194" s="1072" t="s">
        <v>4</v>
      </c>
      <c r="G194" s="1072" t="s">
        <v>2168</v>
      </c>
      <c r="H194" s="1073"/>
      <c r="I194" s="1074">
        <v>0</v>
      </c>
      <c r="J194" s="1074">
        <v>-7</v>
      </c>
      <c r="K194" s="1074">
        <v>-7</v>
      </c>
      <c r="L194" s="153" t="str">
        <f t="shared" si="0"/>
        <v>4493@</v>
      </c>
      <c r="M194" s="154" t="str">
        <f t="shared" si="1"/>
        <v># DE VTE - SOUS-TRAITANCE GARANTIE</v>
      </c>
      <c r="N194" s="155">
        <f>+IF(OR($Q194=Parametres!$G$2,$Q194=Parametres!$G$3),I194,C194)</f>
        <v>0</v>
      </c>
      <c r="O194" s="155">
        <f>+IF(OR($Q194=Parametres!$G$2,$Q194=Parametres!$G$3),J194,D194)</f>
        <v>-7</v>
      </c>
      <c r="P194" s="155">
        <f>+IF(OR($Q194=Parametres!$G$2,$Q194=Parametres!$G$3),K194,E194)</f>
        <v>-7</v>
      </c>
      <c r="Q194" s="154" t="str">
        <f t="shared" ref="Q194:S209" si="14">+F194</f>
        <v>10-Compte compteur</v>
      </c>
      <c r="R194" s="153" t="str">
        <f t="shared" si="14"/>
        <v>4493</v>
      </c>
      <c r="S194" s="154">
        <f t="shared" si="14"/>
        <v>0</v>
      </c>
      <c r="T194" s="156" t="str">
        <f>+VLOOKUP($L194,Data_Validation!$A:$D,1,0)</f>
        <v>4493@</v>
      </c>
      <c r="U194" s="156" t="str">
        <f>+VLOOKUP($L194,Data_Validation!$A:$D,3,0)</f>
        <v>Service</v>
      </c>
      <c r="V194" s="156" t="str">
        <f>+VLOOKUP($L194,Data_Validation!$A:$D,4,0)</f>
        <v>Sous-traitement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72" t="s">
        <v>2086</v>
      </c>
      <c r="B195" s="1072" t="s">
        <v>2087</v>
      </c>
      <c r="C195" s="1074">
        <v>0</v>
      </c>
      <c r="D195" s="1074">
        <v>-23973.55</v>
      </c>
      <c r="E195" s="1074">
        <v>-23973.55</v>
      </c>
      <c r="F195" s="1072" t="s">
        <v>285</v>
      </c>
      <c r="G195" s="1072" t="s">
        <v>2087</v>
      </c>
      <c r="H195" s="1073"/>
      <c r="I195" s="1073"/>
      <c r="J195" s="1073"/>
      <c r="K195" s="1073"/>
      <c r="L195" s="153" t="str">
        <f t="shared" si="0"/>
        <v>4495</v>
      </c>
      <c r="M195" s="154" t="str">
        <f t="shared" si="1"/>
        <v>VTE - S-TRAITANCE MEC.INTERNE VW</v>
      </c>
      <c r="N195" s="155">
        <f>+IF(OR($Q195=Parametres!$G$2,$Q195=Parametres!$G$3),I195,C195)</f>
        <v>0</v>
      </c>
      <c r="O195" s="155">
        <f>+IF(OR($Q195=Parametres!$G$2,$Q195=Parametres!$G$3),J195,D195)</f>
        <v>-23973.55</v>
      </c>
      <c r="P195" s="155">
        <f>+IF(OR($Q195=Parametres!$G$2,$Q195=Parametres!$G$3),K195,E195)</f>
        <v>-23973.55</v>
      </c>
      <c r="Q195" s="154" t="str">
        <f t="shared" si="14"/>
        <v>5-Ventes</v>
      </c>
      <c r="R195" s="153" t="str">
        <f t="shared" si="14"/>
        <v>4495</v>
      </c>
      <c r="S195" s="154">
        <f t="shared" si="14"/>
        <v>0</v>
      </c>
      <c r="T195" s="156" t="str">
        <f>+VLOOKUP($L195,Data_Validation!$A:$D,1,0)</f>
        <v>4495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72" t="s">
        <v>2530</v>
      </c>
      <c r="B196" s="1072" t="s">
        <v>2531</v>
      </c>
      <c r="C196" s="1073"/>
      <c r="D196" s="1073"/>
      <c r="E196" s="1073"/>
      <c r="F196" s="1072" t="s">
        <v>4</v>
      </c>
      <c r="G196" s="1072" t="s">
        <v>2087</v>
      </c>
      <c r="H196" s="1073"/>
      <c r="I196" s="1074">
        <v>0</v>
      </c>
      <c r="J196" s="1074">
        <v>-140</v>
      </c>
      <c r="K196" s="1074">
        <v>-140</v>
      </c>
      <c r="L196" s="153" t="str">
        <f t="shared" si="0"/>
        <v>4495@</v>
      </c>
      <c r="M196" s="154" t="str">
        <f t="shared" si="1"/>
        <v># DE VTE - S-TRAITANCE MEC.INTERNE VW</v>
      </c>
      <c r="N196" s="155">
        <f>+IF(OR($Q196=Parametres!$G$2,$Q196=Parametres!$G$3),I196,C196)</f>
        <v>0</v>
      </c>
      <c r="O196" s="155">
        <f>+IF(OR($Q196=Parametres!$G$2,$Q196=Parametres!$G$3),J196,D196)</f>
        <v>-140</v>
      </c>
      <c r="P196" s="155">
        <f>+IF(OR($Q196=Parametres!$G$2,$Q196=Parametres!$G$3),K196,E196)</f>
        <v>-140</v>
      </c>
      <c r="Q196" s="154" t="str">
        <f t="shared" si="14"/>
        <v>10-Compte compteur</v>
      </c>
      <c r="R196" s="153" t="str">
        <f t="shared" si="14"/>
        <v>4495</v>
      </c>
      <c r="S196" s="154">
        <f t="shared" si="14"/>
        <v>0</v>
      </c>
      <c r="T196" s="156" t="str">
        <f>+VLOOKUP($L196,Data_Validation!$A:$D,1,0)</f>
        <v>4495@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72" t="s">
        <v>2069</v>
      </c>
      <c r="B197" s="1072" t="s">
        <v>2070</v>
      </c>
      <c r="C197" s="1074">
        <v>0</v>
      </c>
      <c r="D197" s="1074">
        <v>-49925.58</v>
      </c>
      <c r="E197" s="1074">
        <v>-49925.58</v>
      </c>
      <c r="F197" s="1072" t="s">
        <v>285</v>
      </c>
      <c r="G197" s="1072" t="s">
        <v>2070</v>
      </c>
      <c r="H197" s="1073"/>
      <c r="I197" s="1073"/>
      <c r="J197" s="1073"/>
      <c r="K197" s="1073"/>
      <c r="L197" s="153" t="str">
        <f t="shared" si="0"/>
        <v>4591</v>
      </c>
      <c r="M197" s="154" t="str">
        <f t="shared" si="1"/>
        <v>VTE - S-TRAIT. CARR.</v>
      </c>
      <c r="N197" s="155">
        <f>+IF(OR($Q197=Parametres!$G$2,$Q197=Parametres!$G$3),I197,C197)</f>
        <v>0</v>
      </c>
      <c r="O197" s="155">
        <f>+IF(OR($Q197=Parametres!$G$2,$Q197=Parametres!$G$3),J197,D197)</f>
        <v>-49925.58</v>
      </c>
      <c r="P197" s="155">
        <f>+IF(OR($Q197=Parametres!$G$2,$Q197=Parametres!$G$3),K197,E197)</f>
        <v>-49925.58</v>
      </c>
      <c r="Q197" s="154" t="str">
        <f t="shared" si="14"/>
        <v>5-Ventes</v>
      </c>
      <c r="R197" s="153" t="str">
        <f t="shared" si="14"/>
        <v>4591</v>
      </c>
      <c r="S197" s="154">
        <f t="shared" si="14"/>
        <v>0</v>
      </c>
      <c r="T197" s="156" t="str">
        <f>+VLOOKUP($L197,Data_Validation!$A:$D,1,0)</f>
        <v>4591</v>
      </c>
      <c r="U197" s="156" t="str">
        <f>+VLOOKUP($L197,Data_Validation!$A:$D,3,0)</f>
        <v>Carrosserie</v>
      </c>
      <c r="V197" s="156" t="str">
        <f>+VLOOKUP($L197,Data_Validation!$A:$D,4,0)</f>
        <v>M/O 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72" t="s">
        <v>2532</v>
      </c>
      <c r="B198" s="1072" t="s">
        <v>2533</v>
      </c>
      <c r="C198" s="1073"/>
      <c r="D198" s="1073"/>
      <c r="E198" s="1073"/>
      <c r="F198" s="1072" t="s">
        <v>4</v>
      </c>
      <c r="G198" s="1072" t="s">
        <v>2070</v>
      </c>
      <c r="H198" s="1073"/>
      <c r="I198" s="1074">
        <v>0</v>
      </c>
      <c r="J198" s="1074">
        <v>-35</v>
      </c>
      <c r="K198" s="1074">
        <v>-35</v>
      </c>
      <c r="L198" s="153" t="str">
        <f t="shared" si="0"/>
        <v>4591@</v>
      </c>
      <c r="M198" s="154" t="str">
        <f t="shared" si="1"/>
        <v>REPARATION SOUS-LOC.-PEINT/DEB</v>
      </c>
      <c r="N198" s="155">
        <f>+IF(OR($Q198=Parametres!$G$2,$Q198=Parametres!$G$3),I198,C198)</f>
        <v>0</v>
      </c>
      <c r="O198" s="155">
        <f>+IF(OR($Q198=Parametres!$G$2,$Q198=Parametres!$G$3),J198,D198)</f>
        <v>-35</v>
      </c>
      <c r="P198" s="155">
        <f>+IF(OR($Q198=Parametres!$G$2,$Q198=Parametres!$G$3),K198,E198)</f>
        <v>-35</v>
      </c>
      <c r="Q198" s="154" t="str">
        <f t="shared" si="14"/>
        <v>10-Compte compteur</v>
      </c>
      <c r="R198" s="153" t="str">
        <f t="shared" si="14"/>
        <v>4591</v>
      </c>
      <c r="S198" s="154">
        <f t="shared" si="14"/>
        <v>0</v>
      </c>
      <c r="T198" s="156" t="str">
        <f>+VLOOKUP($L198,Data_Validation!$A:$D,1,0)</f>
        <v>4591@</v>
      </c>
      <c r="U198" s="156" t="str">
        <f>+VLOOKUP($L198,Data_Validation!$A:$D,3,0)</f>
        <v>Carrosserie</v>
      </c>
      <c r="V198" s="156" t="str">
        <f>+VLOOKUP($L198,Data_Validation!$A:$D,4,0)</f>
        <v>M/O 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72" t="s">
        <v>2067</v>
      </c>
      <c r="B199" s="1072" t="s">
        <v>2068</v>
      </c>
      <c r="C199" s="1074">
        <v>0</v>
      </c>
      <c r="D199" s="1074">
        <v>-46610</v>
      </c>
      <c r="E199" s="1074">
        <v>-46610</v>
      </c>
      <c r="F199" s="1072" t="s">
        <v>285</v>
      </c>
      <c r="G199" s="1072" t="s">
        <v>2068</v>
      </c>
      <c r="H199" s="1073"/>
      <c r="I199" s="1073"/>
      <c r="J199" s="1073"/>
      <c r="K199" s="1073"/>
      <c r="L199" s="153" t="str">
        <f t="shared" si="0"/>
        <v>4593</v>
      </c>
      <c r="M199" s="154" t="str">
        <f t="shared" si="1"/>
        <v>VTE - SOUS-TRAITANCE GARANTIE CARR.</v>
      </c>
      <c r="N199" s="155">
        <f>+IF(OR($Q199=Parametres!$G$2,$Q199=Parametres!$G$3),I199,C199)</f>
        <v>0</v>
      </c>
      <c r="O199" s="155">
        <f>+IF(OR($Q199=Parametres!$G$2,$Q199=Parametres!$G$3),J199,D199)</f>
        <v>-46610</v>
      </c>
      <c r="P199" s="155">
        <f>+IF(OR($Q199=Parametres!$G$2,$Q199=Parametres!$G$3),K199,E199)</f>
        <v>-46610</v>
      </c>
      <c r="Q199" s="154" t="str">
        <f t="shared" si="14"/>
        <v>5-Ventes</v>
      </c>
      <c r="R199" s="153" t="str">
        <f t="shared" si="14"/>
        <v>4593</v>
      </c>
      <c r="S199" s="154">
        <f t="shared" si="14"/>
        <v>0</v>
      </c>
      <c r="T199" s="156" t="str">
        <f>+VLOOKUP($L199,Data_Validation!$A:$D,1,0)</f>
        <v>4593</v>
      </c>
      <c r="U199" s="156" t="str">
        <f>+VLOOKUP($L199,Data_Validation!$A:$D,3,0)</f>
        <v>Carrosserie</v>
      </c>
      <c r="V199" s="156" t="str">
        <f>+VLOOKUP($L199,Data_Validation!$A:$D,4,0)</f>
        <v>M/O 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72" t="s">
        <v>2534</v>
      </c>
      <c r="B200" s="1072" t="s">
        <v>2535</v>
      </c>
      <c r="C200" s="1073"/>
      <c r="D200" s="1073"/>
      <c r="E200" s="1073"/>
      <c r="F200" s="1072" t="s">
        <v>4</v>
      </c>
      <c r="G200" s="1072" t="s">
        <v>2068</v>
      </c>
      <c r="H200" s="1073"/>
      <c r="I200" s="1074">
        <v>0</v>
      </c>
      <c r="J200" s="1074">
        <v>-23</v>
      </c>
      <c r="K200" s="1074">
        <v>-23</v>
      </c>
      <c r="L200" s="153" t="str">
        <f t="shared" si="0"/>
        <v>4593@</v>
      </c>
      <c r="M200" s="154" t="str">
        <f t="shared" si="1"/>
        <v># DE VTE - S-TRAITANCE GAR.CARR.</v>
      </c>
      <c r="N200" s="155">
        <f>+IF(OR($Q200=Parametres!$G$2,$Q200=Parametres!$G$3),I200,C200)</f>
        <v>0</v>
      </c>
      <c r="O200" s="155">
        <f>+IF(OR($Q200=Parametres!$G$2,$Q200=Parametres!$G$3),J200,D200)</f>
        <v>-23</v>
      </c>
      <c r="P200" s="155">
        <f>+IF(OR($Q200=Parametres!$G$2,$Q200=Parametres!$G$3),K200,E200)</f>
        <v>-23</v>
      </c>
      <c r="Q200" s="154" t="str">
        <f t="shared" si="14"/>
        <v>10-Compte compteur</v>
      </c>
      <c r="R200" s="153" t="str">
        <f t="shared" si="14"/>
        <v>4593</v>
      </c>
      <c r="S200" s="154">
        <f t="shared" si="14"/>
        <v>0</v>
      </c>
      <c r="T200" s="156" t="str">
        <f>+VLOOKUP($L200,Data_Validation!$A:$D,1,0)</f>
        <v>4593@</v>
      </c>
      <c r="U200" s="156" t="str">
        <f>+VLOOKUP($L200,Data_Validation!$A:$D,3,0)</f>
        <v>Carrosserie</v>
      </c>
      <c r="V200" s="156" t="str">
        <f>+VLOOKUP($L200,Data_Validation!$A:$D,4,0)</f>
        <v>M/O 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72" t="s">
        <v>2100</v>
      </c>
      <c r="B201" s="1072" t="s">
        <v>2101</v>
      </c>
      <c r="C201" s="1074">
        <v>0</v>
      </c>
      <c r="D201" s="1074">
        <v>-5452.95</v>
      </c>
      <c r="E201" s="1074">
        <v>-5452.95</v>
      </c>
      <c r="F201" s="1072" t="s">
        <v>285</v>
      </c>
      <c r="G201" s="1072" t="s">
        <v>2101</v>
      </c>
      <c r="H201" s="1073"/>
      <c r="I201" s="1073"/>
      <c r="J201" s="1073"/>
      <c r="K201" s="1073"/>
      <c r="L201" s="153" t="str">
        <f t="shared" si="0"/>
        <v>4595</v>
      </c>
      <c r="M201" s="154" t="str">
        <f t="shared" si="1"/>
        <v>VTE - SOUS-TRAITANCE INTERNE CARR.</v>
      </c>
      <c r="N201" s="155">
        <f>+IF(OR($Q201=Parametres!$G$2,$Q201=Parametres!$G$3),I201,C201)</f>
        <v>0</v>
      </c>
      <c r="O201" s="155">
        <f>+IF(OR($Q201=Parametres!$G$2,$Q201=Parametres!$G$3),J201,D201)</f>
        <v>-5452.95</v>
      </c>
      <c r="P201" s="155">
        <f>+IF(OR($Q201=Parametres!$G$2,$Q201=Parametres!$G$3),K201,E201)</f>
        <v>-5452.95</v>
      </c>
      <c r="Q201" s="154" t="str">
        <f t="shared" si="14"/>
        <v>5-Ventes</v>
      </c>
      <c r="R201" s="153" t="str">
        <f t="shared" si="14"/>
        <v>4595</v>
      </c>
      <c r="S201" s="154">
        <f t="shared" si="14"/>
        <v>0</v>
      </c>
      <c r="T201" s="156" t="str">
        <f>+VLOOKUP($L201,Data_Validation!$A:$D,1,0)</f>
        <v>4595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72" t="s">
        <v>2536</v>
      </c>
      <c r="B202" s="1072" t="s">
        <v>2537</v>
      </c>
      <c r="C202" s="1073"/>
      <c r="D202" s="1073"/>
      <c r="E202" s="1073"/>
      <c r="F202" s="1072" t="s">
        <v>4</v>
      </c>
      <c r="G202" s="1072" t="s">
        <v>2101</v>
      </c>
      <c r="H202" s="1073"/>
      <c r="I202" s="1074">
        <v>0</v>
      </c>
      <c r="J202" s="1074">
        <v>-9</v>
      </c>
      <c r="K202" s="1074">
        <v>-9</v>
      </c>
      <c r="L202" s="153" t="str">
        <f t="shared" si="0"/>
        <v>4595@</v>
      </c>
      <c r="M202" s="154" t="str">
        <f t="shared" si="1"/>
        <v># DE VTE - S-TRAIT.INTERNE CARR.</v>
      </c>
      <c r="N202" s="155">
        <f>+IF(OR($Q202=Parametres!$G$2,$Q202=Parametres!$G$3),I202,C202)</f>
        <v>0</v>
      </c>
      <c r="O202" s="155">
        <f>+IF(OR($Q202=Parametres!$G$2,$Q202=Parametres!$G$3),J202,D202)</f>
        <v>-9</v>
      </c>
      <c r="P202" s="155">
        <f>+IF(OR($Q202=Parametres!$G$2,$Q202=Parametres!$G$3),K202,E202)</f>
        <v>-9</v>
      </c>
      <c r="Q202" s="154" t="str">
        <f t="shared" si="14"/>
        <v>10-Compte compteur</v>
      </c>
      <c r="R202" s="153" t="str">
        <f t="shared" si="14"/>
        <v>4595</v>
      </c>
      <c r="S202" s="154">
        <f t="shared" si="14"/>
        <v>0</v>
      </c>
      <c r="T202" s="156" t="str">
        <f>+VLOOKUP($L202,Data_Validation!$A:$D,1,0)</f>
        <v>4595@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72" t="s">
        <v>2023</v>
      </c>
      <c r="B203" s="1072" t="s">
        <v>2024</v>
      </c>
      <c r="C203" s="1074">
        <v>0</v>
      </c>
      <c r="D203" s="1074">
        <v>-45413.96</v>
      </c>
      <c r="E203" s="1074">
        <v>-45413.96</v>
      </c>
      <c r="F203" s="1072" t="s">
        <v>285</v>
      </c>
      <c r="G203" s="1072" t="s">
        <v>2024</v>
      </c>
      <c r="H203" s="1073"/>
      <c r="I203" s="1073"/>
      <c r="J203" s="1073"/>
      <c r="K203" s="1073"/>
      <c r="L203" s="153" t="str">
        <f t="shared" si="0"/>
        <v>4701</v>
      </c>
      <c r="M203" s="154" t="str">
        <f t="shared" si="1"/>
        <v>VTE - PIECE/ACC B.R. CLIENT VW</v>
      </c>
      <c r="N203" s="155">
        <f>+IF(OR($Q203=Parametres!$G$2,$Q203=Parametres!$G$3),I203,C203)</f>
        <v>0</v>
      </c>
      <c r="O203" s="155">
        <f>+IF(OR($Q203=Parametres!$G$2,$Q203=Parametres!$G$3),J203,D203)</f>
        <v>-45413.96</v>
      </c>
      <c r="P203" s="155">
        <f>+IF(OR($Q203=Parametres!$G$2,$Q203=Parametres!$G$3),K203,E203)</f>
        <v>-45413.96</v>
      </c>
      <c r="Q203" s="154" t="str">
        <f t="shared" si="14"/>
        <v>5-Ventes</v>
      </c>
      <c r="R203" s="153" t="str">
        <f t="shared" si="14"/>
        <v>4701</v>
      </c>
      <c r="S203" s="154">
        <f t="shared" si="14"/>
        <v>0</v>
      </c>
      <c r="T203" s="156" t="str">
        <f>+VLOOKUP($L203,Data_Validation!$A:$D,1,0)</f>
        <v>4701</v>
      </c>
      <c r="U203" s="156" t="str">
        <f>+VLOOKUP($L203,Data_Validation!$A:$D,3,0)</f>
        <v>Pièces</v>
      </c>
      <c r="V203" s="156" t="str">
        <f>+VLOOKUP($L203,Data_Validation!$A:$D,4,0)</f>
        <v>Pièces Ro Clients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72" t="s">
        <v>2538</v>
      </c>
      <c r="B204" s="1072" t="s">
        <v>2539</v>
      </c>
      <c r="C204" s="1073"/>
      <c r="D204" s="1073"/>
      <c r="E204" s="1073"/>
      <c r="F204" s="1072" t="s">
        <v>4</v>
      </c>
      <c r="G204" s="1072" t="s">
        <v>2024</v>
      </c>
      <c r="H204" s="1073"/>
      <c r="I204" s="1074">
        <v>0</v>
      </c>
      <c r="J204" s="1074">
        <v>-307</v>
      </c>
      <c r="K204" s="1074">
        <v>-307</v>
      </c>
      <c r="L204" s="153" t="str">
        <f t="shared" si="0"/>
        <v>4701@</v>
      </c>
      <c r="M204" s="154" t="str">
        <f t="shared" si="1"/>
        <v>PIECES-BON REPARATION- CLIENTS</v>
      </c>
      <c r="N204" s="155">
        <f>+IF(OR($Q204=Parametres!$G$2,$Q204=Parametres!$G$3),I204,C204)</f>
        <v>0</v>
      </c>
      <c r="O204" s="155">
        <f>+IF(OR($Q204=Parametres!$G$2,$Q204=Parametres!$G$3),J204,D204)</f>
        <v>-307</v>
      </c>
      <c r="P204" s="155">
        <f>+IF(OR($Q204=Parametres!$G$2,$Q204=Parametres!$G$3),K204,E204)</f>
        <v>-307</v>
      </c>
      <c r="Q204" s="154" t="str">
        <f t="shared" si="14"/>
        <v>10-Compte compteur</v>
      </c>
      <c r="R204" s="153" t="str">
        <f t="shared" si="14"/>
        <v>4701</v>
      </c>
      <c r="S204" s="154">
        <f t="shared" si="14"/>
        <v>0</v>
      </c>
      <c r="T204" s="156" t="str">
        <f>+VLOOKUP($L204,Data_Validation!$A:$D,1,0)</f>
        <v>4701@</v>
      </c>
      <c r="U204" s="156" t="str">
        <f>+VLOOKUP($L204,Data_Validation!$A:$D,3,0)</f>
        <v>Pièces</v>
      </c>
      <c r="V204" s="156" t="str">
        <f>+VLOOKUP($L204,Data_Validation!$A:$D,4,0)</f>
        <v>Pièces Ro Clients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72" t="s">
        <v>2043</v>
      </c>
      <c r="B205" s="1072" t="s">
        <v>2044</v>
      </c>
      <c r="C205" s="1074">
        <v>0</v>
      </c>
      <c r="D205" s="1074">
        <v>-83371.94</v>
      </c>
      <c r="E205" s="1074">
        <v>-83371.94</v>
      </c>
      <c r="F205" s="1072" t="s">
        <v>285</v>
      </c>
      <c r="G205" s="1072" t="s">
        <v>2044</v>
      </c>
      <c r="H205" s="1073"/>
      <c r="I205" s="1073"/>
      <c r="J205" s="1073"/>
      <c r="K205" s="1073"/>
      <c r="L205" s="153" t="str">
        <f t="shared" si="0"/>
        <v>4703</v>
      </c>
      <c r="M205" s="154" t="str">
        <f t="shared" si="1"/>
        <v>VTE - PIECE/ACC B.R. GARANTIE VW</v>
      </c>
      <c r="N205" s="155">
        <f>+IF(OR($Q205=Parametres!$G$2,$Q205=Parametres!$G$3),I205,C205)</f>
        <v>0</v>
      </c>
      <c r="O205" s="155">
        <f>+IF(OR($Q205=Parametres!$G$2,$Q205=Parametres!$G$3),J205,D205)</f>
        <v>-83371.94</v>
      </c>
      <c r="P205" s="155">
        <f>+IF(OR($Q205=Parametres!$G$2,$Q205=Parametres!$G$3),K205,E205)</f>
        <v>-83371.94</v>
      </c>
      <c r="Q205" s="154" t="str">
        <f t="shared" si="14"/>
        <v>5-Ventes</v>
      </c>
      <c r="R205" s="153" t="str">
        <f t="shared" si="14"/>
        <v>4703</v>
      </c>
      <c r="S205" s="154">
        <f t="shared" si="14"/>
        <v>0</v>
      </c>
      <c r="T205" s="156" t="str">
        <f>+VLOOKUP($L205,Data_Validation!$A:$D,1,0)</f>
        <v>4703</v>
      </c>
      <c r="U205" s="156" t="str">
        <f>+VLOOKUP($L205,Data_Validation!$A:$D,3,0)</f>
        <v>Pièces</v>
      </c>
      <c r="V205" s="156" t="str">
        <f>+VLOOKUP($L205,Data_Validation!$A:$D,4,0)</f>
        <v>P/A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72" t="s">
        <v>2540</v>
      </c>
      <c r="B206" s="1072" t="s">
        <v>2541</v>
      </c>
      <c r="C206" s="1073"/>
      <c r="D206" s="1073"/>
      <c r="E206" s="1073"/>
      <c r="F206" s="1072" t="s">
        <v>4</v>
      </c>
      <c r="G206" s="1072" t="s">
        <v>2044</v>
      </c>
      <c r="H206" s="1073"/>
      <c r="I206" s="1074">
        <v>0</v>
      </c>
      <c r="J206" s="1074">
        <v>-203</v>
      </c>
      <c r="K206" s="1074">
        <v>-203</v>
      </c>
      <c r="L206" s="153" t="str">
        <f t="shared" si="0"/>
        <v>4703@</v>
      </c>
      <c r="M206" s="154" t="str">
        <f t="shared" si="1"/>
        <v>PIECES-BON REPARATION-GAR. MAN</v>
      </c>
      <c r="N206" s="155">
        <f>+IF(OR($Q206=Parametres!$G$2,$Q206=Parametres!$G$3),I206,C206)</f>
        <v>0</v>
      </c>
      <c r="O206" s="155">
        <f>+IF(OR($Q206=Parametres!$G$2,$Q206=Parametres!$G$3),J206,D206)</f>
        <v>-203</v>
      </c>
      <c r="P206" s="155">
        <f>+IF(OR($Q206=Parametres!$G$2,$Q206=Parametres!$G$3),K206,E206)</f>
        <v>-203</v>
      </c>
      <c r="Q206" s="154" t="str">
        <f t="shared" si="14"/>
        <v>10-Compte compteur</v>
      </c>
      <c r="R206" s="153" t="str">
        <f t="shared" si="14"/>
        <v>4703</v>
      </c>
      <c r="S206" s="154">
        <f t="shared" si="14"/>
        <v>0</v>
      </c>
      <c r="T206" s="156" t="str">
        <f>+VLOOKUP($L206,Data_Validation!$A:$D,1,0)</f>
        <v>4703@</v>
      </c>
      <c r="U206" s="156" t="str">
        <f>+VLOOKUP($L206,Data_Validation!$A:$D,3,0)</f>
        <v>Pièces</v>
      </c>
      <c r="V206" s="156" t="str">
        <f>+VLOOKUP($L206,Data_Validation!$A:$D,4,0)</f>
        <v>P/A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72" t="s">
        <v>2047</v>
      </c>
      <c r="B207" s="1072" t="s">
        <v>2048</v>
      </c>
      <c r="C207" s="1074">
        <v>0</v>
      </c>
      <c r="D207" s="1074">
        <v>-32156.7</v>
      </c>
      <c r="E207" s="1074">
        <v>-32156.7</v>
      </c>
      <c r="F207" s="1072" t="s">
        <v>285</v>
      </c>
      <c r="G207" s="1072" t="s">
        <v>2048</v>
      </c>
      <c r="H207" s="1073"/>
      <c r="I207" s="1073"/>
      <c r="J207" s="1073"/>
      <c r="K207" s="1073"/>
      <c r="L207" s="153" t="str">
        <f t="shared" si="0"/>
        <v>4705</v>
      </c>
      <c r="M207" s="154" t="str">
        <f t="shared" si="1"/>
        <v>VTE - PIECE/ACC B.R. INTERNE VW</v>
      </c>
      <c r="N207" s="155">
        <f>+IF(OR($Q207=Parametres!$G$2,$Q207=Parametres!$G$3),I207,C207)</f>
        <v>0</v>
      </c>
      <c r="O207" s="155">
        <f>+IF(OR($Q207=Parametres!$G$2,$Q207=Parametres!$G$3),J207,D207)</f>
        <v>-32156.7</v>
      </c>
      <c r="P207" s="155">
        <f>+IF(OR($Q207=Parametres!$G$2,$Q207=Parametres!$G$3),K207,E207)</f>
        <v>-32156.7</v>
      </c>
      <c r="Q207" s="154" t="str">
        <f t="shared" si="14"/>
        <v>5-Ventes</v>
      </c>
      <c r="R207" s="153" t="str">
        <f t="shared" si="14"/>
        <v>4705</v>
      </c>
      <c r="S207" s="154">
        <f t="shared" si="14"/>
        <v>0</v>
      </c>
      <c r="T207" s="156" t="str">
        <f>+VLOOKUP($L207,Data_Validation!$A:$D,1,0)</f>
        <v>4705</v>
      </c>
      <c r="U207" s="156" t="str">
        <f>+VLOOKUP($L207,Data_Validation!$A:$D,3,0)</f>
        <v>Pièces</v>
      </c>
      <c r="V207" s="156" t="str">
        <f>+VLOOKUP($L207,Data_Validation!$A:$D,4,0)</f>
        <v>Ventes Internes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72" t="s">
        <v>2542</v>
      </c>
      <c r="B208" s="1072" t="s">
        <v>2543</v>
      </c>
      <c r="C208" s="1073"/>
      <c r="D208" s="1073"/>
      <c r="E208" s="1073"/>
      <c r="F208" s="1072" t="s">
        <v>4</v>
      </c>
      <c r="G208" s="1072" t="s">
        <v>2048</v>
      </c>
      <c r="H208" s="1073"/>
      <c r="I208" s="1074">
        <v>0</v>
      </c>
      <c r="J208" s="1074">
        <v>-250</v>
      </c>
      <c r="K208" s="1074">
        <v>-250</v>
      </c>
      <c r="L208" s="153" t="str">
        <f t="shared" si="0"/>
        <v>4705@</v>
      </c>
      <c r="M208" s="154" t="str">
        <f t="shared" si="1"/>
        <v>PIECES-BON REPARATION - INTERN</v>
      </c>
      <c r="N208" s="155">
        <f>+IF(OR($Q208=Parametres!$G$2,$Q208=Parametres!$G$3),I208,C208)</f>
        <v>0</v>
      </c>
      <c r="O208" s="155">
        <f>+IF(OR($Q208=Parametres!$G$2,$Q208=Parametres!$G$3),J208,D208)</f>
        <v>-250</v>
      </c>
      <c r="P208" s="155">
        <f>+IF(OR($Q208=Parametres!$G$2,$Q208=Parametres!$G$3),K208,E208)</f>
        <v>-250</v>
      </c>
      <c r="Q208" s="154" t="str">
        <f t="shared" si="14"/>
        <v>10-Compte compteur</v>
      </c>
      <c r="R208" s="153" t="str">
        <f t="shared" si="14"/>
        <v>4705</v>
      </c>
      <c r="S208" s="154">
        <f t="shared" si="14"/>
        <v>0</v>
      </c>
      <c r="T208" s="156" t="str">
        <f>+VLOOKUP($L208,Data_Validation!$A:$D,1,0)</f>
        <v>4705@</v>
      </c>
      <c r="U208" s="156" t="str">
        <f>+VLOOKUP($L208,Data_Validation!$A:$D,3,0)</f>
        <v>Pièces</v>
      </c>
      <c r="V208" s="156" t="str">
        <f>+VLOOKUP($L208,Data_Validation!$A:$D,4,0)</f>
        <v>Ventes Internes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72" t="s">
        <v>2114</v>
      </c>
      <c r="B209" s="1072" t="s">
        <v>2115</v>
      </c>
      <c r="C209" s="1074">
        <v>0</v>
      </c>
      <c r="D209" s="1074">
        <v>-2614.0700000000002</v>
      </c>
      <c r="E209" s="1074">
        <v>-2614.0700000000002</v>
      </c>
      <c r="F209" s="1072" t="s">
        <v>285</v>
      </c>
      <c r="G209" s="1072" t="s">
        <v>335</v>
      </c>
      <c r="H209" s="1073"/>
      <c r="I209" s="1073"/>
      <c r="J209" s="1073"/>
      <c r="K209" s="1073"/>
      <c r="L209" s="153" t="str">
        <f t="shared" si="0"/>
        <v>4711</v>
      </c>
      <c r="M209" s="154" t="str">
        <f t="shared" si="1"/>
        <v>VTE - AUTRE PIECE/ACC/CARR B.R. CLIENT</v>
      </c>
      <c r="N209" s="155">
        <f>+IF(OR($Q209=Parametres!$G$2,$Q209=Parametres!$G$3),I209,C209)</f>
        <v>0</v>
      </c>
      <c r="O209" s="155">
        <f>+IF(OR($Q209=Parametres!$G$2,$Q209=Parametres!$G$3),J209,D209)</f>
        <v>-2614.0700000000002</v>
      </c>
      <c r="P209" s="155">
        <f>+IF(OR($Q209=Parametres!$G$2,$Q209=Parametres!$G$3),K209,E209)</f>
        <v>-2614.0700000000002</v>
      </c>
      <c r="Q209" s="154" t="str">
        <f t="shared" si="14"/>
        <v>5-Ventes</v>
      </c>
      <c r="R209" s="153" t="str">
        <f t="shared" si="14"/>
        <v>84711</v>
      </c>
      <c r="S209" s="154">
        <f t="shared" si="14"/>
        <v>0</v>
      </c>
      <c r="T209" s="156" t="str">
        <f>+VLOOKUP($L209,Data_Validation!$A:$D,1,0)</f>
        <v>4711</v>
      </c>
      <c r="U209" s="156" t="str">
        <f>+VLOOKUP($L209,Data_Validation!$A:$D,3,0)</f>
        <v>Pièces</v>
      </c>
      <c r="V209" s="156" t="str">
        <f>+VLOOKUP($L209,Data_Validation!$A:$D,4,0)</f>
        <v>Pièces Ro Clients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72" t="s">
        <v>2544</v>
      </c>
      <c r="B210" s="1072" t="s">
        <v>2545</v>
      </c>
      <c r="C210" s="1073"/>
      <c r="D210" s="1073"/>
      <c r="E210" s="1073"/>
      <c r="F210" s="1072" t="s">
        <v>4</v>
      </c>
      <c r="G210" s="1072" t="s">
        <v>335</v>
      </c>
      <c r="H210" s="1073"/>
      <c r="I210" s="1074">
        <v>0</v>
      </c>
      <c r="J210" s="1074">
        <v>-47</v>
      </c>
      <c r="K210" s="1074">
        <v>-47</v>
      </c>
      <c r="L210" s="153" t="str">
        <f t="shared" si="0"/>
        <v>4711@</v>
      </c>
      <c r="M210" s="154" t="str">
        <f t="shared" si="1"/>
        <v># DE VTE - P&amp;A B.T. CLIENT AUDI</v>
      </c>
      <c r="N210" s="155">
        <f>+IF(OR($Q210=Parametres!$G$2,$Q210=Parametres!$G$3),I210,C210)</f>
        <v>0</v>
      </c>
      <c r="O210" s="155">
        <f>+IF(OR($Q210=Parametres!$G$2,$Q210=Parametres!$G$3),J210,D210)</f>
        <v>-47</v>
      </c>
      <c r="P210" s="155">
        <f>+IF(OR($Q210=Parametres!$G$2,$Q210=Parametres!$G$3),K210,E210)</f>
        <v>-47</v>
      </c>
      <c r="Q210" s="154" t="str">
        <f t="shared" ref="Q210:S225" si="15">+F210</f>
        <v>10-Compte compteur</v>
      </c>
      <c r="R210" s="153" t="str">
        <f t="shared" si="15"/>
        <v>84711</v>
      </c>
      <c r="S210" s="154">
        <f t="shared" si="15"/>
        <v>0</v>
      </c>
      <c r="T210" s="156" t="str">
        <f>+VLOOKUP($L210,Data_Validation!$A:$D,1,0)</f>
        <v>4711@</v>
      </c>
      <c r="U210" s="156" t="str">
        <f>+VLOOKUP($L210,Data_Validation!$A:$D,3,0)</f>
        <v>Pièces</v>
      </c>
      <c r="V210" s="156" t="str">
        <f>+VLOOKUP($L210,Data_Validation!$A:$D,4,0)</f>
        <v>Pièces Ro Clients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072" t="s">
        <v>2114</v>
      </c>
      <c r="B211" s="1072" t="s">
        <v>2445</v>
      </c>
      <c r="C211" s="1074">
        <v>0</v>
      </c>
      <c r="D211" s="1074">
        <v>-8205.5400000000009</v>
      </c>
      <c r="E211" s="1074">
        <v>-8205.5400000000009</v>
      </c>
      <c r="F211" s="1072" t="s">
        <v>285</v>
      </c>
      <c r="G211" s="1072" t="s">
        <v>2445</v>
      </c>
      <c r="H211" s="1073"/>
      <c r="I211" s="1073"/>
      <c r="J211" s="1073"/>
      <c r="K211" s="1073"/>
      <c r="L211" s="153" t="str">
        <f t="shared" si="0"/>
        <v>4721</v>
      </c>
      <c r="M211" s="154" t="str">
        <f t="shared" si="1"/>
        <v>VTE - AUTRE PIECE/ACC/CARR B.R. CLIENT</v>
      </c>
      <c r="N211" s="155">
        <f>+IF(OR($Q211=Parametres!$G$2,$Q211=Parametres!$G$3),I211,C211)</f>
        <v>0</v>
      </c>
      <c r="O211" s="155">
        <f>+IF(OR($Q211=Parametres!$G$2,$Q211=Parametres!$G$3),J211,D211)</f>
        <v>-8205.5400000000009</v>
      </c>
      <c r="P211" s="155">
        <f>+IF(OR($Q211=Parametres!$G$2,$Q211=Parametres!$G$3),K211,E211)</f>
        <v>-8205.5400000000009</v>
      </c>
      <c r="Q211" s="154" t="str">
        <f t="shared" si="15"/>
        <v>5-Ventes</v>
      </c>
      <c r="R211" s="153" t="str">
        <f t="shared" si="15"/>
        <v>4721</v>
      </c>
      <c r="S211" s="154">
        <f t="shared" si="15"/>
        <v>0</v>
      </c>
      <c r="T211" s="156" t="str">
        <f>+VLOOKUP($L211,Data_Validation!$A:$D,1,0)</f>
        <v>4721</v>
      </c>
      <c r="U211" s="156" t="str">
        <f>+VLOOKUP($L211,Data_Validation!$A:$D,3,0)</f>
        <v>Pièces</v>
      </c>
      <c r="V211" s="156" t="str">
        <f>+VLOOKUP($L211,Data_Validation!$A:$D,4,0)</f>
        <v>Pièces Ro Clients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072" t="s">
        <v>2546</v>
      </c>
      <c r="B212" s="1072" t="s">
        <v>2547</v>
      </c>
      <c r="C212" s="1073"/>
      <c r="D212" s="1073"/>
      <c r="E212" s="1073"/>
      <c r="F212" s="1072" t="s">
        <v>4</v>
      </c>
      <c r="G212" s="1072" t="s">
        <v>2445</v>
      </c>
      <c r="H212" s="1073"/>
      <c r="I212" s="1074">
        <v>0</v>
      </c>
      <c r="J212" s="1074">
        <v>-37</v>
      </c>
      <c r="K212" s="1074">
        <v>-37</v>
      </c>
      <c r="L212" s="153" t="str">
        <f t="shared" si="0"/>
        <v>4721@</v>
      </c>
      <c r="M212" s="154" t="str">
        <f t="shared" si="1"/>
        <v>AUTRES PIECES&amp;ACCESSOIRE</v>
      </c>
      <c r="N212" s="155">
        <f>+IF(OR($Q212=Parametres!$G$2,$Q212=Parametres!$G$3),I212,C212)</f>
        <v>0</v>
      </c>
      <c r="O212" s="155">
        <f>+IF(OR($Q212=Parametres!$G$2,$Q212=Parametres!$G$3),J212,D212)</f>
        <v>-37</v>
      </c>
      <c r="P212" s="155">
        <f>+IF(OR($Q212=Parametres!$G$2,$Q212=Parametres!$G$3),K212,E212)</f>
        <v>-37</v>
      </c>
      <c r="Q212" s="154" t="str">
        <f t="shared" si="15"/>
        <v>10-Compte compteur</v>
      </c>
      <c r="R212" s="153" t="str">
        <f t="shared" si="15"/>
        <v>4721</v>
      </c>
      <c r="S212" s="154">
        <f t="shared" si="15"/>
        <v>0</v>
      </c>
      <c r="T212" s="156" t="str">
        <f>+VLOOKUP($L212,Data_Validation!$A:$D,1,0)</f>
        <v>4721@</v>
      </c>
      <c r="U212" s="156" t="str">
        <f>+VLOOKUP($L212,Data_Validation!$A:$D,3,0)</f>
        <v>Pièces</v>
      </c>
      <c r="V212" s="156" t="str">
        <f>+VLOOKUP($L212,Data_Validation!$A:$D,4,0)</f>
        <v>Pièces Ro Clients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072" t="s">
        <v>2107</v>
      </c>
      <c r="B213" s="1072" t="s">
        <v>2108</v>
      </c>
      <c r="C213" s="1074">
        <v>0</v>
      </c>
      <c r="D213" s="1074">
        <v>-28949.81</v>
      </c>
      <c r="E213" s="1074">
        <v>-28949.81</v>
      </c>
      <c r="F213" s="1072" t="s">
        <v>285</v>
      </c>
      <c r="G213" s="1072" t="s">
        <v>2108</v>
      </c>
      <c r="H213" s="1073"/>
      <c r="I213" s="1073"/>
      <c r="J213" s="1073"/>
      <c r="K213" s="1073"/>
      <c r="L213" s="153" t="str">
        <f t="shared" si="0"/>
        <v>4731</v>
      </c>
      <c r="M213" s="154" t="str">
        <f t="shared" si="1"/>
        <v>VTE - PIECES-BON REPAR.-PEINT/DEBOS</v>
      </c>
      <c r="N213" s="155">
        <f>+IF(OR($Q213=Parametres!$G$2,$Q213=Parametres!$G$3),I213,C213)</f>
        <v>0</v>
      </c>
      <c r="O213" s="155">
        <f>+IF(OR($Q213=Parametres!$G$2,$Q213=Parametres!$G$3),J213,D213)</f>
        <v>-28949.81</v>
      </c>
      <c r="P213" s="155">
        <f>+IF(OR($Q213=Parametres!$G$2,$Q213=Parametres!$G$3),K213,E213)</f>
        <v>-28949.81</v>
      </c>
      <c r="Q213" s="154" t="str">
        <f t="shared" si="15"/>
        <v>5-Ventes</v>
      </c>
      <c r="R213" s="153" t="str">
        <f t="shared" si="15"/>
        <v>4731</v>
      </c>
      <c r="S213" s="154">
        <f t="shared" si="15"/>
        <v>0</v>
      </c>
      <c r="T213" s="156" t="str">
        <f>+VLOOKUP($L213,Data_Validation!$A:$D,1,0)</f>
        <v>4731</v>
      </c>
      <c r="U213" s="156" t="str">
        <f>+VLOOKUP($L213,Data_Validation!$A:$D,3,0)</f>
        <v>Pièces</v>
      </c>
      <c r="V213" s="156" t="str">
        <f>+VLOOKUP($L213,Data_Validation!$A:$D,4,0)</f>
        <v>Pièces Ro Carrosserie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072" t="s">
        <v>2548</v>
      </c>
      <c r="B214" s="1072" t="s">
        <v>2549</v>
      </c>
      <c r="C214" s="1073"/>
      <c r="D214" s="1073"/>
      <c r="E214" s="1073"/>
      <c r="F214" s="1072" t="s">
        <v>4</v>
      </c>
      <c r="G214" s="1072" t="s">
        <v>2108</v>
      </c>
      <c r="H214" s="1073"/>
      <c r="I214" s="1074">
        <v>0</v>
      </c>
      <c r="J214" s="1074">
        <v>-26</v>
      </c>
      <c r="K214" s="1074">
        <v>-26</v>
      </c>
      <c r="L214" s="153" t="str">
        <f t="shared" si="0"/>
        <v>4731@</v>
      </c>
      <c r="M214" s="154" t="str">
        <f t="shared" si="1"/>
        <v>PIECES-BON REPAR. PEINT/DEBOS</v>
      </c>
      <c r="N214" s="155">
        <f>+IF(OR($Q214=Parametres!$G$2,$Q214=Parametres!$G$3),I214,C214)</f>
        <v>0</v>
      </c>
      <c r="O214" s="155">
        <f>+IF(OR($Q214=Parametres!$G$2,$Q214=Parametres!$G$3),J214,D214)</f>
        <v>-26</v>
      </c>
      <c r="P214" s="155">
        <f>+IF(OR($Q214=Parametres!$G$2,$Q214=Parametres!$G$3),K214,E214)</f>
        <v>-26</v>
      </c>
      <c r="Q214" s="154" t="str">
        <f t="shared" si="15"/>
        <v>10-Compte compteur</v>
      </c>
      <c r="R214" s="153" t="str">
        <f t="shared" si="15"/>
        <v>4731</v>
      </c>
      <c r="S214" s="154">
        <f t="shared" si="15"/>
        <v>0</v>
      </c>
      <c r="T214" s="156" t="str">
        <f>+VLOOKUP($L214,Data_Validation!$A:$D,1,0)</f>
        <v>4731@</v>
      </c>
      <c r="U214" s="156" t="str">
        <f>+VLOOKUP($L214,Data_Validation!$A:$D,3,0)</f>
        <v>Pièces</v>
      </c>
      <c r="V214" s="156" t="str">
        <f>+VLOOKUP($L214,Data_Validation!$A:$D,4,0)</f>
        <v>Pièces Ro Carrosserie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072" t="s">
        <v>2090</v>
      </c>
      <c r="B215" s="1072" t="s">
        <v>2091</v>
      </c>
      <c r="C215" s="1074">
        <v>0</v>
      </c>
      <c r="D215" s="1074">
        <v>-41497.22</v>
      </c>
      <c r="E215" s="1074">
        <v>-41497.22</v>
      </c>
      <c r="F215" s="1072" t="s">
        <v>285</v>
      </c>
      <c r="G215" s="1072" t="s">
        <v>2091</v>
      </c>
      <c r="H215" s="1073"/>
      <c r="I215" s="1073"/>
      <c r="J215" s="1073"/>
      <c r="K215" s="1073"/>
      <c r="L215" s="153" t="str">
        <f t="shared" si="0"/>
        <v>4733</v>
      </c>
      <c r="M215" s="154" t="str">
        <f t="shared" si="1"/>
        <v>VTE - P&amp;A B.T. GARANTIE CAR.</v>
      </c>
      <c r="N215" s="155">
        <f>+IF(OR($Q215=Parametres!$G$2,$Q215=Parametres!$G$3),I215,C215)</f>
        <v>0</v>
      </c>
      <c r="O215" s="155">
        <f>+IF(OR($Q215=Parametres!$G$2,$Q215=Parametres!$G$3),J215,D215)</f>
        <v>-41497.22</v>
      </c>
      <c r="P215" s="155">
        <f>+IF(OR($Q215=Parametres!$G$2,$Q215=Parametres!$G$3),K215,E215)</f>
        <v>-41497.22</v>
      </c>
      <c r="Q215" s="154" t="str">
        <f t="shared" si="15"/>
        <v>5-Ventes</v>
      </c>
      <c r="R215" s="153" t="str">
        <f t="shared" si="15"/>
        <v>4733</v>
      </c>
      <c r="S215" s="154">
        <f t="shared" si="15"/>
        <v>0</v>
      </c>
      <c r="T215" s="156" t="str">
        <f>+VLOOKUP($L215,Data_Validation!$A:$D,1,0)</f>
        <v>4733</v>
      </c>
      <c r="U215" s="156" t="str">
        <f>+VLOOKUP($L215,Data_Validation!$A:$D,3,0)</f>
        <v>Pièces</v>
      </c>
      <c r="V215" s="156" t="str">
        <f>+VLOOKUP($L215,Data_Validation!$A:$D,4,0)</f>
        <v>Pièces Ro Carrosserie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72" t="s">
        <v>2550</v>
      </c>
      <c r="B216" s="1072" t="s">
        <v>2551</v>
      </c>
      <c r="C216" s="1073"/>
      <c r="D216" s="1073"/>
      <c r="E216" s="1073"/>
      <c r="F216" s="1072" t="s">
        <v>4</v>
      </c>
      <c r="G216" s="1072" t="s">
        <v>2091</v>
      </c>
      <c r="H216" s="1073"/>
      <c r="I216" s="1074">
        <v>0</v>
      </c>
      <c r="J216" s="1074">
        <v>-18</v>
      </c>
      <c r="K216" s="1074">
        <v>-18</v>
      </c>
      <c r="L216" s="153" t="str">
        <f t="shared" si="0"/>
        <v>4733@</v>
      </c>
      <c r="M216" s="154" t="str">
        <f t="shared" si="1"/>
        <v># DE VTE - P&amp;A B.T. GARANTIE CARR.</v>
      </c>
      <c r="N216" s="155">
        <f>+IF(OR($Q216=Parametres!$G$2,$Q216=Parametres!$G$3),I216,C216)</f>
        <v>0</v>
      </c>
      <c r="O216" s="155">
        <f>+IF(OR($Q216=Parametres!$G$2,$Q216=Parametres!$G$3),J216,D216)</f>
        <v>-18</v>
      </c>
      <c r="P216" s="155">
        <f>+IF(OR($Q216=Parametres!$G$2,$Q216=Parametres!$G$3),K216,E216)</f>
        <v>-18</v>
      </c>
      <c r="Q216" s="154" t="str">
        <f t="shared" si="15"/>
        <v>10-Compte compteur</v>
      </c>
      <c r="R216" s="153" t="str">
        <f t="shared" si="15"/>
        <v>4733</v>
      </c>
      <c r="S216" s="154">
        <f t="shared" si="15"/>
        <v>0</v>
      </c>
      <c r="T216" s="156" t="str">
        <f>+VLOOKUP($L216,Data_Validation!$A:$D,1,0)</f>
        <v>4733@</v>
      </c>
      <c r="U216" s="156" t="str">
        <f>+VLOOKUP($L216,Data_Validation!$A:$D,3,0)</f>
        <v>Pièces</v>
      </c>
      <c r="V216" s="156" t="str">
        <f>+VLOOKUP($L216,Data_Validation!$A:$D,4,0)</f>
        <v>Pièces Ro Carrosserie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72" t="s">
        <v>2165</v>
      </c>
      <c r="B217" s="1072" t="s">
        <v>2166</v>
      </c>
      <c r="C217" s="1074">
        <v>0</v>
      </c>
      <c r="D217" s="1074">
        <v>-132.86000000000001</v>
      </c>
      <c r="E217" s="1074">
        <v>-132.86000000000001</v>
      </c>
      <c r="F217" s="1072" t="s">
        <v>285</v>
      </c>
      <c r="G217" s="1072" t="s">
        <v>2166</v>
      </c>
      <c r="H217" s="1073"/>
      <c r="I217" s="1073"/>
      <c r="J217" s="1073"/>
      <c r="K217" s="1073"/>
      <c r="L217" s="153" t="str">
        <f t="shared" si="0"/>
        <v>4735</v>
      </c>
      <c r="M217" s="154" t="str">
        <f t="shared" si="1"/>
        <v>VTE - P&amp;A B.T. INTERNE CARROS.</v>
      </c>
      <c r="N217" s="155">
        <f>+IF(OR($Q217=Parametres!$G$2,$Q217=Parametres!$G$3),I217,C217)</f>
        <v>0</v>
      </c>
      <c r="O217" s="155">
        <f>+IF(OR($Q217=Parametres!$G$2,$Q217=Parametres!$G$3),J217,D217)</f>
        <v>-132.86000000000001</v>
      </c>
      <c r="P217" s="155">
        <f>+IF(OR($Q217=Parametres!$G$2,$Q217=Parametres!$G$3),K217,E217)</f>
        <v>-132.86000000000001</v>
      </c>
      <c r="Q217" s="154" t="str">
        <f t="shared" si="15"/>
        <v>5-Ventes</v>
      </c>
      <c r="R217" s="153" t="str">
        <f t="shared" si="15"/>
        <v>4735</v>
      </c>
      <c r="S217" s="154">
        <f t="shared" si="15"/>
        <v>0</v>
      </c>
      <c r="T217" s="156" t="str">
        <f>+VLOOKUP($L217,Data_Validation!$A:$D,1,0)</f>
        <v>4735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72" t="s">
        <v>2552</v>
      </c>
      <c r="B218" s="1072" t="s">
        <v>2553</v>
      </c>
      <c r="C218" s="1073"/>
      <c r="D218" s="1073"/>
      <c r="E218" s="1073"/>
      <c r="F218" s="1072" t="s">
        <v>4</v>
      </c>
      <c r="G218" s="1072" t="s">
        <v>2166</v>
      </c>
      <c r="H218" s="1073"/>
      <c r="I218" s="1074">
        <v>0</v>
      </c>
      <c r="J218" s="1074">
        <v>-1</v>
      </c>
      <c r="K218" s="1074">
        <v>-1</v>
      </c>
      <c r="L218" s="153" t="str">
        <f t="shared" si="0"/>
        <v>4735@</v>
      </c>
      <c r="M218" s="154" t="str">
        <f t="shared" si="1"/>
        <v># DE VTE - P&amp;A B.T. INTERNE CARROS.</v>
      </c>
      <c r="N218" s="155">
        <f>+IF(OR($Q218=Parametres!$G$2,$Q218=Parametres!$G$3),I218,C218)</f>
        <v>0</v>
      </c>
      <c r="O218" s="155">
        <f>+IF(OR($Q218=Parametres!$G$2,$Q218=Parametres!$G$3),J218,D218)</f>
        <v>-1</v>
      </c>
      <c r="P218" s="155">
        <f>+IF(OR($Q218=Parametres!$G$2,$Q218=Parametres!$G$3),K218,E218)</f>
        <v>-1</v>
      </c>
      <c r="Q218" s="154" t="str">
        <f t="shared" si="15"/>
        <v>10-Compte compteur</v>
      </c>
      <c r="R218" s="153" t="str">
        <f t="shared" si="15"/>
        <v>4735</v>
      </c>
      <c r="S218" s="154">
        <f t="shared" si="15"/>
        <v>0</v>
      </c>
      <c r="T218" s="156" t="str">
        <f>+VLOOKUP($L218,Data_Validation!$A:$D,1,0)</f>
        <v>4735@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72" t="s">
        <v>2082</v>
      </c>
      <c r="B219" s="1072" t="s">
        <v>2083</v>
      </c>
      <c r="C219" s="1074">
        <v>0</v>
      </c>
      <c r="D219" s="1074">
        <v>-9615.7000000000007</v>
      </c>
      <c r="E219" s="1074">
        <v>-9615.7000000000007</v>
      </c>
      <c r="F219" s="1072" t="s">
        <v>285</v>
      </c>
      <c r="G219" s="1072" t="s">
        <v>2083</v>
      </c>
      <c r="H219" s="1073"/>
      <c r="I219" s="1073"/>
      <c r="J219" s="1073"/>
      <c r="K219" s="1073"/>
      <c r="L219" s="153" t="str">
        <f t="shared" si="0"/>
        <v>4761</v>
      </c>
      <c r="M219" s="154" t="str">
        <f t="shared" si="1"/>
        <v>VTE - P&amp;A VW COMPTOIR - DETAIL</v>
      </c>
      <c r="N219" s="155">
        <f>+IF(OR($Q219=Parametres!$G$2,$Q219=Parametres!$G$3),I219,C219)</f>
        <v>0</v>
      </c>
      <c r="O219" s="155">
        <f>+IF(OR($Q219=Parametres!$G$2,$Q219=Parametres!$G$3),J219,D219)</f>
        <v>-9615.7000000000007</v>
      </c>
      <c r="P219" s="155">
        <f>+IF(OR($Q219=Parametres!$G$2,$Q219=Parametres!$G$3),K219,E219)</f>
        <v>-9615.7000000000007</v>
      </c>
      <c r="Q219" s="154" t="str">
        <f t="shared" si="15"/>
        <v>5-Ventes</v>
      </c>
      <c r="R219" s="153" t="str">
        <f t="shared" si="15"/>
        <v>4761</v>
      </c>
      <c r="S219" s="154">
        <f t="shared" si="15"/>
        <v>0</v>
      </c>
      <c r="T219" s="156" t="str">
        <f>+VLOOKUP($L219,Data_Validation!$A:$D,1,0)</f>
        <v>4761</v>
      </c>
      <c r="U219" s="156" t="str">
        <f>+VLOOKUP($L219,Data_Validation!$A:$D,3,0)</f>
        <v>Pièces</v>
      </c>
      <c r="V219" s="156" t="str">
        <f>+VLOOKUP($L219,Data_Validation!$A:$D,4,0)</f>
        <v>Ventes Détails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72" t="s">
        <v>2554</v>
      </c>
      <c r="B220" s="1072" t="s">
        <v>2555</v>
      </c>
      <c r="C220" s="1073"/>
      <c r="D220" s="1073"/>
      <c r="E220" s="1073"/>
      <c r="F220" s="1072" t="s">
        <v>4</v>
      </c>
      <c r="G220" s="1072" t="s">
        <v>2083</v>
      </c>
      <c r="H220" s="1073"/>
      <c r="I220" s="1074">
        <v>0</v>
      </c>
      <c r="J220" s="1074">
        <v>-195</v>
      </c>
      <c r="K220" s="1074">
        <v>-195</v>
      </c>
      <c r="L220" s="153" t="str">
        <f t="shared" si="0"/>
        <v>4761@</v>
      </c>
      <c r="M220" s="154" t="str">
        <f t="shared" si="1"/>
        <v>PIECES-COMPTOIR-DETAIL</v>
      </c>
      <c r="N220" s="155">
        <f>+IF(OR($Q220=Parametres!$G$2,$Q220=Parametres!$G$3),I220,C220)</f>
        <v>0</v>
      </c>
      <c r="O220" s="155">
        <f>+IF(OR($Q220=Parametres!$G$2,$Q220=Parametres!$G$3),J220,D220)</f>
        <v>-195</v>
      </c>
      <c r="P220" s="155">
        <f>+IF(OR($Q220=Parametres!$G$2,$Q220=Parametres!$G$3),K220,E220)</f>
        <v>-195</v>
      </c>
      <c r="Q220" s="154" t="str">
        <f t="shared" si="15"/>
        <v>10-Compte compteur</v>
      </c>
      <c r="R220" s="153" t="str">
        <f t="shared" si="15"/>
        <v>4761</v>
      </c>
      <c r="S220" s="154">
        <f t="shared" si="15"/>
        <v>0</v>
      </c>
      <c r="T220" s="156" t="str">
        <f>+VLOOKUP($L220,Data_Validation!$A:$D,1,0)</f>
        <v>4761@</v>
      </c>
      <c r="U220" s="156" t="str">
        <f>+VLOOKUP($L220,Data_Validation!$A:$D,3,0)</f>
        <v>Pièces</v>
      </c>
      <c r="V220" s="156" t="str">
        <f>+VLOOKUP($L220,Data_Validation!$A:$D,4,0)</f>
        <v>Ventes Détails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72" t="s">
        <v>2045</v>
      </c>
      <c r="B221" s="1072" t="s">
        <v>2046</v>
      </c>
      <c r="C221" s="1074">
        <v>0</v>
      </c>
      <c r="D221" s="1074">
        <v>-53442.19</v>
      </c>
      <c r="E221" s="1074">
        <v>-53442.19</v>
      </c>
      <c r="F221" s="1072" t="s">
        <v>285</v>
      </c>
      <c r="G221" s="1072" t="s">
        <v>2046</v>
      </c>
      <c r="H221" s="1073"/>
      <c r="I221" s="1073"/>
      <c r="J221" s="1073"/>
      <c r="K221" s="1073"/>
      <c r="L221" s="153" t="str">
        <f t="shared" si="0"/>
        <v>4763</v>
      </c>
      <c r="M221" s="154" t="str">
        <f t="shared" si="1"/>
        <v>VTE - P&amp;A VW COMPTOIR GROS - ECHANGE</v>
      </c>
      <c r="N221" s="155">
        <f>+IF(OR($Q221=Parametres!$G$2,$Q221=Parametres!$G$3),I221,C221)</f>
        <v>0</v>
      </c>
      <c r="O221" s="155">
        <f>+IF(OR($Q221=Parametres!$G$2,$Q221=Parametres!$G$3),J221,D221)</f>
        <v>-53442.19</v>
      </c>
      <c r="P221" s="155">
        <f>+IF(OR($Q221=Parametres!$G$2,$Q221=Parametres!$G$3),K221,E221)</f>
        <v>-53442.19</v>
      </c>
      <c r="Q221" s="154" t="str">
        <f t="shared" si="15"/>
        <v>5-Ventes</v>
      </c>
      <c r="R221" s="153" t="str">
        <f t="shared" si="15"/>
        <v>4763</v>
      </c>
      <c r="S221" s="154">
        <f t="shared" si="15"/>
        <v>0</v>
      </c>
      <c r="T221" s="156" t="str">
        <f>+VLOOKUP($L221,Data_Validation!$A:$D,1,0)</f>
        <v>4763</v>
      </c>
      <c r="U221" s="156" t="str">
        <f>+VLOOKUP($L221,Data_Validation!$A:$D,3,0)</f>
        <v>Pièces</v>
      </c>
      <c r="V221" s="156" t="str">
        <f>+VLOOKUP($L221,Data_Validation!$A:$D,4,0)</f>
        <v>Ventes de Gros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72" t="s">
        <v>2556</v>
      </c>
      <c r="B222" s="1072" t="s">
        <v>2557</v>
      </c>
      <c r="C222" s="1073"/>
      <c r="D222" s="1073"/>
      <c r="E222" s="1073"/>
      <c r="F222" s="1072" t="s">
        <v>4</v>
      </c>
      <c r="G222" s="1072" t="s">
        <v>2046</v>
      </c>
      <c r="H222" s="1073"/>
      <c r="I222" s="1074">
        <v>0</v>
      </c>
      <c r="J222" s="1074">
        <v>-191</v>
      </c>
      <c r="K222" s="1074">
        <v>-191</v>
      </c>
      <c r="L222" s="153" t="str">
        <f t="shared" si="0"/>
        <v>4763@</v>
      </c>
      <c r="M222" s="154" t="str">
        <f t="shared" si="1"/>
        <v>PIECES-COMPTOIR-COMM. GROS</v>
      </c>
      <c r="N222" s="155">
        <f>+IF(OR($Q222=Parametres!$G$2,$Q222=Parametres!$G$3),I222,C222)</f>
        <v>0</v>
      </c>
      <c r="O222" s="155">
        <f>+IF(OR($Q222=Parametres!$G$2,$Q222=Parametres!$G$3),J222,D222)</f>
        <v>-191</v>
      </c>
      <c r="P222" s="155">
        <f>+IF(OR($Q222=Parametres!$G$2,$Q222=Parametres!$G$3),K222,E222)</f>
        <v>-191</v>
      </c>
      <c r="Q222" s="154" t="str">
        <f t="shared" si="15"/>
        <v>10-Compte compteur</v>
      </c>
      <c r="R222" s="153" t="str">
        <f t="shared" si="15"/>
        <v>4763</v>
      </c>
      <c r="S222" s="154">
        <f t="shared" si="15"/>
        <v>0</v>
      </c>
      <c r="T222" s="156" t="str">
        <f>+VLOOKUP($L222,Data_Validation!$A:$D,1,0)</f>
        <v>4763@</v>
      </c>
      <c r="U222" s="156" t="str">
        <f>+VLOOKUP($L222,Data_Validation!$A:$D,3,0)</f>
        <v>Pièces</v>
      </c>
      <c r="V222" s="156" t="str">
        <f>+VLOOKUP($L222,Data_Validation!$A:$D,4,0)</f>
        <v>Ventes de Gros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72" t="s">
        <v>2034</v>
      </c>
      <c r="B223" s="1072" t="s">
        <v>2035</v>
      </c>
      <c r="C223" s="1074">
        <v>0</v>
      </c>
      <c r="D223" s="1074">
        <v>-44848.79</v>
      </c>
      <c r="E223" s="1074">
        <v>-44848.79</v>
      </c>
      <c r="F223" s="1072" t="s">
        <v>285</v>
      </c>
      <c r="G223" s="1072" t="s">
        <v>2035</v>
      </c>
      <c r="H223" s="1073"/>
      <c r="I223" s="1073"/>
      <c r="J223" s="1073"/>
      <c r="K223" s="1073"/>
      <c r="L223" s="153" t="str">
        <f t="shared" si="0"/>
        <v>4781</v>
      </c>
      <c r="M223" s="154" t="str">
        <f t="shared" si="1"/>
        <v>VENTES PNEUS</v>
      </c>
      <c r="N223" s="155">
        <f>+IF(OR($Q223=Parametres!$G$2,$Q223=Parametres!$G$3),I223,C223)</f>
        <v>0</v>
      </c>
      <c r="O223" s="155">
        <f>+IF(OR($Q223=Parametres!$G$2,$Q223=Parametres!$G$3),J223,D223)</f>
        <v>-44848.79</v>
      </c>
      <c r="P223" s="155">
        <f>+IF(OR($Q223=Parametres!$G$2,$Q223=Parametres!$G$3),K223,E223)</f>
        <v>-44848.79</v>
      </c>
      <c r="Q223" s="154" t="str">
        <f t="shared" si="15"/>
        <v>5-Ventes</v>
      </c>
      <c r="R223" s="153" t="str">
        <f t="shared" si="15"/>
        <v>4781</v>
      </c>
      <c r="S223" s="154">
        <f t="shared" si="15"/>
        <v>0</v>
      </c>
      <c r="T223" s="156" t="str">
        <f>+VLOOKUP($L223,Data_Validation!$A:$D,1,0)</f>
        <v>4781</v>
      </c>
      <c r="U223" s="156" t="str">
        <f>+VLOOKUP($L223,Data_Validation!$A:$D,3,0)</f>
        <v>Pièces</v>
      </c>
      <c r="V223" s="156" t="str">
        <f>+VLOOKUP($L223,Data_Validation!$A:$D,4,0)</f>
        <v>Ventes Pneus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72" t="s">
        <v>2034</v>
      </c>
      <c r="B224" s="1072" t="s">
        <v>2558</v>
      </c>
      <c r="C224" s="1073"/>
      <c r="D224" s="1073"/>
      <c r="E224" s="1073"/>
      <c r="F224" s="1072" t="s">
        <v>4</v>
      </c>
      <c r="G224" s="1072" t="s">
        <v>2035</v>
      </c>
      <c r="H224" s="1073"/>
      <c r="I224" s="1074">
        <v>0</v>
      </c>
      <c r="J224" s="1074">
        <v>-72</v>
      </c>
      <c r="K224" s="1074">
        <v>-72</v>
      </c>
      <c r="L224" s="153" t="str">
        <f t="shared" si="0"/>
        <v>4781@</v>
      </c>
      <c r="M224" s="154" t="str">
        <f t="shared" si="1"/>
        <v>VENTES PNEUS</v>
      </c>
      <c r="N224" s="155">
        <f>+IF(OR($Q224=Parametres!$G$2,$Q224=Parametres!$G$3),I224,C224)</f>
        <v>0</v>
      </c>
      <c r="O224" s="155">
        <f>+IF(OR($Q224=Parametres!$G$2,$Q224=Parametres!$G$3),J224,D224)</f>
        <v>-72</v>
      </c>
      <c r="P224" s="155">
        <f>+IF(OR($Q224=Parametres!$G$2,$Q224=Parametres!$G$3),K224,E224)</f>
        <v>-72</v>
      </c>
      <c r="Q224" s="154" t="str">
        <f t="shared" si="15"/>
        <v>10-Compte compteur</v>
      </c>
      <c r="R224" s="153" t="str">
        <f t="shared" si="15"/>
        <v>4781</v>
      </c>
      <c r="S224" s="154">
        <f t="shared" si="15"/>
        <v>0</v>
      </c>
      <c r="T224" s="156" t="str">
        <f>+VLOOKUP($L224,Data_Validation!$A:$D,1,0)</f>
        <v>4781@</v>
      </c>
      <c r="U224" s="156" t="str">
        <f>+VLOOKUP($L224,Data_Validation!$A:$D,3,0)</f>
        <v>Pièces</v>
      </c>
      <c r="V224" s="156" t="str">
        <f>+VLOOKUP($L224,Data_Validation!$A:$D,4,0)</f>
        <v>Ventes Pneus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72" t="s">
        <v>2120</v>
      </c>
      <c r="B225" s="1072" t="s">
        <v>2121</v>
      </c>
      <c r="C225" s="1074">
        <v>0</v>
      </c>
      <c r="D225" s="1074">
        <v>-119</v>
      </c>
      <c r="E225" s="1074">
        <v>-119</v>
      </c>
      <c r="F225" s="1072" t="s">
        <v>285</v>
      </c>
      <c r="G225" s="1072" t="s">
        <v>2035</v>
      </c>
      <c r="H225" s="1050"/>
      <c r="I225" s="1049"/>
      <c r="J225" s="1049"/>
      <c r="K225" s="1049"/>
      <c r="L225" s="153" t="str">
        <f t="shared" si="0"/>
        <v>4785</v>
      </c>
      <c r="M225" s="154" t="str">
        <f t="shared" si="1"/>
        <v>VTE - VW PNEUS</v>
      </c>
      <c r="N225" s="155">
        <f>+IF(OR($Q225=Parametres!$G$2,$Q225=Parametres!$G$3),I225,C225)</f>
        <v>0</v>
      </c>
      <c r="O225" s="155">
        <f>+IF(OR($Q225=Parametres!$G$2,$Q225=Parametres!$G$3),J225,D225)</f>
        <v>-119</v>
      </c>
      <c r="P225" s="155">
        <f>+IF(OR($Q225=Parametres!$G$2,$Q225=Parametres!$G$3),K225,E225)</f>
        <v>-119</v>
      </c>
      <c r="Q225" s="154" t="str">
        <f t="shared" si="15"/>
        <v>5-Ventes</v>
      </c>
      <c r="R225" s="153" t="str">
        <f t="shared" si="15"/>
        <v>4781</v>
      </c>
      <c r="S225" s="154">
        <f t="shared" si="15"/>
        <v>0</v>
      </c>
      <c r="T225" s="156" t="str">
        <f>+VLOOKUP($L225,Data_Validation!$A:$D,1,0)</f>
        <v>4785</v>
      </c>
      <c r="U225" s="156" t="str">
        <f>+VLOOKUP($L225,Data_Validation!$A:$D,3,0)</f>
        <v>Pièces</v>
      </c>
      <c r="V225" s="156" t="str">
        <f>+VLOOKUP($L225,Data_Validation!$A:$D,4,0)</f>
        <v>Ventes Pneus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72" t="s">
        <v>2446</v>
      </c>
      <c r="B226" s="1072" t="s">
        <v>2447</v>
      </c>
      <c r="C226" s="1074">
        <v>0</v>
      </c>
      <c r="D226" s="1074">
        <v>71584.149999999994</v>
      </c>
      <c r="E226" s="1074">
        <v>71584.149999999994</v>
      </c>
      <c r="F226" s="1072" t="s">
        <v>424</v>
      </c>
      <c r="G226" s="1072" t="s">
        <v>2432</v>
      </c>
      <c r="H226" s="1050"/>
      <c r="I226" s="1049"/>
      <c r="J226" s="1049"/>
      <c r="K226" s="1049"/>
      <c r="L226" s="153" t="str">
        <f t="shared" si="0"/>
        <v>5101</v>
      </c>
      <c r="M226" s="154" t="str">
        <f t="shared" si="1"/>
        <v>C/V - NEW BEETLE</v>
      </c>
      <c r="N226" s="155">
        <f>+IF(OR($Q226=Parametres!$G$2,$Q226=Parametres!$G$3),I226,C226)</f>
        <v>0</v>
      </c>
      <c r="O226" s="155">
        <f>+IF(OR($Q226=Parametres!$G$2,$Q226=Parametres!$G$3),J226,D226)</f>
        <v>71584.149999999994</v>
      </c>
      <c r="P226" s="155">
        <f>+IF(OR($Q226=Parametres!$G$2,$Q226=Parametres!$G$3),K226,E226)</f>
        <v>71584.149999999994</v>
      </c>
      <c r="Q226" s="154" t="str">
        <f t="shared" ref="Q226:S241" si="16">+F226</f>
        <v>6-Coût des ventes</v>
      </c>
      <c r="R226" s="153" t="str">
        <f t="shared" si="16"/>
        <v>4101</v>
      </c>
      <c r="S226" s="154">
        <f t="shared" si="16"/>
        <v>0</v>
      </c>
      <c r="T226" s="156" t="str">
        <f>+VLOOKUP($L226,Data_Validation!$A:$D,1,0)</f>
        <v>5101</v>
      </c>
      <c r="U226" s="156" t="str">
        <f>+VLOOKUP($L226,Data_Validation!$A:$D,3,0)</f>
        <v>Véhicules neufs</v>
      </c>
      <c r="V226" s="156" t="str">
        <f>+VLOOKUP($L226,Data_Validation!$A:$D,4,0)</f>
        <v>Autos détail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hidden="1" customHeight="1">
      <c r="A227" s="1072" t="s">
        <v>2842</v>
      </c>
      <c r="B227" s="1072" t="s">
        <v>2843</v>
      </c>
      <c r="C227" s="1074">
        <v>0</v>
      </c>
      <c r="D227" s="1074">
        <v>257909.73</v>
      </c>
      <c r="E227" s="1074">
        <v>257909.73</v>
      </c>
      <c r="F227" s="1072" t="s">
        <v>424</v>
      </c>
      <c r="G227" s="1072" t="s">
        <v>2019</v>
      </c>
      <c r="H227" s="1050"/>
      <c r="I227" s="1049"/>
      <c r="J227" s="1049"/>
      <c r="K227" s="1049"/>
      <c r="L227" s="153" t="str">
        <f t="shared" si="0"/>
        <v>5107</v>
      </c>
      <c r="M227" s="154" t="str">
        <f t="shared" si="1"/>
        <v>C/V - GOLF</v>
      </c>
      <c r="N227" s="155">
        <f>+IF(OR($Q227=Parametres!$G$2,$Q227=Parametres!$G$3),I227,C227)</f>
        <v>0</v>
      </c>
      <c r="O227" s="155">
        <f>+IF(OR($Q227=Parametres!$G$2,$Q227=Parametres!$G$3),J227,D227)</f>
        <v>257909.73</v>
      </c>
      <c r="P227" s="155">
        <f>+IF(OR($Q227=Parametres!$G$2,$Q227=Parametres!$G$3),K227,E227)</f>
        <v>257909.73</v>
      </c>
      <c r="Q227" s="154" t="str">
        <f t="shared" si="16"/>
        <v>6-Coût des ventes</v>
      </c>
      <c r="R227" s="153" t="str">
        <f t="shared" si="16"/>
        <v>4107</v>
      </c>
      <c r="S227" s="154">
        <f t="shared" si="16"/>
        <v>0</v>
      </c>
      <c r="T227" s="156" t="str">
        <f>+VLOOKUP($L227,Data_Validation!$A:$D,1,0)</f>
        <v>5107</v>
      </c>
      <c r="U227" s="156" t="str">
        <f>+VLOOKUP($L227,Data_Validation!$A:$D,3,0)</f>
        <v>Véhicules neufs</v>
      </c>
      <c r="V227" s="156" t="str">
        <f>+VLOOKUP($L227,Data_Validation!$A:$D,4,0)</f>
        <v>Autos détail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hidden="1" customHeight="1">
      <c r="A228" s="1072" t="s">
        <v>2450</v>
      </c>
      <c r="B228" s="1072" t="s">
        <v>2451</v>
      </c>
      <c r="C228" s="1074">
        <v>0</v>
      </c>
      <c r="D228" s="1074">
        <v>84908.91</v>
      </c>
      <c r="E228" s="1074">
        <v>84908.91</v>
      </c>
      <c r="F228" s="1072" t="s">
        <v>424</v>
      </c>
      <c r="G228" s="1072" t="s">
        <v>2436</v>
      </c>
      <c r="H228" s="1050"/>
      <c r="I228" s="1049"/>
      <c r="J228" s="1049"/>
      <c r="K228" s="1049"/>
      <c r="L228" s="153" t="str">
        <f t="shared" si="0"/>
        <v>5109</v>
      </c>
      <c r="M228" s="154" t="str">
        <f t="shared" si="1"/>
        <v>C/V - GOLF R</v>
      </c>
      <c r="N228" s="155">
        <f>+IF(OR($Q228=Parametres!$G$2,$Q228=Parametres!$G$3),I228,C228)</f>
        <v>0</v>
      </c>
      <c r="O228" s="155">
        <f>+IF(OR($Q228=Parametres!$G$2,$Q228=Parametres!$G$3),J228,D228)</f>
        <v>84908.91</v>
      </c>
      <c r="P228" s="155">
        <f>+IF(OR($Q228=Parametres!$G$2,$Q228=Parametres!$G$3),K228,E228)</f>
        <v>84908.91</v>
      </c>
      <c r="Q228" s="154" t="str">
        <f t="shared" si="16"/>
        <v>6-Coût des ventes</v>
      </c>
      <c r="R228" s="153" t="str">
        <f t="shared" si="16"/>
        <v>4109</v>
      </c>
      <c r="S228" s="154">
        <f t="shared" si="16"/>
        <v>0</v>
      </c>
      <c r="T228" s="156" t="str">
        <f>+VLOOKUP($L228,Data_Validation!$A:$D,1,0)</f>
        <v>5109</v>
      </c>
      <c r="U228" s="156" t="str">
        <f>+VLOOKUP($L228,Data_Validation!$A:$D,3,0)</f>
        <v>Véhicules neufs</v>
      </c>
      <c r="V228" s="156" t="str">
        <f>+VLOOKUP($L228,Data_Validation!$A:$D,4,0)</f>
        <v>Autos détail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hidden="1" customHeight="1">
      <c r="A229" s="1072" t="s">
        <v>2844</v>
      </c>
      <c r="B229" s="1072" t="s">
        <v>2845</v>
      </c>
      <c r="C229" s="1074">
        <v>0</v>
      </c>
      <c r="D229" s="1074">
        <v>440851.91</v>
      </c>
      <c r="E229" s="1074">
        <v>440851.91</v>
      </c>
      <c r="F229" s="1072" t="s">
        <v>424</v>
      </c>
      <c r="G229" s="1072" t="s">
        <v>2014</v>
      </c>
      <c r="H229" s="1050"/>
      <c r="I229" s="1049"/>
      <c r="J229" s="1049"/>
      <c r="K229" s="1049"/>
      <c r="L229" s="153" t="str">
        <f t="shared" si="0"/>
        <v>5111</v>
      </c>
      <c r="M229" s="154" t="str">
        <f t="shared" si="1"/>
        <v>C/V - JETTA</v>
      </c>
      <c r="N229" s="155">
        <f>+IF(OR($Q229=Parametres!$G$2,$Q229=Parametres!$G$3),I229,C229)</f>
        <v>0</v>
      </c>
      <c r="O229" s="155">
        <f>+IF(OR($Q229=Parametres!$G$2,$Q229=Parametres!$G$3),J229,D229)</f>
        <v>440851.91</v>
      </c>
      <c r="P229" s="155">
        <f>+IF(OR($Q229=Parametres!$G$2,$Q229=Parametres!$G$3),K229,E229)</f>
        <v>440851.91</v>
      </c>
      <c r="Q229" s="154" t="str">
        <f t="shared" si="16"/>
        <v>6-Coût des ventes</v>
      </c>
      <c r="R229" s="153" t="str">
        <f t="shared" si="16"/>
        <v>4111</v>
      </c>
      <c r="S229" s="154">
        <f t="shared" si="16"/>
        <v>0</v>
      </c>
      <c r="T229" s="156" t="str">
        <f>+VLOOKUP($L229,Data_Validation!$A:$D,1,0)</f>
        <v>5111</v>
      </c>
      <c r="U229" s="156" t="str">
        <f>+VLOOKUP($L229,Data_Validation!$A:$D,3,0)</f>
        <v>Véhicules neufs</v>
      </c>
      <c r="V229" s="156" t="str">
        <f>+VLOOKUP($L229,Data_Validation!$A:$D,4,0)</f>
        <v>Autos détail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hidden="1" customHeight="1">
      <c r="A230" s="1072" t="s">
        <v>2452</v>
      </c>
      <c r="B230" s="1072" t="s">
        <v>2453</v>
      </c>
      <c r="C230" s="1074">
        <v>0</v>
      </c>
      <c r="D230" s="1074">
        <v>168378.04</v>
      </c>
      <c r="E230" s="1074">
        <v>168378.04</v>
      </c>
      <c r="F230" s="1072" t="s">
        <v>424</v>
      </c>
      <c r="G230" s="1072" t="s">
        <v>2438</v>
      </c>
      <c r="H230" s="1050"/>
      <c r="I230" s="1049"/>
      <c r="J230" s="1049"/>
      <c r="K230" s="1049"/>
      <c r="L230" s="153" t="str">
        <f t="shared" si="0"/>
        <v>5113</v>
      </c>
      <c r="M230" s="154" t="str">
        <f t="shared" si="1"/>
        <v>C/V - GOLF (FAMILIALE)</v>
      </c>
      <c r="N230" s="155">
        <f>+IF(OR($Q230=Parametres!$G$2,$Q230=Parametres!$G$3),I230,C230)</f>
        <v>0</v>
      </c>
      <c r="O230" s="155">
        <f>+IF(OR($Q230=Parametres!$G$2,$Q230=Parametres!$G$3),J230,D230)</f>
        <v>168378.04</v>
      </c>
      <c r="P230" s="155">
        <f>+IF(OR($Q230=Parametres!$G$2,$Q230=Parametres!$G$3),K230,E230)</f>
        <v>168378.04</v>
      </c>
      <c r="Q230" s="154" t="str">
        <f t="shared" si="16"/>
        <v>6-Coût des ventes</v>
      </c>
      <c r="R230" s="153" t="str">
        <f t="shared" si="16"/>
        <v>4113</v>
      </c>
      <c r="S230" s="154">
        <f t="shared" si="16"/>
        <v>0</v>
      </c>
      <c r="T230" s="156" t="str">
        <f>+VLOOKUP($L230,Data_Validation!$A:$D,1,0)</f>
        <v>5113</v>
      </c>
      <c r="U230" s="156" t="str">
        <f>+VLOOKUP($L230,Data_Validation!$A:$D,3,0)</f>
        <v>Véhicules neufs</v>
      </c>
      <c r="V230" s="156" t="str">
        <f>+VLOOKUP($L230,Data_Validation!$A:$D,4,0)</f>
        <v>Autos détail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hidden="1" customHeight="1">
      <c r="A231" s="1072" t="s">
        <v>2850</v>
      </c>
      <c r="B231" s="1072" t="s">
        <v>2851</v>
      </c>
      <c r="C231" s="1074">
        <v>0</v>
      </c>
      <c r="D231" s="1074">
        <v>86101.440000000002</v>
      </c>
      <c r="E231" s="1074">
        <v>86101.440000000002</v>
      </c>
      <c r="F231" s="1072" t="s">
        <v>424</v>
      </c>
      <c r="G231" s="1072" t="s">
        <v>2003</v>
      </c>
      <c r="H231" s="1050"/>
      <c r="I231" s="1049"/>
      <c r="J231" s="1049"/>
      <c r="K231" s="1049"/>
      <c r="L231" s="153" t="str">
        <f t="shared" si="0"/>
        <v>5119</v>
      </c>
      <c r="M231" s="154" t="str">
        <f t="shared" si="1"/>
        <v>C/V - ATLAS</v>
      </c>
      <c r="N231" s="155">
        <f>+IF(OR($Q231=Parametres!$G$2,$Q231=Parametres!$G$3),I231,C231)</f>
        <v>0</v>
      </c>
      <c r="O231" s="155">
        <f>+IF(OR($Q231=Parametres!$G$2,$Q231=Parametres!$G$3),J231,D231)</f>
        <v>86101.440000000002</v>
      </c>
      <c r="P231" s="155">
        <f>+IF(OR($Q231=Parametres!$G$2,$Q231=Parametres!$G$3),K231,E231)</f>
        <v>86101.440000000002</v>
      </c>
      <c r="Q231" s="154" t="str">
        <f t="shared" si="16"/>
        <v>6-Coût des ventes</v>
      </c>
      <c r="R231" s="153" t="str">
        <f t="shared" si="16"/>
        <v>4119</v>
      </c>
      <c r="S231" s="154">
        <f t="shared" si="16"/>
        <v>0</v>
      </c>
      <c r="T231" s="156" t="str">
        <f>+VLOOKUP($L231,Data_Validation!$A:$D,1,0)</f>
        <v>5119</v>
      </c>
      <c r="U231" s="156" t="str">
        <f>+VLOOKUP($L231,Data_Validation!$A:$D,3,0)</f>
        <v>Véhicules neufs</v>
      </c>
      <c r="V231" s="156" t="str">
        <f>+VLOOKUP($L231,Data_Validation!$A:$D,4,0)</f>
        <v>Camions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hidden="1" customHeight="1">
      <c r="A232" s="1072" t="s">
        <v>2836</v>
      </c>
      <c r="B232" s="1072" t="s">
        <v>2837</v>
      </c>
      <c r="C232" s="1074">
        <v>0</v>
      </c>
      <c r="D232" s="1074">
        <v>33989.79</v>
      </c>
      <c r="E232" s="1074">
        <v>33989.79</v>
      </c>
      <c r="F232" s="1072" t="s">
        <v>424</v>
      </c>
      <c r="G232" s="1072" t="s">
        <v>2031</v>
      </c>
      <c r="H232" s="1050"/>
      <c r="I232" s="1049"/>
      <c r="J232" s="1049"/>
      <c r="K232" s="1049"/>
      <c r="L232" s="153" t="str">
        <f t="shared" si="0"/>
        <v>5127</v>
      </c>
      <c r="M232" s="154" t="str">
        <f t="shared" si="1"/>
        <v>C/V - GOLF GTI</v>
      </c>
      <c r="N232" s="155">
        <f>+IF(OR($Q232=Parametres!$G$2,$Q232=Parametres!$G$3),I232,C232)</f>
        <v>0</v>
      </c>
      <c r="O232" s="155">
        <f>+IF(OR($Q232=Parametres!$G$2,$Q232=Parametres!$G$3),J232,D232)</f>
        <v>33989.79</v>
      </c>
      <c r="P232" s="155">
        <f>+IF(OR($Q232=Parametres!$G$2,$Q232=Parametres!$G$3),K232,E232)</f>
        <v>33989.79</v>
      </c>
      <c r="Q232" s="154" t="str">
        <f t="shared" si="16"/>
        <v>6-Coût des ventes</v>
      </c>
      <c r="R232" s="153" t="str">
        <f t="shared" si="16"/>
        <v>4127</v>
      </c>
      <c r="S232" s="154">
        <f t="shared" si="16"/>
        <v>0</v>
      </c>
      <c r="T232" s="156" t="str">
        <f>+VLOOKUP($L232,Data_Validation!$A:$D,1,0)</f>
        <v>5127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hidden="1" customHeight="1">
      <c r="A233" s="1072" t="s">
        <v>2855</v>
      </c>
      <c r="B233" s="1072" t="s">
        <v>2856</v>
      </c>
      <c r="C233" s="1074">
        <v>0</v>
      </c>
      <c r="D233" s="1074">
        <v>760344.41</v>
      </c>
      <c r="E233" s="1074">
        <v>760344.41</v>
      </c>
      <c r="F233" s="1072" t="s">
        <v>424</v>
      </c>
      <c r="G233" s="1072" t="s">
        <v>1999</v>
      </c>
      <c r="H233" s="1050"/>
      <c r="I233" s="1049"/>
      <c r="J233" s="1049"/>
      <c r="K233" s="1049"/>
      <c r="L233" s="153" t="str">
        <f t="shared" si="0"/>
        <v>5131</v>
      </c>
      <c r="M233" s="154" t="str">
        <f t="shared" si="1"/>
        <v>C/V - TIGUAN LWB</v>
      </c>
      <c r="N233" s="155">
        <f>+IF(OR($Q233=Parametres!$G$2,$Q233=Parametres!$G$3),I233,C233)</f>
        <v>0</v>
      </c>
      <c r="O233" s="155">
        <f>+IF(OR($Q233=Parametres!$G$2,$Q233=Parametres!$G$3),J233,D233)</f>
        <v>760344.41</v>
      </c>
      <c r="P233" s="155">
        <f>+IF(OR($Q233=Parametres!$G$2,$Q233=Parametres!$G$3),K233,E233)</f>
        <v>760344.41</v>
      </c>
      <c r="Q233" s="154" t="str">
        <f t="shared" si="16"/>
        <v>6-Coût des ventes</v>
      </c>
      <c r="R233" s="153" t="str">
        <f t="shared" si="16"/>
        <v>4131</v>
      </c>
      <c r="S233" s="154">
        <f t="shared" si="16"/>
        <v>0</v>
      </c>
      <c r="T233" s="156" t="str">
        <f>+VLOOKUP($L233,Data_Validation!$A:$D,1,0)</f>
        <v>5131</v>
      </c>
      <c r="U233" s="156" t="str">
        <f>+VLOOKUP($L233,Data_Validation!$A:$D,3,0)</f>
        <v>Véhicules neufs</v>
      </c>
      <c r="V233" s="156" t="str">
        <f>+VLOOKUP($L233,Data_Validation!$A:$D,4,0)</f>
        <v>Camions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hidden="1" customHeight="1">
      <c r="A234" s="1072" t="s">
        <v>2838</v>
      </c>
      <c r="B234" s="1072" t="s">
        <v>2839</v>
      </c>
      <c r="C234" s="1074">
        <v>0</v>
      </c>
      <c r="D234" s="1074">
        <v>191555.17</v>
      </c>
      <c r="E234" s="1074">
        <v>191555.17</v>
      </c>
      <c r="F234" s="1072" t="s">
        <v>424</v>
      </c>
      <c r="G234" s="1072" t="s">
        <v>2506</v>
      </c>
      <c r="H234" s="1050"/>
      <c r="I234" s="1049"/>
      <c r="J234" s="1049"/>
      <c r="K234" s="1049"/>
      <c r="L234" s="153" t="str">
        <f t="shared" si="0"/>
        <v>5135</v>
      </c>
      <c r="M234" s="154" t="str">
        <f t="shared" si="1"/>
        <v>C/V - EGOLF</v>
      </c>
      <c r="N234" s="155">
        <f>+IF(OR($Q234=Parametres!$G$2,$Q234=Parametres!$G$3),I234,C234)</f>
        <v>0</v>
      </c>
      <c r="O234" s="155">
        <f>+IF(OR($Q234=Parametres!$G$2,$Q234=Parametres!$G$3),J234,D234)</f>
        <v>191555.17</v>
      </c>
      <c r="P234" s="155">
        <f>+IF(OR($Q234=Parametres!$G$2,$Q234=Parametres!$G$3),K234,E234)</f>
        <v>191555.17</v>
      </c>
      <c r="Q234" s="154" t="str">
        <f t="shared" si="16"/>
        <v>6-Coût des ventes</v>
      </c>
      <c r="R234" s="153" t="str">
        <f t="shared" si="16"/>
        <v>84135</v>
      </c>
      <c r="S234" s="154">
        <f t="shared" si="16"/>
        <v>0</v>
      </c>
      <c r="T234" s="156" t="str">
        <f>+VLOOKUP($L234,Data_Validation!$A:$D,1,0)</f>
        <v>5135</v>
      </c>
      <c r="U234" s="156" t="str">
        <f>+VLOOKUP($L234,Data_Validation!$A:$D,3,0)</f>
        <v>Véhicules neufs</v>
      </c>
      <c r="V234" s="156" t="str">
        <f>+VLOOKUP($L234,Data_Validation!$A:$D,4,0)</f>
        <v>Autos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hidden="1" customHeight="1">
      <c r="A235" s="1072" t="s">
        <v>2618</v>
      </c>
      <c r="B235" s="1072" t="s">
        <v>2619</v>
      </c>
      <c r="C235" s="1074">
        <v>0</v>
      </c>
      <c r="D235" s="1074">
        <v>211068.81</v>
      </c>
      <c r="E235" s="1074">
        <v>211068.81</v>
      </c>
      <c r="F235" s="1072" t="s">
        <v>424</v>
      </c>
      <c r="G235" s="1072" t="s">
        <v>2444</v>
      </c>
      <c r="H235" s="1050"/>
      <c r="I235" s="1049"/>
      <c r="J235" s="1049"/>
      <c r="K235" s="1049"/>
      <c r="L235" s="153" t="str">
        <f t="shared" si="0"/>
        <v>5211</v>
      </c>
      <c r="M235" s="154" t="str">
        <f t="shared" si="1"/>
        <v>C/V - VW USAGES DETAIL</v>
      </c>
      <c r="N235" s="155">
        <f>+IF(OR($Q235=Parametres!$G$2,$Q235=Parametres!$G$3),I235,C235)</f>
        <v>0</v>
      </c>
      <c r="O235" s="155">
        <f>+IF(OR($Q235=Parametres!$G$2,$Q235=Parametres!$G$3),J235,D235)</f>
        <v>211068.81</v>
      </c>
      <c r="P235" s="155">
        <f>+IF(OR($Q235=Parametres!$G$2,$Q235=Parametres!$G$3),K235,E235)</f>
        <v>211068.81</v>
      </c>
      <c r="Q235" s="154" t="str">
        <f t="shared" si="16"/>
        <v>6-Coût des ventes</v>
      </c>
      <c r="R235" s="153" t="str">
        <f t="shared" si="16"/>
        <v>4211</v>
      </c>
      <c r="S235" s="154">
        <f t="shared" si="16"/>
        <v>0</v>
      </c>
      <c r="T235" s="156" t="str">
        <f>+VLOOKUP($L235,Data_Validation!$A:$D,1,0)</f>
        <v>5211</v>
      </c>
      <c r="U235" s="156" t="str">
        <f>+VLOOKUP($L235,Data_Validation!$A:$D,3,0)</f>
        <v>Véhicules usagés</v>
      </c>
      <c r="V235" s="156" t="str">
        <f>+VLOOKUP($L235,Data_Validation!$A:$D,4,0)</f>
        <v>Non Certifié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hidden="1" customHeight="1">
      <c r="A236" s="1072" t="s">
        <v>2458</v>
      </c>
      <c r="B236" s="1072" t="s">
        <v>2459</v>
      </c>
      <c r="C236" s="1074">
        <v>0</v>
      </c>
      <c r="D236" s="1074">
        <v>17823.8</v>
      </c>
      <c r="E236" s="1074">
        <v>17823.8</v>
      </c>
      <c r="F236" s="1072" t="s">
        <v>424</v>
      </c>
      <c r="G236" s="1072" t="s">
        <v>2444</v>
      </c>
      <c r="H236" s="1050"/>
      <c r="I236" s="1049"/>
      <c r="J236" s="1049"/>
      <c r="K236" s="1049"/>
      <c r="L236" s="153" t="str">
        <f t="shared" si="0"/>
        <v>5213</v>
      </c>
      <c r="M236" s="154" t="str">
        <f t="shared" si="1"/>
        <v>C/V - RECOND. USAGE VW DETAIL</v>
      </c>
      <c r="N236" s="155">
        <f>+IF(OR($Q236=Parametres!$G$2,$Q236=Parametres!$G$3),I236,C236)</f>
        <v>0</v>
      </c>
      <c r="O236" s="155">
        <f>+IF(OR($Q236=Parametres!$G$2,$Q236=Parametres!$G$3),J236,D236)</f>
        <v>17823.8</v>
      </c>
      <c r="P236" s="155">
        <f>+IF(OR($Q236=Parametres!$G$2,$Q236=Parametres!$G$3),K236,E236)</f>
        <v>17823.8</v>
      </c>
      <c r="Q236" s="154" t="str">
        <f t="shared" si="16"/>
        <v>6-Coût des ventes</v>
      </c>
      <c r="R236" s="153" t="str">
        <f t="shared" si="16"/>
        <v>4211</v>
      </c>
      <c r="S236" s="154">
        <f t="shared" si="16"/>
        <v>0</v>
      </c>
      <c r="T236" s="156" t="str">
        <f>+VLOOKUP($L236,Data_Validation!$A:$D,1,0)</f>
        <v>5213</v>
      </c>
      <c r="U236" s="156" t="str">
        <f>+VLOOKUP($L236,Data_Validation!$A:$D,3,0)</f>
        <v>Véhicules usagés</v>
      </c>
      <c r="V236" s="156" t="str">
        <f>+VLOOKUP($L236,Data_Validation!$A:$D,4,0)</f>
        <v>Non Certifié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hidden="1" customHeight="1">
      <c r="A237" s="1072" t="s">
        <v>2038</v>
      </c>
      <c r="B237" s="1072" t="s">
        <v>2827</v>
      </c>
      <c r="C237" s="1074">
        <v>0</v>
      </c>
      <c r="D237" s="1074">
        <v>70685.97</v>
      </c>
      <c r="E237" s="1074">
        <v>70685.97</v>
      </c>
      <c r="F237" s="1072" t="s">
        <v>424</v>
      </c>
      <c r="G237" s="1072" t="s">
        <v>2040</v>
      </c>
      <c r="H237" s="1050"/>
      <c r="I237" s="1049"/>
      <c r="J237" s="1049"/>
      <c r="K237" s="1049"/>
      <c r="L237" s="153" t="str">
        <f t="shared" si="0"/>
        <v>5285</v>
      </c>
      <c r="M237" s="154" t="str">
        <f t="shared" si="1"/>
        <v>VEH. D'OCC. AUTRE DETAIL</v>
      </c>
      <c r="N237" s="155">
        <f>+IF(OR($Q237=Parametres!$G$2,$Q237=Parametres!$G$3),I237,C237)</f>
        <v>0</v>
      </c>
      <c r="O237" s="155">
        <f>+IF(OR($Q237=Parametres!$G$2,$Q237=Parametres!$G$3),J237,D237)</f>
        <v>70685.97</v>
      </c>
      <c r="P237" s="155">
        <f>+IF(OR($Q237=Parametres!$G$2,$Q237=Parametres!$G$3),K237,E237)</f>
        <v>70685.97</v>
      </c>
      <c r="Q237" s="154" t="str">
        <f t="shared" si="16"/>
        <v>6-Coût des ventes</v>
      </c>
      <c r="R237" s="153" t="str">
        <f t="shared" si="16"/>
        <v>4261</v>
      </c>
      <c r="S237" s="154">
        <f t="shared" si="16"/>
        <v>0</v>
      </c>
      <c r="T237" s="156" t="str">
        <f>+VLOOKUP($L237,Data_Validation!$A:$D,1,0)</f>
        <v>5285</v>
      </c>
      <c r="U237" s="156" t="str">
        <f>+VLOOKUP($L237,Data_Validation!$A:$D,3,0)</f>
        <v>Véhicules usagés</v>
      </c>
      <c r="V237" s="156" t="str">
        <f>+VLOOKUP($L237,Data_Validation!$A:$D,4,0)</f>
        <v>Non Certifié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hidden="1" customHeight="1">
      <c r="A238" s="1072" t="s">
        <v>2672</v>
      </c>
      <c r="B238" s="1072" t="s">
        <v>2673</v>
      </c>
      <c r="C238" s="1074">
        <v>0</v>
      </c>
      <c r="D238" s="1074">
        <v>5744.47</v>
      </c>
      <c r="E238" s="1074">
        <v>5744.47</v>
      </c>
      <c r="F238" s="1072" t="s">
        <v>424</v>
      </c>
      <c r="G238" s="1072" t="s">
        <v>2040</v>
      </c>
      <c r="H238" s="1050"/>
      <c r="I238" s="1049"/>
      <c r="J238" s="1049"/>
      <c r="K238" s="1049"/>
      <c r="L238" s="153" t="str">
        <f t="shared" si="0"/>
        <v>5286</v>
      </c>
      <c r="M238" s="154" t="str">
        <f t="shared" si="1"/>
        <v>RECOND. AUTRE DETAIL</v>
      </c>
      <c r="N238" s="155">
        <f>+IF(OR($Q238=Parametres!$G$2,$Q238=Parametres!$G$3),I238,C238)</f>
        <v>0</v>
      </c>
      <c r="O238" s="155">
        <f>+IF(OR($Q238=Parametres!$G$2,$Q238=Parametres!$G$3),J238,D238)</f>
        <v>5744.47</v>
      </c>
      <c r="P238" s="155">
        <f>+IF(OR($Q238=Parametres!$G$2,$Q238=Parametres!$G$3),K238,E238)</f>
        <v>5744.47</v>
      </c>
      <c r="Q238" s="154" t="str">
        <f t="shared" si="16"/>
        <v>6-Coût des ventes</v>
      </c>
      <c r="R238" s="153" t="str">
        <f t="shared" si="16"/>
        <v>4261</v>
      </c>
      <c r="S238" s="154">
        <f t="shared" si="16"/>
        <v>0</v>
      </c>
      <c r="T238" s="156" t="str">
        <f>+VLOOKUP($L238,Data_Validation!$A:$D,1,0)</f>
        <v>5286</v>
      </c>
      <c r="U238" s="156" t="str">
        <f>+VLOOKUP($L238,Data_Validation!$A:$D,3,0)</f>
        <v>Véhicules usagés</v>
      </c>
      <c r="V238" s="156" t="str">
        <f>+VLOOKUP($L238,Data_Validation!$A:$D,4,0)</f>
        <v>Non Certifié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hidden="1" customHeight="1">
      <c r="A239" s="1072" t="s">
        <v>2006</v>
      </c>
      <c r="B239" s="1072" t="s">
        <v>2848</v>
      </c>
      <c r="C239" s="1074">
        <v>0</v>
      </c>
      <c r="D239" s="1074">
        <v>154150.91</v>
      </c>
      <c r="E239" s="1074">
        <v>154150.91</v>
      </c>
      <c r="F239" s="1072" t="s">
        <v>424</v>
      </c>
      <c r="G239" s="1072" t="s">
        <v>2008</v>
      </c>
      <c r="H239" s="1050"/>
      <c r="I239" s="1049"/>
      <c r="J239" s="1049"/>
      <c r="K239" s="1049"/>
      <c r="L239" s="153" t="str">
        <f t="shared" si="0"/>
        <v>5291</v>
      </c>
      <c r="M239" s="154" t="str">
        <f t="shared" si="1"/>
        <v>VEH. D'OCC. AU GROS</v>
      </c>
      <c r="N239" s="155">
        <f>+IF(OR($Q239=Parametres!$G$2,$Q239=Parametres!$G$3),I239,C239)</f>
        <v>0</v>
      </c>
      <c r="O239" s="155">
        <f>+IF(OR($Q239=Parametres!$G$2,$Q239=Parametres!$G$3),J239,D239)</f>
        <v>154150.91</v>
      </c>
      <c r="P239" s="155">
        <f>+IF(OR($Q239=Parametres!$G$2,$Q239=Parametres!$G$3),K239,E239)</f>
        <v>154150.91</v>
      </c>
      <c r="Q239" s="154" t="str">
        <f t="shared" si="16"/>
        <v>6-Coût des ventes</v>
      </c>
      <c r="R239" s="153" t="str">
        <f t="shared" si="16"/>
        <v>4281</v>
      </c>
      <c r="S239" s="154">
        <f t="shared" si="16"/>
        <v>0</v>
      </c>
      <c r="T239" s="156" t="str">
        <f>+VLOOKUP($L239,Data_Validation!$A:$D,1,0)</f>
        <v>5291</v>
      </c>
      <c r="U239" s="156" t="str">
        <f>+VLOOKUP($L239,Data_Validation!$A:$D,3,0)</f>
        <v>Véhicules usagés</v>
      </c>
      <c r="V239" s="156" t="str">
        <f>+VLOOKUP($L239,Data_Validation!$A:$D,4,0)</f>
        <v>Ventes au Gros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hidden="1" customHeight="1">
      <c r="A240" s="1072" t="s">
        <v>2828</v>
      </c>
      <c r="B240" s="1072" t="s">
        <v>2829</v>
      </c>
      <c r="C240" s="1074">
        <v>0</v>
      </c>
      <c r="D240" s="1074">
        <v>17506.580000000002</v>
      </c>
      <c r="E240" s="1074">
        <v>17506.580000000002</v>
      </c>
      <c r="F240" s="1072" t="s">
        <v>424</v>
      </c>
      <c r="G240" s="1072" t="s">
        <v>2012</v>
      </c>
      <c r="H240" s="1050"/>
      <c r="I240" s="1049"/>
      <c r="J240" s="1049"/>
      <c r="K240" s="1049"/>
      <c r="L240" s="153" t="str">
        <f t="shared" si="0"/>
        <v>5401</v>
      </c>
      <c r="M240" s="154" t="str">
        <f t="shared" si="1"/>
        <v>COUT M.O. MECANIQUE CLIENTS</v>
      </c>
      <c r="N240" s="155">
        <f>+IF(OR($Q240=Parametres!$G$2,$Q240=Parametres!$G$3),I240,C240)</f>
        <v>0</v>
      </c>
      <c r="O240" s="155">
        <f>+IF(OR($Q240=Parametres!$G$2,$Q240=Parametres!$G$3),J240,D240)</f>
        <v>17506.580000000002</v>
      </c>
      <c r="P240" s="155">
        <f>+IF(OR($Q240=Parametres!$G$2,$Q240=Parametres!$G$3),K240,E240)</f>
        <v>17506.580000000002</v>
      </c>
      <c r="Q240" s="154" t="str">
        <f t="shared" si="16"/>
        <v>6-Coût des ventes</v>
      </c>
      <c r="R240" s="153" t="str">
        <f t="shared" si="16"/>
        <v>4401</v>
      </c>
      <c r="S240" s="154">
        <f t="shared" si="16"/>
        <v>0</v>
      </c>
      <c r="T240" s="156" t="str">
        <f>+VLOOKUP($L240,Data_Validation!$A:$D,1,0)</f>
        <v>5401</v>
      </c>
      <c r="U240" s="156" t="str">
        <f>+VLOOKUP($L240,Data_Validation!$A:$D,3,0)</f>
        <v>Service</v>
      </c>
      <c r="V240" s="156" t="str">
        <f>+VLOOKUP($L240,Data_Validation!$A:$D,4,0)</f>
        <v>M/O Client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72" t="s">
        <v>2791</v>
      </c>
      <c r="B241" s="1072" t="s">
        <v>2792</v>
      </c>
      <c r="C241" s="1074">
        <v>0</v>
      </c>
      <c r="D241" s="1074">
        <v>16022.33</v>
      </c>
      <c r="E241" s="1074">
        <v>16022.33</v>
      </c>
      <c r="F241" s="1072" t="s">
        <v>424</v>
      </c>
      <c r="G241" s="1072" t="s">
        <v>2042</v>
      </c>
      <c r="H241" s="1050"/>
      <c r="I241" s="1049"/>
      <c r="J241" s="1049"/>
      <c r="K241" s="1049"/>
      <c r="L241" s="153" t="str">
        <f t="shared" si="0"/>
        <v>5403</v>
      </c>
      <c r="M241" s="154" t="str">
        <f t="shared" si="1"/>
        <v>COUT MEC VENTE GARANTIE MANUF</v>
      </c>
      <c r="N241" s="155">
        <f>+IF(OR($Q241=Parametres!$G$2,$Q241=Parametres!$G$3),I241,C241)</f>
        <v>0</v>
      </c>
      <c r="O241" s="155">
        <f>+IF(OR($Q241=Parametres!$G$2,$Q241=Parametres!$G$3),J241,D241)</f>
        <v>16022.33</v>
      </c>
      <c r="P241" s="155">
        <f>+IF(OR($Q241=Parametres!$G$2,$Q241=Parametres!$G$3),K241,E241)</f>
        <v>16022.33</v>
      </c>
      <c r="Q241" s="154" t="str">
        <f t="shared" si="16"/>
        <v>6-Coût des ventes</v>
      </c>
      <c r="R241" s="153" t="str">
        <f t="shared" si="16"/>
        <v>4403</v>
      </c>
      <c r="S241" s="154">
        <f t="shared" si="16"/>
        <v>0</v>
      </c>
      <c r="T241" s="156" t="str">
        <f>+VLOOKUP($L241,Data_Validation!$A:$D,1,0)</f>
        <v>5403</v>
      </c>
      <c r="U241" s="156" t="str">
        <f>+VLOOKUP($L241,Data_Validation!$A:$D,3,0)</f>
        <v>Service</v>
      </c>
      <c r="V241" s="156" t="str">
        <f>+VLOOKUP($L241,Data_Validation!$A:$D,4,0)</f>
        <v>M/O Garantie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72" t="s">
        <v>2777</v>
      </c>
      <c r="B242" s="1072" t="s">
        <v>2778</v>
      </c>
      <c r="C242" s="1074">
        <v>0</v>
      </c>
      <c r="D242" s="1074">
        <v>11419.66</v>
      </c>
      <c r="E242" s="1074">
        <v>11419.66</v>
      </c>
      <c r="F242" s="1072" t="s">
        <v>424</v>
      </c>
      <c r="G242" s="1072" t="s">
        <v>2052</v>
      </c>
      <c r="H242" s="1050"/>
      <c r="I242" s="1049"/>
      <c r="J242" s="1049"/>
      <c r="K242" s="1049"/>
      <c r="L242" s="153" t="str">
        <f t="shared" si="0"/>
        <v>5405</v>
      </c>
      <c r="M242" s="154" t="str">
        <f t="shared" si="1"/>
        <v>C D V VENTES M OINTERNE</v>
      </c>
      <c r="N242" s="155">
        <f>+IF(OR($Q242=Parametres!$G$2,$Q242=Parametres!$G$3),I242,C242)</f>
        <v>0</v>
      </c>
      <c r="O242" s="155">
        <f>+IF(OR($Q242=Parametres!$G$2,$Q242=Parametres!$G$3),J242,D242)</f>
        <v>11419.66</v>
      </c>
      <c r="P242" s="155">
        <f>+IF(OR($Q242=Parametres!$G$2,$Q242=Parametres!$G$3),K242,E242)</f>
        <v>11419.66</v>
      </c>
      <c r="Q242" s="154" t="str">
        <f t="shared" ref="Q242:S257" si="17">+F242</f>
        <v>6-Coût des ventes</v>
      </c>
      <c r="R242" s="153" t="str">
        <f t="shared" si="17"/>
        <v>4405</v>
      </c>
      <c r="S242" s="154">
        <f t="shared" si="17"/>
        <v>0</v>
      </c>
      <c r="T242" s="156" t="str">
        <f>+VLOOKUP($L242,Data_Validation!$A:$D,1,0)</f>
        <v>5405</v>
      </c>
      <c r="U242" s="156" t="str">
        <f>+VLOOKUP($L242,Data_Validation!$A:$D,3,0)</f>
        <v>Service</v>
      </c>
      <c r="V242" s="156" t="str">
        <f>+VLOOKUP($L242,Data_Validation!$A:$D,4,0)</f>
        <v>M/O Interne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72" t="s">
        <v>2725</v>
      </c>
      <c r="B243" s="1072" t="s">
        <v>2726</v>
      </c>
      <c r="C243" s="1074">
        <v>0</v>
      </c>
      <c r="D243" s="1074">
        <v>3920.28</v>
      </c>
      <c r="E243" s="1074">
        <v>3920.28</v>
      </c>
      <c r="F243" s="1072" t="s">
        <v>424</v>
      </c>
      <c r="G243" s="1072" t="s">
        <v>2727</v>
      </c>
      <c r="H243" s="1050"/>
      <c r="I243" s="1049"/>
      <c r="J243" s="1049"/>
      <c r="K243" s="1049"/>
      <c r="L243" s="153" t="str">
        <f t="shared" si="0"/>
        <v>5416</v>
      </c>
      <c r="M243" s="154" t="str">
        <f t="shared" si="1"/>
        <v>C/V - TEMPS MORT M.O. SERVICE</v>
      </c>
      <c r="N243" s="155">
        <f>+IF(OR($Q243=Parametres!$G$2,$Q243=Parametres!$G$3),I243,C243)</f>
        <v>0</v>
      </c>
      <c r="O243" s="155">
        <f>+IF(OR($Q243=Parametres!$G$2,$Q243=Parametres!$G$3),J243,D243)</f>
        <v>3920.28</v>
      </c>
      <c r="P243" s="155">
        <f>+IF(OR($Q243=Parametres!$G$2,$Q243=Parametres!$G$3),K243,E243)</f>
        <v>3920.28</v>
      </c>
      <c r="Q243" s="154" t="str">
        <f t="shared" si="17"/>
        <v>6-Coût des ventes</v>
      </c>
      <c r="R243" s="153" t="str">
        <f t="shared" si="17"/>
        <v>4416</v>
      </c>
      <c r="S243" s="154">
        <f t="shared" si="17"/>
        <v>0</v>
      </c>
      <c r="T243" s="156" t="str">
        <f>+VLOOKUP($L243,Data_Validation!$A:$D,1,0)</f>
        <v>5416</v>
      </c>
      <c r="U243" s="156" t="str">
        <f>+VLOOKUP($L243,Data_Validation!$A:$D,3,0)</f>
        <v>Service</v>
      </c>
      <c r="V243" s="156" t="str">
        <f>+VLOOKUP($L243,Data_Validation!$A:$D,4,0)</f>
        <v>Ajustement M/O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72" t="s">
        <v>2071</v>
      </c>
      <c r="B244" s="1072" t="s">
        <v>2802</v>
      </c>
      <c r="C244" s="1074">
        <v>0</v>
      </c>
      <c r="D244" s="1074">
        <v>9012.7900000000009</v>
      </c>
      <c r="E244" s="1074">
        <v>9012.7900000000009</v>
      </c>
      <c r="F244" s="1072" t="s">
        <v>424</v>
      </c>
      <c r="G244" s="1072" t="s">
        <v>2073</v>
      </c>
      <c r="H244" s="1050"/>
      <c r="I244" s="1049"/>
      <c r="J244" s="1049"/>
      <c r="K244" s="1049"/>
      <c r="L244" s="153" t="str">
        <f t="shared" si="0"/>
        <v>5451</v>
      </c>
      <c r="M244" s="154" t="str">
        <f t="shared" si="1"/>
        <v>CARBURANT/HUILE/GRAISSE</v>
      </c>
      <c r="N244" s="155">
        <f>+IF(OR($Q244=Parametres!$G$2,$Q244=Parametres!$G$3),I244,C244)</f>
        <v>0</v>
      </c>
      <c r="O244" s="155">
        <f>+IF(OR($Q244=Parametres!$G$2,$Q244=Parametres!$G$3),J244,D244)</f>
        <v>9012.7900000000009</v>
      </c>
      <c r="P244" s="155">
        <f>+IF(OR($Q244=Parametres!$G$2,$Q244=Parametres!$G$3),K244,E244)</f>
        <v>9012.7900000000009</v>
      </c>
      <c r="Q244" s="154" t="str">
        <f t="shared" si="17"/>
        <v>6-Coût des ventes</v>
      </c>
      <c r="R244" s="153" t="str">
        <f t="shared" si="17"/>
        <v>4782</v>
      </c>
      <c r="S244" s="154">
        <f t="shared" si="17"/>
        <v>0</v>
      </c>
      <c r="T244" s="156" t="str">
        <f>+VLOOKUP($L244,Data_Validation!$A:$D,1,0)</f>
        <v>5451</v>
      </c>
      <c r="U244" s="156" t="str">
        <f>+VLOOKUP($L244,Data_Validation!$A:$D,3,0)</f>
        <v>Pièces</v>
      </c>
      <c r="V244" s="156" t="str">
        <f>+VLOOKUP($L244,Data_Validation!$A:$D,4,0)</f>
        <v>Huiles et Graisse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72" t="s">
        <v>2144</v>
      </c>
      <c r="B245" s="1072" t="s">
        <v>2713</v>
      </c>
      <c r="C245" s="1074">
        <v>0</v>
      </c>
      <c r="D245" s="1074">
        <v>1331.61</v>
      </c>
      <c r="E245" s="1074">
        <v>1331.61</v>
      </c>
      <c r="F245" s="1072" t="s">
        <v>424</v>
      </c>
      <c r="G245" s="1072" t="s">
        <v>2145</v>
      </c>
      <c r="H245" s="1050"/>
      <c r="I245" s="1049"/>
      <c r="J245" s="1049"/>
      <c r="K245" s="1049"/>
      <c r="L245" s="153" t="str">
        <f t="shared" si="0"/>
        <v>5491</v>
      </c>
      <c r="M245" s="154" t="str">
        <f t="shared" si="1"/>
        <v>REPARATION SOUS-LOC. - GENERAL</v>
      </c>
      <c r="N245" s="155">
        <f>+IF(OR($Q245=Parametres!$G$2,$Q245=Parametres!$G$3),I245,C245)</f>
        <v>0</v>
      </c>
      <c r="O245" s="155">
        <f>+IF(OR($Q245=Parametres!$G$2,$Q245=Parametres!$G$3),J245,D245)</f>
        <v>1331.61</v>
      </c>
      <c r="P245" s="155">
        <f>+IF(OR($Q245=Parametres!$G$2,$Q245=Parametres!$G$3),K245,E245)</f>
        <v>1331.61</v>
      </c>
      <c r="Q245" s="154" t="str">
        <f t="shared" si="17"/>
        <v>6-Coût des ventes</v>
      </c>
      <c r="R245" s="153" t="str">
        <f t="shared" si="17"/>
        <v>4491</v>
      </c>
      <c r="S245" s="154">
        <f t="shared" si="17"/>
        <v>0</v>
      </c>
      <c r="T245" s="156" t="str">
        <f>+VLOOKUP($L245,Data_Validation!$A:$D,1,0)</f>
        <v>5491</v>
      </c>
      <c r="U245" s="156" t="str">
        <f>+VLOOKUP($L245,Data_Validation!$A:$D,3,0)</f>
        <v>Service</v>
      </c>
      <c r="V245" s="156" t="str">
        <f>+VLOOKUP($L245,Data_Validation!$A:$D,4,0)</f>
        <v>Sous-traitement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72" t="s">
        <v>2687</v>
      </c>
      <c r="B246" s="1072" t="s">
        <v>2688</v>
      </c>
      <c r="C246" s="1074">
        <v>0</v>
      </c>
      <c r="D246" s="1074">
        <v>1292.55</v>
      </c>
      <c r="E246" s="1074">
        <v>1292.55</v>
      </c>
      <c r="F246" s="1072" t="s">
        <v>424</v>
      </c>
      <c r="G246" s="1072" t="s">
        <v>2168</v>
      </c>
      <c r="H246" s="1050"/>
      <c r="I246" s="1049"/>
      <c r="J246" s="1049"/>
      <c r="K246" s="1049"/>
      <c r="L246" s="153" t="str">
        <f t="shared" si="0"/>
        <v>5493</v>
      </c>
      <c r="M246" s="154" t="str">
        <f t="shared" si="1"/>
        <v>C/V - SOUS-TRAITANCE GARANTIE</v>
      </c>
      <c r="N246" s="155">
        <f>+IF(OR($Q246=Parametres!$G$2,$Q246=Parametres!$G$3),I246,C246)</f>
        <v>0</v>
      </c>
      <c r="O246" s="155">
        <f>+IF(OR($Q246=Parametres!$G$2,$Q246=Parametres!$G$3),J246,D246)</f>
        <v>1292.55</v>
      </c>
      <c r="P246" s="155">
        <f>+IF(OR($Q246=Parametres!$G$2,$Q246=Parametres!$G$3),K246,E246)</f>
        <v>1292.55</v>
      </c>
      <c r="Q246" s="154" t="str">
        <f t="shared" si="17"/>
        <v>6-Coût des ventes</v>
      </c>
      <c r="R246" s="153" t="str">
        <f t="shared" si="17"/>
        <v>4493</v>
      </c>
      <c r="S246" s="154">
        <f t="shared" si="17"/>
        <v>0</v>
      </c>
      <c r="T246" s="156" t="str">
        <f>+VLOOKUP($L246,Data_Validation!$A:$D,1,0)</f>
        <v>5493</v>
      </c>
      <c r="U246" s="156" t="str">
        <f>+VLOOKUP($L246,Data_Validation!$A:$D,3,0)</f>
        <v>Service</v>
      </c>
      <c r="V246" s="156" t="str">
        <f>+VLOOKUP($L246,Data_Validation!$A:$D,4,0)</f>
        <v>Sous-traitement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72" t="s">
        <v>2789</v>
      </c>
      <c r="B247" s="1072" t="s">
        <v>2790</v>
      </c>
      <c r="C247" s="1074">
        <v>0</v>
      </c>
      <c r="D247" s="1074">
        <v>16967.12</v>
      </c>
      <c r="E247" s="1074">
        <v>16967.12</v>
      </c>
      <c r="F247" s="1072" t="s">
        <v>424</v>
      </c>
      <c r="G247" s="1072" t="s">
        <v>2087</v>
      </c>
      <c r="H247" s="1050"/>
      <c r="I247" s="1049"/>
      <c r="J247" s="1049"/>
      <c r="K247" s="1049"/>
      <c r="L247" s="153" t="str">
        <f t="shared" si="0"/>
        <v>5495</v>
      </c>
      <c r="M247" s="154" t="str">
        <f t="shared" si="1"/>
        <v>C/V - SOUS-TRAITANCE INTERNE</v>
      </c>
      <c r="N247" s="155">
        <f>+IF(OR($Q247=Parametres!$G$2,$Q247=Parametres!$G$3),I247,C247)</f>
        <v>0</v>
      </c>
      <c r="O247" s="155">
        <f>+IF(OR($Q247=Parametres!$G$2,$Q247=Parametres!$G$3),J247,D247)</f>
        <v>16967.12</v>
      </c>
      <c r="P247" s="155">
        <f>+IF(OR($Q247=Parametres!$G$2,$Q247=Parametres!$G$3),K247,E247)</f>
        <v>16967.12</v>
      </c>
      <c r="Q247" s="154" t="str">
        <f t="shared" si="17"/>
        <v>6-Coût des ventes</v>
      </c>
      <c r="R247" s="153" t="str">
        <f t="shared" si="17"/>
        <v>4495</v>
      </c>
      <c r="S247" s="154">
        <f t="shared" si="17"/>
        <v>0</v>
      </c>
      <c r="T247" s="156" t="str">
        <f>+VLOOKUP($L247,Data_Validation!$A:$D,1,0)</f>
        <v>5495</v>
      </c>
      <c r="U247" s="156" t="str">
        <f>+VLOOKUP($L247,Data_Validation!$A:$D,3,0)</f>
        <v>Service</v>
      </c>
      <c r="V247" s="156" t="str">
        <f>+VLOOKUP($L247,Data_Validation!$A:$D,4,0)</f>
        <v>Sous-traitement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72" t="s">
        <v>2798</v>
      </c>
      <c r="B248" s="1072" t="s">
        <v>2799</v>
      </c>
      <c r="C248" s="1074">
        <v>0</v>
      </c>
      <c r="D248" s="1074">
        <v>26160.94</v>
      </c>
      <c r="E248" s="1074">
        <v>26160.94</v>
      </c>
      <c r="F248" s="1072" t="s">
        <v>424</v>
      </c>
      <c r="G248" s="1072" t="s">
        <v>2070</v>
      </c>
      <c r="H248" s="1050"/>
      <c r="I248" s="1049"/>
      <c r="J248" s="1049"/>
      <c r="K248" s="1049"/>
      <c r="L248" s="153" t="str">
        <f t="shared" si="0"/>
        <v>5591</v>
      </c>
      <c r="M248" s="154" t="str">
        <f t="shared" si="1"/>
        <v>C/V - S-TRAIT. CARR.</v>
      </c>
      <c r="N248" s="155">
        <f>+IF(OR($Q248=Parametres!$G$2,$Q248=Parametres!$G$3),I248,C248)</f>
        <v>0</v>
      </c>
      <c r="O248" s="155">
        <f>+IF(OR($Q248=Parametres!$G$2,$Q248=Parametres!$G$3),J248,D248)</f>
        <v>26160.94</v>
      </c>
      <c r="P248" s="155">
        <f>+IF(OR($Q248=Parametres!$G$2,$Q248=Parametres!$G$3),K248,E248)</f>
        <v>26160.94</v>
      </c>
      <c r="Q248" s="154" t="str">
        <f t="shared" si="17"/>
        <v>6-Coût des ventes</v>
      </c>
      <c r="R248" s="153" t="str">
        <f t="shared" si="17"/>
        <v>4591</v>
      </c>
      <c r="S248" s="154">
        <f t="shared" si="17"/>
        <v>0</v>
      </c>
      <c r="T248" s="156" t="str">
        <f>+VLOOKUP($L248,Data_Validation!$A:$D,1,0)</f>
        <v>5591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72" t="s">
        <v>2808</v>
      </c>
      <c r="B249" s="1072" t="s">
        <v>2809</v>
      </c>
      <c r="C249" s="1074">
        <v>0</v>
      </c>
      <c r="D249" s="1074">
        <v>46610</v>
      </c>
      <c r="E249" s="1074">
        <v>46610</v>
      </c>
      <c r="F249" s="1072" t="s">
        <v>424</v>
      </c>
      <c r="G249" s="1072" t="s">
        <v>2068</v>
      </c>
      <c r="H249" s="1050"/>
      <c r="I249" s="1049"/>
      <c r="J249" s="1049"/>
      <c r="K249" s="1049"/>
      <c r="L249" s="153" t="str">
        <f t="shared" si="0"/>
        <v>5593</v>
      </c>
      <c r="M249" s="154" t="str">
        <f t="shared" si="1"/>
        <v>C/V - S-TRAIT.GARANTIE CARROS.</v>
      </c>
      <c r="N249" s="155">
        <f>+IF(OR($Q249=Parametres!$G$2,$Q249=Parametres!$G$3),I249,C249)</f>
        <v>0</v>
      </c>
      <c r="O249" s="155">
        <f>+IF(OR($Q249=Parametres!$G$2,$Q249=Parametres!$G$3),J249,D249)</f>
        <v>46610</v>
      </c>
      <c r="P249" s="155">
        <f>+IF(OR($Q249=Parametres!$G$2,$Q249=Parametres!$G$3),K249,E249)</f>
        <v>46610</v>
      </c>
      <c r="Q249" s="154" t="str">
        <f t="shared" si="17"/>
        <v>6-Coût des ventes</v>
      </c>
      <c r="R249" s="153" t="str">
        <f t="shared" si="17"/>
        <v>4593</v>
      </c>
      <c r="S249" s="154">
        <f t="shared" si="17"/>
        <v>0</v>
      </c>
      <c r="T249" s="156" t="str">
        <f>+VLOOKUP($L249,Data_Validation!$A:$D,1,0)</f>
        <v>5593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72" t="s">
        <v>2767</v>
      </c>
      <c r="B250" s="1072" t="s">
        <v>2768</v>
      </c>
      <c r="C250" s="1074">
        <v>0</v>
      </c>
      <c r="D250" s="1074">
        <v>4361.91</v>
      </c>
      <c r="E250" s="1074">
        <v>4361.91</v>
      </c>
      <c r="F250" s="1072" t="s">
        <v>424</v>
      </c>
      <c r="G250" s="1072" t="s">
        <v>2101</v>
      </c>
      <c r="H250" s="1050"/>
      <c r="I250" s="1049"/>
      <c r="J250" s="1049"/>
      <c r="K250" s="1049"/>
      <c r="L250" s="153" t="str">
        <f t="shared" si="0"/>
        <v>5595</v>
      </c>
      <c r="M250" s="154" t="str">
        <f t="shared" si="1"/>
        <v>C/V - S-TRAIT.INTERNE CARROS.</v>
      </c>
      <c r="N250" s="155">
        <f>+IF(OR($Q250=Parametres!$G$2,$Q250=Parametres!$G$3),I250,C250)</f>
        <v>0</v>
      </c>
      <c r="O250" s="155">
        <f>+IF(OR($Q250=Parametres!$G$2,$Q250=Parametres!$G$3),J250,D250)</f>
        <v>4361.91</v>
      </c>
      <c r="P250" s="155">
        <f>+IF(OR($Q250=Parametres!$G$2,$Q250=Parametres!$G$3),K250,E250)</f>
        <v>4361.91</v>
      </c>
      <c r="Q250" s="154" t="str">
        <f t="shared" si="17"/>
        <v>6-Coût des ventes</v>
      </c>
      <c r="R250" s="153" t="str">
        <f t="shared" si="17"/>
        <v>4595</v>
      </c>
      <c r="S250" s="154">
        <f t="shared" si="17"/>
        <v>0</v>
      </c>
      <c r="T250" s="156" t="str">
        <f>+VLOOKUP($L250,Data_Validation!$A:$D,1,0)</f>
        <v>5595</v>
      </c>
      <c r="U250" s="156" t="str">
        <f>+VLOOKUP($L250,Data_Validation!$A:$D,3,0)</f>
        <v>Carrosserie</v>
      </c>
      <c r="V250" s="156" t="str">
        <f>+VLOOKUP($L250,Data_Validation!$A:$D,4,0)</f>
        <v>M/O Sous-traitement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72" t="s">
        <v>2832</v>
      </c>
      <c r="B251" s="1072" t="s">
        <v>2833</v>
      </c>
      <c r="C251" s="1074">
        <v>0</v>
      </c>
      <c r="D251" s="1074">
        <v>29204.240000000002</v>
      </c>
      <c r="E251" s="1074">
        <v>29204.240000000002</v>
      </c>
      <c r="F251" s="1072" t="s">
        <v>424</v>
      </c>
      <c r="G251" s="1072" t="s">
        <v>2024</v>
      </c>
      <c r="H251" s="1050"/>
      <c r="I251" s="1049"/>
      <c r="J251" s="1049"/>
      <c r="K251" s="1049"/>
      <c r="L251" s="153" t="str">
        <f t="shared" si="0"/>
        <v>5701</v>
      </c>
      <c r="M251" s="154" t="str">
        <f t="shared" si="1"/>
        <v>C/V - PIECE/ACC B.R. CLIENT VW</v>
      </c>
      <c r="N251" s="155">
        <f>+IF(OR($Q251=Parametres!$G$2,$Q251=Parametres!$G$3),I251,C251)</f>
        <v>0</v>
      </c>
      <c r="O251" s="155">
        <f>+IF(OR($Q251=Parametres!$G$2,$Q251=Parametres!$G$3),J251,D251)</f>
        <v>29204.240000000002</v>
      </c>
      <c r="P251" s="155">
        <f>+IF(OR($Q251=Parametres!$G$2,$Q251=Parametres!$G$3),K251,E251)</f>
        <v>29204.240000000002</v>
      </c>
      <c r="Q251" s="154" t="str">
        <f t="shared" si="17"/>
        <v>6-Coût des ventes</v>
      </c>
      <c r="R251" s="153" t="str">
        <f t="shared" si="17"/>
        <v>4701</v>
      </c>
      <c r="S251" s="154">
        <f t="shared" si="17"/>
        <v>0</v>
      </c>
      <c r="T251" s="156" t="str">
        <f>+VLOOKUP($L251,Data_Validation!$A:$D,1,0)</f>
        <v>5701</v>
      </c>
      <c r="U251" s="156" t="str">
        <f>+VLOOKUP($L251,Data_Validation!$A:$D,3,0)</f>
        <v>Pièces</v>
      </c>
      <c r="V251" s="156" t="str">
        <f>+VLOOKUP($L251,Data_Validation!$A:$D,4,0)</f>
        <v>Pièces Ro Clients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72" t="s">
        <v>2814</v>
      </c>
      <c r="B252" s="1072" t="s">
        <v>2815</v>
      </c>
      <c r="C252" s="1074">
        <v>0</v>
      </c>
      <c r="D252" s="1074">
        <v>63298.68</v>
      </c>
      <c r="E252" s="1074">
        <v>63298.68</v>
      </c>
      <c r="F252" s="1072" t="s">
        <v>424</v>
      </c>
      <c r="G252" s="1072" t="s">
        <v>2044</v>
      </c>
      <c r="H252" s="1050"/>
      <c r="I252" s="1049"/>
      <c r="J252" s="1049"/>
      <c r="K252" s="1049"/>
      <c r="L252" s="153" t="str">
        <f t="shared" si="0"/>
        <v>5703</v>
      </c>
      <c r="M252" s="154" t="str">
        <f t="shared" si="1"/>
        <v>C/V - PIECE/ACC B.R. GARANTIE VW</v>
      </c>
      <c r="N252" s="155">
        <f>+IF(OR($Q252=Parametres!$G$2,$Q252=Parametres!$G$3),I252,C252)</f>
        <v>0</v>
      </c>
      <c r="O252" s="155">
        <f>+IF(OR($Q252=Parametres!$G$2,$Q252=Parametres!$G$3),J252,D252)</f>
        <v>63298.68</v>
      </c>
      <c r="P252" s="155">
        <f>+IF(OR($Q252=Parametres!$G$2,$Q252=Parametres!$G$3),K252,E252)</f>
        <v>63298.68</v>
      </c>
      <c r="Q252" s="154" t="str">
        <f t="shared" si="17"/>
        <v>6-Coût des ventes</v>
      </c>
      <c r="R252" s="153" t="str">
        <f t="shared" si="17"/>
        <v>4703</v>
      </c>
      <c r="S252" s="154">
        <f t="shared" si="17"/>
        <v>0</v>
      </c>
      <c r="T252" s="156" t="str">
        <f>+VLOOKUP($L252,Data_Validation!$A:$D,1,0)</f>
        <v>5703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72" t="s">
        <v>2811</v>
      </c>
      <c r="B253" s="1072" t="s">
        <v>2812</v>
      </c>
      <c r="C253" s="1074">
        <v>0</v>
      </c>
      <c r="D253" s="1074">
        <v>22105.45</v>
      </c>
      <c r="E253" s="1074">
        <v>22105.45</v>
      </c>
      <c r="F253" s="1072" t="s">
        <v>424</v>
      </c>
      <c r="G253" s="1072" t="s">
        <v>2048</v>
      </c>
      <c r="H253" s="1050"/>
      <c r="I253" s="1049"/>
      <c r="J253" s="1049"/>
      <c r="K253" s="1049"/>
      <c r="L253" s="153" t="str">
        <f t="shared" si="0"/>
        <v>5705</v>
      </c>
      <c r="M253" s="154" t="str">
        <f t="shared" si="1"/>
        <v>C/V - PIECE/ACC B.R. INTERNE VW</v>
      </c>
      <c r="N253" s="155">
        <f>+IF(OR($Q253=Parametres!$G$2,$Q253=Parametres!$G$3),I253,C253)</f>
        <v>0</v>
      </c>
      <c r="O253" s="155">
        <f>+IF(OR($Q253=Parametres!$G$2,$Q253=Parametres!$G$3),J253,D253)</f>
        <v>22105.45</v>
      </c>
      <c r="P253" s="155">
        <f>+IF(OR($Q253=Parametres!$G$2,$Q253=Parametres!$G$3),K253,E253)</f>
        <v>22105.45</v>
      </c>
      <c r="Q253" s="154" t="str">
        <f t="shared" si="17"/>
        <v>6-Coût des ventes</v>
      </c>
      <c r="R253" s="153" t="str">
        <f t="shared" si="17"/>
        <v>4705</v>
      </c>
      <c r="S253" s="154">
        <f t="shared" si="17"/>
        <v>0</v>
      </c>
      <c r="T253" s="156" t="str">
        <f>+VLOOKUP($L253,Data_Validation!$A:$D,1,0)</f>
        <v>5705</v>
      </c>
      <c r="U253" s="156" t="str">
        <f>+VLOOKUP($L253,Data_Validation!$A:$D,3,0)</f>
        <v>Pièces</v>
      </c>
      <c r="V253" s="156" t="str">
        <f>+VLOOKUP($L253,Data_Validation!$A:$D,4,0)</f>
        <v>Ventes Internes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72" t="s">
        <v>2460</v>
      </c>
      <c r="B254" s="1072" t="s">
        <v>2728</v>
      </c>
      <c r="C254" s="1074">
        <v>0</v>
      </c>
      <c r="D254" s="1074">
        <v>1313.49</v>
      </c>
      <c r="E254" s="1074">
        <v>1313.49</v>
      </c>
      <c r="F254" s="1072" t="s">
        <v>424</v>
      </c>
      <c r="G254" s="1072" t="s">
        <v>2115</v>
      </c>
      <c r="H254" s="1050"/>
      <c r="I254" s="1049"/>
      <c r="J254" s="1049"/>
      <c r="K254" s="1049"/>
      <c r="L254" s="153" t="str">
        <f t="shared" si="0"/>
        <v>5711</v>
      </c>
      <c r="M254" s="154" t="str">
        <f t="shared" si="1"/>
        <v>C/V - AUTRE PIECE/ACC/CARR B.R. CLIENT</v>
      </c>
      <c r="N254" s="155">
        <f>+IF(OR($Q254=Parametres!$G$2,$Q254=Parametres!$G$3),I254,C254)</f>
        <v>0</v>
      </c>
      <c r="O254" s="155">
        <f>+IF(OR($Q254=Parametres!$G$2,$Q254=Parametres!$G$3),J254,D254)</f>
        <v>1313.49</v>
      </c>
      <c r="P254" s="155">
        <f>+IF(OR($Q254=Parametres!$G$2,$Q254=Parametres!$G$3),K254,E254)</f>
        <v>1313.49</v>
      </c>
      <c r="Q254" s="154" t="str">
        <f t="shared" si="17"/>
        <v>6-Coût des ventes</v>
      </c>
      <c r="R254" s="153" t="str">
        <f t="shared" si="17"/>
        <v>4711</v>
      </c>
      <c r="S254" s="154">
        <f t="shared" si="17"/>
        <v>0</v>
      </c>
      <c r="T254" s="156" t="str">
        <f>+VLOOKUP($L254,Data_Validation!$A:$D,1,0)</f>
        <v>5711</v>
      </c>
      <c r="U254" s="156" t="str">
        <f>+VLOOKUP($L254,Data_Validation!$A:$D,3,0)</f>
        <v>Pièces</v>
      </c>
      <c r="V254" s="156" t="str">
        <f>+VLOOKUP($L254,Data_Validation!$A:$D,4,0)</f>
        <v>Pièces Ro Clients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72" t="s">
        <v>2460</v>
      </c>
      <c r="B255" s="1072" t="s">
        <v>2461</v>
      </c>
      <c r="C255" s="1074">
        <v>0</v>
      </c>
      <c r="D255" s="1074">
        <v>7725.72</v>
      </c>
      <c r="E255" s="1074">
        <v>7725.72</v>
      </c>
      <c r="F255" s="1072" t="s">
        <v>424</v>
      </c>
      <c r="G255" s="1072" t="s">
        <v>2445</v>
      </c>
      <c r="H255" s="1050"/>
      <c r="I255" s="1049"/>
      <c r="J255" s="1049"/>
      <c r="K255" s="1049"/>
      <c r="L255" s="153" t="str">
        <f t="shared" si="0"/>
        <v>5721</v>
      </c>
      <c r="M255" s="154" t="str">
        <f t="shared" si="1"/>
        <v>C/V - AUTRE PIECE/ACC/CARR B.R. CLIENT</v>
      </c>
      <c r="N255" s="155">
        <f>+IF(OR($Q255=Parametres!$G$2,$Q255=Parametres!$G$3),I255,C255)</f>
        <v>0</v>
      </c>
      <c r="O255" s="155">
        <f>+IF(OR($Q255=Parametres!$G$2,$Q255=Parametres!$G$3),J255,D255)</f>
        <v>7725.72</v>
      </c>
      <c r="P255" s="155">
        <f>+IF(OR($Q255=Parametres!$G$2,$Q255=Parametres!$G$3),K255,E255)</f>
        <v>7725.72</v>
      </c>
      <c r="Q255" s="154" t="str">
        <f t="shared" si="17"/>
        <v>6-Coût des ventes</v>
      </c>
      <c r="R255" s="153" t="str">
        <f t="shared" si="17"/>
        <v>4721</v>
      </c>
      <c r="S255" s="154">
        <f t="shared" si="17"/>
        <v>0</v>
      </c>
      <c r="T255" s="156" t="str">
        <f>+VLOOKUP($L255,Data_Validation!$A:$D,1,0)</f>
        <v>5721</v>
      </c>
      <c r="U255" s="156" t="str">
        <f>+VLOOKUP($L255,Data_Validation!$A:$D,3,0)</f>
        <v>Pièces</v>
      </c>
      <c r="V255" s="156" t="str">
        <f>+VLOOKUP($L255,Data_Validation!$A:$D,4,0)</f>
        <v>Pièces Ro Clients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72" t="s">
        <v>2754</v>
      </c>
      <c r="B256" s="1072" t="s">
        <v>2755</v>
      </c>
      <c r="C256" s="1074">
        <v>0</v>
      </c>
      <c r="D256" s="1074">
        <v>20409.11</v>
      </c>
      <c r="E256" s="1074">
        <v>20409.11</v>
      </c>
      <c r="F256" s="1072" t="s">
        <v>424</v>
      </c>
      <c r="G256" s="1072" t="s">
        <v>2108</v>
      </c>
      <c r="H256" s="1050"/>
      <c r="I256" s="1049"/>
      <c r="J256" s="1049"/>
      <c r="K256" s="1049"/>
      <c r="L256" s="153" t="str">
        <f t="shared" si="0"/>
        <v>5731</v>
      </c>
      <c r="M256" s="154" t="str">
        <f t="shared" si="1"/>
        <v>C/V - PIECES-BON REPAR.-PEINT/DEBOS</v>
      </c>
      <c r="N256" s="155">
        <f>+IF(OR($Q256=Parametres!$G$2,$Q256=Parametres!$G$3),I256,C256)</f>
        <v>0</v>
      </c>
      <c r="O256" s="155">
        <f>+IF(OR($Q256=Parametres!$G$2,$Q256=Parametres!$G$3),J256,D256)</f>
        <v>20409.11</v>
      </c>
      <c r="P256" s="155">
        <f>+IF(OR($Q256=Parametres!$G$2,$Q256=Parametres!$G$3),K256,E256)</f>
        <v>20409.11</v>
      </c>
      <c r="Q256" s="154" t="str">
        <f t="shared" si="17"/>
        <v>6-Coût des ventes</v>
      </c>
      <c r="R256" s="153" t="str">
        <f t="shared" si="17"/>
        <v>4731</v>
      </c>
      <c r="S256" s="154">
        <f t="shared" si="17"/>
        <v>0</v>
      </c>
      <c r="T256" s="156" t="str">
        <f>+VLOOKUP($L256,Data_Validation!$A:$D,1,0)</f>
        <v>5731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72" t="s">
        <v>2787</v>
      </c>
      <c r="B257" s="1072" t="s">
        <v>2788</v>
      </c>
      <c r="C257" s="1074">
        <v>0</v>
      </c>
      <c r="D257" s="1074">
        <v>31920.68</v>
      </c>
      <c r="E257" s="1074">
        <v>31920.68</v>
      </c>
      <c r="F257" s="1072" t="s">
        <v>424</v>
      </c>
      <c r="G257" s="1072" t="s">
        <v>2091</v>
      </c>
      <c r="H257" s="1050"/>
      <c r="I257" s="1049"/>
      <c r="J257" s="1049"/>
      <c r="K257" s="1049"/>
      <c r="L257" s="153" t="str">
        <f t="shared" ref="L257:L511" si="18">+B257</f>
        <v>5733</v>
      </c>
      <c r="M257" s="154" t="str">
        <f t="shared" ref="M257:M511" si="19">+A257</f>
        <v>C/V - P&amp;A B.T. GAR.CARR.VW</v>
      </c>
      <c r="N257" s="155">
        <f>+IF(OR($Q257=Parametres!$G$2,$Q257=Parametres!$G$3),I257,C257)</f>
        <v>0</v>
      </c>
      <c r="O257" s="155">
        <f>+IF(OR($Q257=Parametres!$G$2,$Q257=Parametres!$G$3),J257,D257)</f>
        <v>31920.68</v>
      </c>
      <c r="P257" s="155">
        <f>+IF(OR($Q257=Parametres!$G$2,$Q257=Parametres!$G$3),K257,E257)</f>
        <v>31920.68</v>
      </c>
      <c r="Q257" s="154" t="str">
        <f t="shared" si="17"/>
        <v>6-Coût des ventes</v>
      </c>
      <c r="R257" s="153" t="str">
        <f t="shared" si="17"/>
        <v>4733</v>
      </c>
      <c r="S257" s="154">
        <f t="shared" si="17"/>
        <v>0</v>
      </c>
      <c r="T257" s="156" t="str">
        <f>+VLOOKUP($L257,Data_Validation!$A:$D,1,0)</f>
        <v>5733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72" t="s">
        <v>2668</v>
      </c>
      <c r="B258" s="1072" t="s">
        <v>2669</v>
      </c>
      <c r="C258" s="1074">
        <v>0</v>
      </c>
      <c r="D258" s="1074">
        <v>78.150000000000006</v>
      </c>
      <c r="E258" s="1074">
        <v>78.150000000000006</v>
      </c>
      <c r="F258" s="1072" t="s">
        <v>424</v>
      </c>
      <c r="G258" s="1072" t="s">
        <v>2166</v>
      </c>
      <c r="H258" s="1050"/>
      <c r="I258" s="1050"/>
      <c r="J258" s="1050"/>
      <c r="K258" s="1050"/>
      <c r="L258" s="153" t="str">
        <f t="shared" si="18"/>
        <v>5735</v>
      </c>
      <c r="M258" s="154" t="str">
        <f t="shared" si="19"/>
        <v>C/V - P&amp;A B.T.INTERNE CARR.VW</v>
      </c>
      <c r="N258" s="155">
        <f>+IF(OR($Q258=Parametres!$G$2,$Q258=Parametres!$G$3),I258,C258)</f>
        <v>0</v>
      </c>
      <c r="O258" s="155">
        <f>+IF(OR($Q258=Parametres!$G$2,$Q258=Parametres!$G$3),J258,D258)</f>
        <v>78.150000000000006</v>
      </c>
      <c r="P258" s="155">
        <f>+IF(OR($Q258=Parametres!$G$2,$Q258=Parametres!$G$3),K258,E258)</f>
        <v>78.150000000000006</v>
      </c>
      <c r="Q258" s="154" t="str">
        <f t="shared" ref="Q258:S273" si="20">+F258</f>
        <v>6-Coût des ventes</v>
      </c>
      <c r="R258" s="153" t="str">
        <f t="shared" si="20"/>
        <v>4735</v>
      </c>
      <c r="S258" s="154">
        <f t="shared" si="20"/>
        <v>0</v>
      </c>
      <c r="T258" s="156" t="str">
        <f>+VLOOKUP($L258,Data_Validation!$A:$D,1,0)</f>
        <v>5735</v>
      </c>
      <c r="U258" s="156" t="str">
        <f>+VLOOKUP($L258,Data_Validation!$A:$D,3,0)</f>
        <v>Pièces</v>
      </c>
      <c r="V258" s="156" t="str">
        <f>+VLOOKUP($L258,Data_Validation!$A:$D,4,0)</f>
        <v>Pièces Ro Carrosserie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72" t="s">
        <v>2794</v>
      </c>
      <c r="B259" s="1072" t="s">
        <v>2795</v>
      </c>
      <c r="C259" s="1074">
        <v>0</v>
      </c>
      <c r="D259" s="1074">
        <v>6771.18</v>
      </c>
      <c r="E259" s="1074">
        <v>6771.18</v>
      </c>
      <c r="F259" s="1072" t="s">
        <v>424</v>
      </c>
      <c r="G259" s="1072" t="s">
        <v>2083</v>
      </c>
      <c r="H259" s="1050"/>
      <c r="I259" s="1050"/>
      <c r="J259" s="1050"/>
      <c r="K259" s="1050"/>
      <c r="L259" s="153" t="str">
        <f t="shared" si="18"/>
        <v>5761</v>
      </c>
      <c r="M259" s="154" t="str">
        <f t="shared" si="19"/>
        <v>C/V - P&amp;A VW COMPTOIR - DETAIL</v>
      </c>
      <c r="N259" s="155">
        <f>+IF(OR($Q259=Parametres!$G$2,$Q259=Parametres!$G$3),I259,C259)</f>
        <v>0</v>
      </c>
      <c r="O259" s="155">
        <f>+IF(OR($Q259=Parametres!$G$2,$Q259=Parametres!$G$3),J259,D259)</f>
        <v>6771.18</v>
      </c>
      <c r="P259" s="155">
        <f>+IF(OR($Q259=Parametres!$G$2,$Q259=Parametres!$G$3),K259,E259)</f>
        <v>6771.18</v>
      </c>
      <c r="Q259" s="154" t="str">
        <f t="shared" si="20"/>
        <v>6-Coût des ventes</v>
      </c>
      <c r="R259" s="153" t="str">
        <f t="shared" si="20"/>
        <v>4761</v>
      </c>
      <c r="S259" s="154">
        <f t="shared" si="20"/>
        <v>0</v>
      </c>
      <c r="T259" s="156" t="str">
        <f>+VLOOKUP($L259,Data_Validation!$A:$D,1,0)</f>
        <v>5761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72" t="s">
        <v>2816</v>
      </c>
      <c r="B260" s="1072" t="s">
        <v>2817</v>
      </c>
      <c r="C260" s="1074">
        <v>0</v>
      </c>
      <c r="D260" s="1074">
        <v>42834.28</v>
      </c>
      <c r="E260" s="1074">
        <v>42834.28</v>
      </c>
      <c r="F260" s="1072" t="s">
        <v>424</v>
      </c>
      <c r="G260" s="1072" t="s">
        <v>2046</v>
      </c>
      <c r="H260" s="1050"/>
      <c r="I260" s="1050"/>
      <c r="J260" s="1050"/>
      <c r="K260" s="1050"/>
      <c r="L260" s="153" t="str">
        <f t="shared" si="18"/>
        <v>5763</v>
      </c>
      <c r="M260" s="154" t="str">
        <f t="shared" si="19"/>
        <v>C/V - P&amp;A VW COMPTOIR GROS - ECHANGE</v>
      </c>
      <c r="N260" s="155">
        <f>+IF(OR($Q260=Parametres!$G$2,$Q260=Parametres!$G$3),I260,C260)</f>
        <v>0</v>
      </c>
      <c r="O260" s="155">
        <f>+IF(OR($Q260=Parametres!$G$2,$Q260=Parametres!$G$3),J260,D260)</f>
        <v>42834.28</v>
      </c>
      <c r="P260" s="155">
        <f>+IF(OR($Q260=Parametres!$G$2,$Q260=Parametres!$G$3),K260,E260)</f>
        <v>42834.28</v>
      </c>
      <c r="Q260" s="154" t="str">
        <f t="shared" si="20"/>
        <v>6-Coût des ventes</v>
      </c>
      <c r="R260" s="153" t="str">
        <f t="shared" si="20"/>
        <v>4763</v>
      </c>
      <c r="S260" s="154">
        <f t="shared" si="20"/>
        <v>0</v>
      </c>
      <c r="T260" s="156" t="str">
        <f>+VLOOKUP($L260,Data_Validation!$A:$D,1,0)</f>
        <v>5763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72" t="s">
        <v>2820</v>
      </c>
      <c r="B261" s="1072" t="s">
        <v>2821</v>
      </c>
      <c r="C261" s="1074">
        <v>0</v>
      </c>
      <c r="D261" s="1074">
        <v>35912.559999999998</v>
      </c>
      <c r="E261" s="1074">
        <v>35912.559999999998</v>
      </c>
      <c r="F261" s="1072" t="s">
        <v>424</v>
      </c>
      <c r="G261" s="1072" t="s">
        <v>2035</v>
      </c>
      <c r="H261" s="1050"/>
      <c r="I261" s="1050"/>
      <c r="J261" s="1050"/>
      <c r="K261" s="1050"/>
      <c r="L261" s="153" t="str">
        <f t="shared" si="18"/>
        <v>5781</v>
      </c>
      <c r="M261" s="154" t="str">
        <f t="shared" si="19"/>
        <v>COUT PNEUS</v>
      </c>
      <c r="N261" s="155">
        <f>+IF(OR($Q261=Parametres!$G$2,$Q261=Parametres!$G$3),I261,C261)</f>
        <v>0</v>
      </c>
      <c r="O261" s="155">
        <f>+IF(OR($Q261=Parametres!$G$2,$Q261=Parametres!$G$3),J261,D261)</f>
        <v>35912.559999999998</v>
      </c>
      <c r="P261" s="155">
        <f>+IF(OR($Q261=Parametres!$G$2,$Q261=Parametres!$G$3),K261,E261)</f>
        <v>35912.559999999998</v>
      </c>
      <c r="Q261" s="154" t="str">
        <f t="shared" si="20"/>
        <v>6-Coût des ventes</v>
      </c>
      <c r="R261" s="153" t="str">
        <f t="shared" si="20"/>
        <v>4781</v>
      </c>
      <c r="S261" s="154">
        <f t="shared" si="20"/>
        <v>0</v>
      </c>
      <c r="T261" s="156" t="str">
        <f>+VLOOKUP($L261,Data_Validation!$A:$D,1,0)</f>
        <v>5781</v>
      </c>
      <c r="U261" s="156" t="str">
        <f>+VLOOKUP($L261,Data_Validation!$A:$D,3,0)</f>
        <v>Pièces</v>
      </c>
      <c r="V261" s="156" t="str">
        <f>+VLOOKUP($L261,Data_Validation!$A:$D,4,0)</f>
        <v>Ventes Pneus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72" t="s">
        <v>2729</v>
      </c>
      <c r="B262" s="1072" t="s">
        <v>2730</v>
      </c>
      <c r="C262" s="1074">
        <v>0</v>
      </c>
      <c r="D262" s="1074">
        <v>105.81</v>
      </c>
      <c r="E262" s="1074">
        <v>105.81</v>
      </c>
      <c r="F262" s="1072" t="s">
        <v>424</v>
      </c>
      <c r="G262" s="1072" t="s">
        <v>2035</v>
      </c>
      <c r="H262" s="1050"/>
      <c r="I262" s="1050"/>
      <c r="J262" s="1050"/>
      <c r="K262" s="1050"/>
      <c r="L262" s="153" t="str">
        <f t="shared" si="18"/>
        <v>5785</v>
      </c>
      <c r="M262" s="154" t="str">
        <f t="shared" si="19"/>
        <v>C/V - VW PNEUS</v>
      </c>
      <c r="N262" s="155">
        <f>+IF(OR($Q262=Parametres!$G$2,$Q262=Parametres!$G$3),I262,C262)</f>
        <v>0</v>
      </c>
      <c r="O262" s="155">
        <f>+IF(OR($Q262=Parametres!$G$2,$Q262=Parametres!$G$3),J262,D262)</f>
        <v>105.81</v>
      </c>
      <c r="P262" s="155">
        <f>+IF(OR($Q262=Parametres!$G$2,$Q262=Parametres!$G$3),K262,E262)</f>
        <v>105.81</v>
      </c>
      <c r="Q262" s="154" t="str">
        <f t="shared" si="20"/>
        <v>6-Coût des ventes</v>
      </c>
      <c r="R262" s="153" t="str">
        <f t="shared" si="20"/>
        <v>4781</v>
      </c>
      <c r="S262" s="154">
        <f t="shared" si="20"/>
        <v>0</v>
      </c>
      <c r="T262" s="156" t="str">
        <f>+VLOOKUP($L262,Data_Validation!$A:$D,1,0)</f>
        <v>5785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72" t="s">
        <v>2135</v>
      </c>
      <c r="B263" s="1072" t="s">
        <v>2136</v>
      </c>
      <c r="C263" s="1074">
        <v>0</v>
      </c>
      <c r="D263" s="1074">
        <v>-1242.5899999999999</v>
      </c>
      <c r="E263" s="1074">
        <v>-1242.5899999999999</v>
      </c>
      <c r="F263" s="1072" t="s">
        <v>424</v>
      </c>
      <c r="G263" s="1072" t="s">
        <v>2137</v>
      </c>
      <c r="H263" s="1050"/>
      <c r="I263" s="1050"/>
      <c r="J263" s="1050"/>
      <c r="K263" s="1050"/>
      <c r="L263" s="153" t="str">
        <f t="shared" si="18"/>
        <v>5796</v>
      </c>
      <c r="M263" s="154" t="str">
        <f t="shared" si="19"/>
        <v>C/V - BONI / ESCPTE PI VW</v>
      </c>
      <c r="N263" s="155">
        <f>+IF(OR($Q263=Parametres!$G$2,$Q263=Parametres!$G$3),I263,C263)</f>
        <v>0</v>
      </c>
      <c r="O263" s="155">
        <f>+IF(OR($Q263=Parametres!$G$2,$Q263=Parametres!$G$3),J263,D263)</f>
        <v>-1242.5899999999999</v>
      </c>
      <c r="P263" s="155">
        <f>+IF(OR($Q263=Parametres!$G$2,$Q263=Parametres!$G$3),K263,E263)</f>
        <v>-1242.5899999999999</v>
      </c>
      <c r="Q263" s="154" t="str">
        <f t="shared" si="20"/>
        <v>6-Coût des ventes</v>
      </c>
      <c r="R263" s="153" t="str">
        <f t="shared" si="20"/>
        <v>5792</v>
      </c>
      <c r="S263" s="154">
        <f t="shared" si="20"/>
        <v>0</v>
      </c>
      <c r="T263" s="156" t="str">
        <f>+VLOOKUP($L263,Data_Validation!$A:$D,1,0)</f>
        <v>5796</v>
      </c>
      <c r="U263" s="156" t="str">
        <f>+VLOOKUP($L263,Data_Validation!$A:$D,3,0)</f>
        <v>Pièces</v>
      </c>
      <c r="V263" s="156" t="str">
        <f>+VLOOKUP($L263,Data_Validation!$A:$D,4,0)</f>
        <v>Escomptes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72" t="s">
        <v>1523</v>
      </c>
      <c r="B264" s="1072" t="s">
        <v>2781</v>
      </c>
      <c r="C264" s="1074">
        <v>0</v>
      </c>
      <c r="D264" s="1074">
        <v>29702.83</v>
      </c>
      <c r="E264" s="1074">
        <v>29702.83</v>
      </c>
      <c r="F264" s="1072" t="s">
        <v>401</v>
      </c>
      <c r="G264" s="1072" t="s">
        <v>2781</v>
      </c>
      <c r="H264" s="1050"/>
      <c r="I264" s="1050"/>
      <c r="J264" s="1050"/>
      <c r="K264" s="1050"/>
      <c r="L264" s="153" t="str">
        <f t="shared" si="18"/>
        <v>6101</v>
      </c>
      <c r="M264" s="154" t="str">
        <f t="shared" si="19"/>
        <v>COMMISSION VENDEUR NEUFS</v>
      </c>
      <c r="N264" s="155">
        <f>+IF(OR($Q264=Parametres!$G$2,$Q264=Parametres!$G$3),I264,C264)</f>
        <v>0</v>
      </c>
      <c r="O264" s="155">
        <f>+IF(OR($Q264=Parametres!$G$2,$Q264=Parametres!$G$3),J264,D264)</f>
        <v>29702.83</v>
      </c>
      <c r="P264" s="155">
        <f>+IF(OR($Q264=Parametres!$G$2,$Q264=Parametres!$G$3),K264,E264)</f>
        <v>29702.83</v>
      </c>
      <c r="Q264" s="154" t="str">
        <f t="shared" si="20"/>
        <v>7-Dépenses</v>
      </c>
      <c r="R264" s="153" t="str">
        <f t="shared" si="20"/>
        <v>6101</v>
      </c>
      <c r="S264" s="154">
        <f t="shared" si="20"/>
        <v>0</v>
      </c>
      <c r="T264" s="156" t="str">
        <f>+VLOOKUP($L264,Data_Validation!$A:$D,1,0)</f>
        <v>6101</v>
      </c>
      <c r="U264" s="156" t="str">
        <f>+VLOOKUP($L264,Data_Validation!$A:$D,3,0)</f>
        <v>Véhicules neufs</v>
      </c>
      <c r="V264" s="156" t="str">
        <f>+VLOOKUP($L264,Data_Validation!$A:$D,4,0)</f>
        <v>Comm. vendeurs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72" t="s">
        <v>1442</v>
      </c>
      <c r="B265" s="1072" t="s">
        <v>2770</v>
      </c>
      <c r="C265" s="1074">
        <v>0</v>
      </c>
      <c r="D265" s="1074">
        <v>13705.76</v>
      </c>
      <c r="E265" s="1074">
        <v>13705.76</v>
      </c>
      <c r="F265" s="1072" t="s">
        <v>401</v>
      </c>
      <c r="G265" s="1072" t="s">
        <v>2770</v>
      </c>
      <c r="H265" s="1050"/>
      <c r="I265" s="1050"/>
      <c r="J265" s="1050"/>
      <c r="K265" s="1050"/>
      <c r="L265" s="153" t="str">
        <f t="shared" si="18"/>
        <v>6102</v>
      </c>
      <c r="M265" s="154" t="str">
        <f t="shared" si="19"/>
        <v>RENUMERATION F &amp; I</v>
      </c>
      <c r="N265" s="155">
        <f>+IF(OR($Q265=Parametres!$G$2,$Q265=Parametres!$G$3),I265,C265)</f>
        <v>0</v>
      </c>
      <c r="O265" s="155">
        <f>+IF(OR($Q265=Parametres!$G$2,$Q265=Parametres!$G$3),J265,D265)</f>
        <v>13705.76</v>
      </c>
      <c r="P265" s="155">
        <f>+IF(OR($Q265=Parametres!$G$2,$Q265=Parametres!$G$3),K265,E265)</f>
        <v>13705.76</v>
      </c>
      <c r="Q265" s="154" t="str">
        <f t="shared" si="20"/>
        <v>7-Dépenses</v>
      </c>
      <c r="R265" s="153" t="str">
        <f t="shared" si="20"/>
        <v>6102</v>
      </c>
      <c r="S265" s="154">
        <f t="shared" si="20"/>
        <v>0</v>
      </c>
      <c r="T265" s="156" t="str">
        <f>+VLOOKUP($L265,Data_Validation!$A:$D,1,0)</f>
        <v>6102</v>
      </c>
      <c r="U265" s="156" t="str">
        <f>+VLOOKUP($L265,Data_Validation!$A:$D,3,0)</f>
        <v>Véhicules neufs</v>
      </c>
      <c r="V265" s="156" t="str">
        <f>+VLOOKUP($L265,Data_Validation!$A:$D,4,0)</f>
        <v>Comm. F&amp;I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72" t="s">
        <v>2757</v>
      </c>
      <c r="B266" s="1072" t="s">
        <v>2759</v>
      </c>
      <c r="C266" s="1074">
        <v>0</v>
      </c>
      <c r="D266" s="1074">
        <v>1600.65</v>
      </c>
      <c r="E266" s="1074">
        <v>1600.65</v>
      </c>
      <c r="F266" s="1072" t="s">
        <v>401</v>
      </c>
      <c r="G266" s="1072" t="s">
        <v>2759</v>
      </c>
      <c r="H266" s="1050"/>
      <c r="I266" s="1050"/>
      <c r="J266" s="1050"/>
      <c r="K266" s="1050"/>
      <c r="L266" s="153" t="str">
        <f t="shared" si="18"/>
        <v>6106</v>
      </c>
      <c r="M266" s="154" t="str">
        <f t="shared" si="19"/>
        <v>ENTRETIEN DES STOCKS</v>
      </c>
      <c r="N266" s="155">
        <f>+IF(OR($Q266=Parametres!$G$2,$Q266=Parametres!$G$3),I266,C266)</f>
        <v>0</v>
      </c>
      <c r="O266" s="155">
        <f>+IF(OR($Q266=Parametres!$G$2,$Q266=Parametres!$G$3),J266,D266)</f>
        <v>1600.65</v>
      </c>
      <c r="P266" s="155">
        <f>+IF(OR($Q266=Parametres!$G$2,$Q266=Parametres!$G$3),K266,E266)</f>
        <v>1600.65</v>
      </c>
      <c r="Q266" s="154" t="str">
        <f t="shared" si="20"/>
        <v>7-Dépenses</v>
      </c>
      <c r="R266" s="153" t="str">
        <f t="shared" si="20"/>
        <v>6106</v>
      </c>
      <c r="S266" s="154">
        <f t="shared" si="20"/>
        <v>0</v>
      </c>
      <c r="T266" s="156" t="str">
        <f>+VLOOKUP($L266,Data_Validation!$A:$D,1,0)</f>
        <v>6106</v>
      </c>
      <c r="U266" s="156" t="str">
        <f>+VLOOKUP($L266,Data_Validation!$A:$D,3,0)</f>
        <v>Véhicules neufs</v>
      </c>
      <c r="V266" s="156" t="str">
        <f>+VLOOKUP($L266,Data_Validation!$A:$D,4,0)</f>
        <v>Entretien stock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72" t="s">
        <v>938</v>
      </c>
      <c r="B267" s="1072" t="s">
        <v>2612</v>
      </c>
      <c r="C267" s="1074">
        <v>0</v>
      </c>
      <c r="D267" s="1074">
        <v>18329.310000000001</v>
      </c>
      <c r="E267" s="1074">
        <v>18329.310000000001</v>
      </c>
      <c r="F267" s="1072" t="s">
        <v>401</v>
      </c>
      <c r="G267" s="1072" t="s">
        <v>2612</v>
      </c>
      <c r="H267" s="1050"/>
      <c r="I267" s="1050"/>
      <c r="J267" s="1050"/>
      <c r="K267" s="1050"/>
      <c r="L267" s="153" t="str">
        <f t="shared" si="18"/>
        <v>6107</v>
      </c>
      <c r="M267" s="154" t="str">
        <f t="shared" si="19"/>
        <v>INTERET-PLAN DE FINANCEMENT</v>
      </c>
      <c r="N267" s="155">
        <f>+IF(OR($Q267=Parametres!$G$2,$Q267=Parametres!$G$3),I267,C267)</f>
        <v>0</v>
      </c>
      <c r="O267" s="155">
        <f>+IF(OR($Q267=Parametres!$G$2,$Q267=Parametres!$G$3),J267,D267)</f>
        <v>18329.310000000001</v>
      </c>
      <c r="P267" s="155">
        <f>+IF(OR($Q267=Parametres!$G$2,$Q267=Parametres!$G$3),K267,E267)</f>
        <v>18329.310000000001</v>
      </c>
      <c r="Q267" s="154" t="str">
        <f t="shared" si="20"/>
        <v>7-Dépenses</v>
      </c>
      <c r="R267" s="153" t="str">
        <f t="shared" si="20"/>
        <v>6107</v>
      </c>
      <c r="S267" s="154">
        <f t="shared" si="20"/>
        <v>0</v>
      </c>
      <c r="T267" s="156" t="str">
        <f>+VLOOKUP($L267,Data_Validation!$A:$D,1,0)</f>
        <v>6107</v>
      </c>
      <c r="U267" s="156" t="str">
        <f>+VLOOKUP($L267,Data_Validation!$A:$D,3,0)</f>
        <v>Véhicules neufs</v>
      </c>
      <c r="V267" s="156" t="str">
        <f>+VLOOKUP($L267,Data_Validation!$A:$D,4,0)</f>
        <v>Intérêt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72" t="s">
        <v>1407</v>
      </c>
      <c r="B268" s="1072" t="s">
        <v>2696</v>
      </c>
      <c r="C268" s="1074">
        <v>0</v>
      </c>
      <c r="D268" s="1074">
        <v>8054.33</v>
      </c>
      <c r="E268" s="1074">
        <v>8054.33</v>
      </c>
      <c r="F268" s="1072" t="s">
        <v>401</v>
      </c>
      <c r="G268" s="1072" t="s">
        <v>2696</v>
      </c>
      <c r="H268" s="1050"/>
      <c r="I268" s="1050"/>
      <c r="J268" s="1050"/>
      <c r="K268" s="1050"/>
      <c r="L268" s="153" t="str">
        <f t="shared" si="18"/>
        <v>6108</v>
      </c>
      <c r="M268" s="154" t="str">
        <f t="shared" si="19"/>
        <v>FRAIS DE LIVRAISON</v>
      </c>
      <c r="N268" s="155">
        <f>+IF(OR($Q268=Parametres!$G$2,$Q268=Parametres!$G$3),I268,C268)</f>
        <v>0</v>
      </c>
      <c r="O268" s="155">
        <f>+IF(OR($Q268=Parametres!$G$2,$Q268=Parametres!$G$3),J268,D268)</f>
        <v>8054.33</v>
      </c>
      <c r="P268" s="155">
        <f>+IF(OR($Q268=Parametres!$G$2,$Q268=Parametres!$G$3),K268,E268)</f>
        <v>8054.33</v>
      </c>
      <c r="Q268" s="154" t="str">
        <f t="shared" si="20"/>
        <v>7-Dépenses</v>
      </c>
      <c r="R268" s="153" t="str">
        <f t="shared" si="20"/>
        <v>6108</v>
      </c>
      <c r="S268" s="154">
        <f t="shared" si="20"/>
        <v>0</v>
      </c>
      <c r="T268" s="156" t="str">
        <f>+VLOOKUP($L268,Data_Validation!$A:$D,1,0)</f>
        <v>6108</v>
      </c>
      <c r="U268" s="156" t="str">
        <f>+VLOOKUP($L268,Data_Validation!$A:$D,3,0)</f>
        <v>Véhicules neufs</v>
      </c>
      <c r="V268" s="156" t="str">
        <f>+VLOOKUP($L268,Data_Validation!$A:$D,4,0)</f>
        <v>Frais de livraison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72" t="s">
        <v>1374</v>
      </c>
      <c r="B269" s="1072" t="s">
        <v>2113</v>
      </c>
      <c r="C269" s="1074">
        <v>0</v>
      </c>
      <c r="D269" s="1074">
        <v>12750</v>
      </c>
      <c r="E269" s="1074">
        <v>12750</v>
      </c>
      <c r="F269" s="1072" t="s">
        <v>401</v>
      </c>
      <c r="G269" s="1072" t="s">
        <v>2113</v>
      </c>
      <c r="H269" s="1050"/>
      <c r="I269" s="1050"/>
      <c r="J269" s="1050"/>
      <c r="K269" s="1050"/>
      <c r="L269" s="153" t="str">
        <f t="shared" si="18"/>
        <v>6114</v>
      </c>
      <c r="M269" s="154" t="str">
        <f t="shared" si="19"/>
        <v>PUBLICITE</v>
      </c>
      <c r="N269" s="155">
        <f>+IF(OR($Q269=Parametres!$G$2,$Q269=Parametres!$G$3),I269,C269)</f>
        <v>0</v>
      </c>
      <c r="O269" s="155">
        <f>+IF(OR($Q269=Parametres!$G$2,$Q269=Parametres!$G$3),J269,D269)</f>
        <v>12750</v>
      </c>
      <c r="P269" s="155">
        <f>+IF(OR($Q269=Parametres!$G$2,$Q269=Parametres!$G$3),K269,E269)</f>
        <v>12750</v>
      </c>
      <c r="Q269" s="154" t="str">
        <f t="shared" si="20"/>
        <v>7-Dépenses</v>
      </c>
      <c r="R269" s="153" t="str">
        <f t="shared" si="20"/>
        <v>6114</v>
      </c>
      <c r="S269" s="154">
        <f t="shared" si="20"/>
        <v>0</v>
      </c>
      <c r="T269" s="156" t="str">
        <f>+VLOOKUP($L269,Data_Validation!$A:$D,1,0)</f>
        <v>6114</v>
      </c>
      <c r="U269" s="156" t="str">
        <f>+VLOOKUP($L269,Data_Validation!$A:$D,3,0)</f>
        <v>Véhicules neufs</v>
      </c>
      <c r="V269" s="156" t="str">
        <f>+VLOOKUP($L269,Data_Validation!$A:$D,4,0)</f>
        <v>Publicité 1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72" t="s">
        <v>2111</v>
      </c>
      <c r="B270" s="1072" t="s">
        <v>2112</v>
      </c>
      <c r="C270" s="1074">
        <v>0</v>
      </c>
      <c r="D270" s="1074">
        <v>-6600</v>
      </c>
      <c r="E270" s="1074">
        <v>-6600</v>
      </c>
      <c r="F270" s="1072" t="s">
        <v>401</v>
      </c>
      <c r="G270" s="1072" t="s">
        <v>2113</v>
      </c>
      <c r="H270" s="1050"/>
      <c r="I270" s="1050"/>
      <c r="J270" s="1050"/>
      <c r="K270" s="1050"/>
      <c r="L270" s="153" t="str">
        <f t="shared" si="18"/>
        <v>6115</v>
      </c>
      <c r="M270" s="154" t="str">
        <f t="shared" si="19"/>
        <v>CREDIT PUBLICITE NEUF</v>
      </c>
      <c r="N270" s="155">
        <f>+IF(OR($Q270=Parametres!$G$2,$Q270=Parametres!$G$3),I270,C270)</f>
        <v>0</v>
      </c>
      <c r="O270" s="608">
        <f>+IF(OR($Q270=Parametres!$G$2,$Q270=Parametres!$G$3),J270,D270)</f>
        <v>-6600</v>
      </c>
      <c r="P270" s="155">
        <f>+IF(OR($Q270=Parametres!$G$2,$Q270=Parametres!$G$3),K270,E270)</f>
        <v>-6600</v>
      </c>
      <c r="Q270" s="154" t="str">
        <f t="shared" si="20"/>
        <v>7-Dépenses</v>
      </c>
      <c r="R270" s="153" t="str">
        <f t="shared" si="20"/>
        <v>6114</v>
      </c>
      <c r="S270" s="154">
        <f t="shared" si="20"/>
        <v>0</v>
      </c>
      <c r="T270" s="156" t="str">
        <f>+VLOOKUP($L270,Data_Validation!$A:$D,1,0)</f>
        <v>6115</v>
      </c>
      <c r="U270" s="156" t="str">
        <f>+VLOOKUP($L270,Data_Validation!$A:$D,3,0)</f>
        <v>Véhicules neufs</v>
      </c>
      <c r="V270" s="156" t="str">
        <f>+VLOOKUP($L270,Data_Validation!$A:$D,4,0)</f>
        <v>Publicité 1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72" t="s">
        <v>1259</v>
      </c>
      <c r="B271" s="1072" t="s">
        <v>2648</v>
      </c>
      <c r="C271" s="1074">
        <v>0</v>
      </c>
      <c r="D271" s="1074">
        <v>3258</v>
      </c>
      <c r="E271" s="1074">
        <v>3258</v>
      </c>
      <c r="F271" s="1072" t="s">
        <v>401</v>
      </c>
      <c r="G271" s="1072" t="s">
        <v>2648</v>
      </c>
      <c r="H271" s="1050"/>
      <c r="I271" s="1050"/>
      <c r="J271" s="1050"/>
      <c r="K271" s="1050"/>
      <c r="L271" s="153" t="str">
        <f t="shared" si="18"/>
        <v>6121</v>
      </c>
      <c r="M271" s="154" t="str">
        <f t="shared" si="19"/>
        <v>SALAIRES - PROPRIETAIRES</v>
      </c>
      <c r="N271" s="155">
        <f>+IF(OR($Q271=Parametres!$G$2,$Q271=Parametres!$G$3),I271,C271)</f>
        <v>0</v>
      </c>
      <c r="O271" s="608">
        <f>+IF(OR($Q271=Parametres!$G$2,$Q271=Parametres!$G$3),J271,D271)</f>
        <v>3258</v>
      </c>
      <c r="P271" s="155">
        <f>+IF(OR($Q271=Parametres!$G$2,$Q271=Parametres!$G$3),K271,E271)</f>
        <v>3258</v>
      </c>
      <c r="Q271" s="154" t="str">
        <f t="shared" si="20"/>
        <v>7-Dépenses</v>
      </c>
      <c r="R271" s="153" t="str">
        <f t="shared" si="20"/>
        <v>6121</v>
      </c>
      <c r="S271" s="154">
        <f t="shared" si="20"/>
        <v>0</v>
      </c>
      <c r="T271" s="156" t="str">
        <f>+VLOOKUP($L271,Data_Validation!$A:$D,1,0)</f>
        <v>6121</v>
      </c>
      <c r="U271" s="156" t="str">
        <f>+VLOOKUP($L271,Data_Validation!$A:$D,3,0)</f>
        <v>Véhicules neufs</v>
      </c>
      <c r="V271" s="156" t="str">
        <f>+VLOOKUP($L271,Data_Validation!$A:$D,4,0)</f>
        <v>Salaires propriétaire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72" t="s">
        <v>2624</v>
      </c>
      <c r="B272" s="1072" t="s">
        <v>2626</v>
      </c>
      <c r="C272" s="1074">
        <v>0</v>
      </c>
      <c r="D272" s="1074">
        <v>17655.259999999998</v>
      </c>
      <c r="E272" s="1074">
        <v>17655.259999999998</v>
      </c>
      <c r="F272" s="1072" t="s">
        <v>401</v>
      </c>
      <c r="G272" s="1072" t="s">
        <v>2626</v>
      </c>
      <c r="H272" s="1050"/>
      <c r="I272" s="1050"/>
      <c r="J272" s="1050"/>
      <c r="K272" s="1050"/>
      <c r="L272" s="153" t="str">
        <f t="shared" si="18"/>
        <v>6122</v>
      </c>
      <c r="M272" s="154" t="str">
        <f t="shared" si="19"/>
        <v>SAL SUPERVISION / GERANT</v>
      </c>
      <c r="N272" s="155">
        <f>+IF(OR($Q272=Parametres!$G$2,$Q272=Parametres!$G$3),I272,C272)</f>
        <v>0</v>
      </c>
      <c r="O272" s="608">
        <f>+IF(OR($Q272=Parametres!$G$2,$Q272=Parametres!$G$3),J272,D272)</f>
        <v>17655.259999999998</v>
      </c>
      <c r="P272" s="155">
        <f>+IF(OR($Q272=Parametres!$G$2,$Q272=Parametres!$G$3),K272,E272)</f>
        <v>17655.259999999998</v>
      </c>
      <c r="Q272" s="154" t="str">
        <f t="shared" si="20"/>
        <v>7-Dépenses</v>
      </c>
      <c r="R272" s="153" t="str">
        <f t="shared" si="20"/>
        <v>6122</v>
      </c>
      <c r="S272" s="154">
        <f t="shared" si="20"/>
        <v>0</v>
      </c>
      <c r="T272" s="156" t="str">
        <f>+VLOOKUP($L272,Data_Validation!$A:$D,1,0)</f>
        <v>6122</v>
      </c>
      <c r="U272" s="156" t="str">
        <f>+VLOOKUP($L272,Data_Validation!$A:$D,3,0)</f>
        <v>Véhicules neufs</v>
      </c>
      <c r="V272" s="156" t="str">
        <f>+VLOOKUP($L272,Data_Validation!$A:$D,4,0)</f>
        <v>Salaires cadres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72" t="s">
        <v>1342</v>
      </c>
      <c r="B273" s="1072" t="s">
        <v>2679</v>
      </c>
      <c r="C273" s="1074">
        <v>0</v>
      </c>
      <c r="D273" s="1074">
        <v>9148.48</v>
      </c>
      <c r="E273" s="1074">
        <v>9148.48</v>
      </c>
      <c r="F273" s="1072" t="s">
        <v>401</v>
      </c>
      <c r="G273" s="1072" t="s">
        <v>2679</v>
      </c>
      <c r="H273" s="1050"/>
      <c r="I273" s="1049"/>
      <c r="J273" s="1049"/>
      <c r="K273" s="1049"/>
      <c r="L273" s="153" t="str">
        <f t="shared" si="18"/>
        <v>6123</v>
      </c>
      <c r="M273" s="154" t="str">
        <f t="shared" si="19"/>
        <v>SAL. &amp; RENUM. - CLERICAL</v>
      </c>
      <c r="N273" s="155">
        <f>+IF(OR($Q273=Parametres!$G$2,$Q273=Parametres!$G$3),I273,C273)</f>
        <v>0</v>
      </c>
      <c r="O273" s="608">
        <f>+IF(OR($Q273=Parametres!$G$2,$Q273=Parametres!$G$3),J273,D273)</f>
        <v>9148.48</v>
      </c>
      <c r="P273" s="155">
        <f>+IF(OR($Q273=Parametres!$G$2,$Q273=Parametres!$G$3),K273,E273)</f>
        <v>9148.48</v>
      </c>
      <c r="Q273" s="154" t="str">
        <f t="shared" si="20"/>
        <v>7-Dépenses</v>
      </c>
      <c r="R273" s="153" t="str">
        <f t="shared" si="20"/>
        <v>6123</v>
      </c>
      <c r="S273" s="154">
        <f t="shared" si="20"/>
        <v>0</v>
      </c>
      <c r="T273" s="156" t="str">
        <f>+VLOOKUP($L273,Data_Validation!$A:$D,1,0)</f>
        <v>6123</v>
      </c>
      <c r="U273" s="156" t="str">
        <f>+VLOOKUP($L273,Data_Validation!$A:$D,3,0)</f>
        <v>Véhicules neufs</v>
      </c>
      <c r="V273" s="156" t="str">
        <f>+VLOOKUP($L273,Data_Validation!$A:$D,4,0)</f>
        <v>Salaires commis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72" t="s">
        <v>1249</v>
      </c>
      <c r="B274" s="1072" t="s">
        <v>2735</v>
      </c>
      <c r="C274" s="1074">
        <v>0</v>
      </c>
      <c r="D274" s="1074">
        <v>5931.63</v>
      </c>
      <c r="E274" s="1074">
        <v>5931.63</v>
      </c>
      <c r="F274" s="1072" t="s">
        <v>401</v>
      </c>
      <c r="G274" s="1072" t="s">
        <v>2735</v>
      </c>
      <c r="H274" s="1050"/>
      <c r="I274" s="1049"/>
      <c r="J274" s="1049"/>
      <c r="K274" s="1049"/>
      <c r="L274" s="153" t="str">
        <f t="shared" si="18"/>
        <v>6124</v>
      </c>
      <c r="M274" s="154" t="str">
        <f t="shared" si="19"/>
        <v>SALAIRES &amp; RENUM. - AUTRES</v>
      </c>
      <c r="N274" s="155">
        <f>+IF(OR($Q274=Parametres!$G$2,$Q274=Parametres!$G$3),I274,C274)</f>
        <v>0</v>
      </c>
      <c r="O274" s="608">
        <f>+IF(OR($Q274=Parametres!$G$2,$Q274=Parametres!$G$3),J274,D274)</f>
        <v>5931.63</v>
      </c>
      <c r="P274" s="155">
        <f>+IF(OR($Q274=Parametres!$G$2,$Q274=Parametres!$G$3),K274,E274)</f>
        <v>5931.63</v>
      </c>
      <c r="Q274" s="154" t="str">
        <f t="shared" ref="Q274:S289" si="21">+F274</f>
        <v>7-Dépenses</v>
      </c>
      <c r="R274" s="153" t="str">
        <f t="shared" si="21"/>
        <v>6124</v>
      </c>
      <c r="S274" s="154">
        <f t="shared" si="21"/>
        <v>0</v>
      </c>
      <c r="T274" s="156" t="str">
        <f>+VLOOKUP($L274,Data_Validation!$A:$D,1,0)</f>
        <v>6124</v>
      </c>
      <c r="U274" s="156" t="str">
        <f>+VLOOKUP($L274,Data_Validation!$A:$D,3,0)</f>
        <v>Véhicules neufs</v>
      </c>
      <c r="V274" s="156" t="str">
        <f>+VLOOKUP($L274,Data_Validation!$A:$D,4,0)</f>
        <v>Salaires autres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72" t="s">
        <v>1445</v>
      </c>
      <c r="B275" s="1072" t="s">
        <v>2641</v>
      </c>
      <c r="C275" s="1074">
        <v>0</v>
      </c>
      <c r="D275" s="1074">
        <v>13018.58</v>
      </c>
      <c r="E275" s="1074">
        <v>13018.58</v>
      </c>
      <c r="F275" s="1072" t="s">
        <v>401</v>
      </c>
      <c r="G275" s="1072" t="s">
        <v>2641</v>
      </c>
      <c r="H275" s="1050"/>
      <c r="I275" s="1049"/>
      <c r="J275" s="1049"/>
      <c r="K275" s="1049"/>
      <c r="L275" s="153" t="str">
        <f t="shared" si="18"/>
        <v>6129</v>
      </c>
      <c r="M275" s="154" t="str">
        <f t="shared" si="19"/>
        <v>ABS., VACANCE &amp; SAL. JOURS FER</v>
      </c>
      <c r="N275" s="155">
        <f>+IF(OR($Q275=Parametres!$G$2,$Q275=Parametres!$G$3),I275,C275)</f>
        <v>0</v>
      </c>
      <c r="O275" s="608">
        <f>+IF(OR($Q275=Parametres!$G$2,$Q275=Parametres!$G$3),J275,D275)</f>
        <v>13018.58</v>
      </c>
      <c r="P275" s="155">
        <f>+IF(OR($Q275=Parametres!$G$2,$Q275=Parametres!$G$3),K275,E275)</f>
        <v>13018.58</v>
      </c>
      <c r="Q275" s="154" t="str">
        <f t="shared" si="21"/>
        <v>7-Dépenses</v>
      </c>
      <c r="R275" s="153" t="str">
        <f t="shared" si="21"/>
        <v>6129</v>
      </c>
      <c r="S275" s="154">
        <f t="shared" si="21"/>
        <v>0</v>
      </c>
      <c r="T275" s="156" t="str">
        <f>+VLOOKUP($L275,Data_Validation!$A:$D,1,0)</f>
        <v>6129</v>
      </c>
      <c r="U275" s="156" t="str">
        <f>+VLOOKUP($L275,Data_Validation!$A:$D,3,0)</f>
        <v>Véhicules neufs</v>
      </c>
      <c r="V275" s="156" t="str">
        <f>+VLOOKUP($L275,Data_Validation!$A:$D,4,0)</f>
        <v>Salaires en absences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72" t="s">
        <v>1252</v>
      </c>
      <c r="B276" s="1072" t="s">
        <v>2586</v>
      </c>
      <c r="C276" s="1074">
        <v>0</v>
      </c>
      <c r="D276" s="1074">
        <v>3111.06</v>
      </c>
      <c r="E276" s="1074">
        <v>3111.06</v>
      </c>
      <c r="F276" s="1072" t="s">
        <v>401</v>
      </c>
      <c r="G276" s="1072" t="s">
        <v>2586</v>
      </c>
      <c r="H276" s="1050"/>
      <c r="I276" s="1049"/>
      <c r="J276" s="1049"/>
      <c r="K276" s="1049"/>
      <c r="L276" s="153" t="str">
        <f t="shared" si="18"/>
        <v>6131</v>
      </c>
      <c r="M276" s="154" t="str">
        <f t="shared" si="19"/>
        <v>CSST</v>
      </c>
      <c r="N276" s="155">
        <f>+IF(OR($Q276=Parametres!$G$2,$Q276=Parametres!$G$3),I276,C276)</f>
        <v>0</v>
      </c>
      <c r="O276" s="608">
        <f>+IF(OR($Q276=Parametres!$G$2,$Q276=Parametres!$G$3),J276,D276)</f>
        <v>3111.06</v>
      </c>
      <c r="P276" s="155">
        <f>+IF(OR($Q276=Parametres!$G$2,$Q276=Parametres!$G$3),K276,E276)</f>
        <v>3111.06</v>
      </c>
      <c r="Q276" s="154" t="str">
        <f t="shared" si="21"/>
        <v>7-Dépenses</v>
      </c>
      <c r="R276" s="153" t="str">
        <f t="shared" si="21"/>
        <v>6131</v>
      </c>
      <c r="S276" s="154">
        <f t="shared" si="21"/>
        <v>0</v>
      </c>
      <c r="T276" s="156" t="str">
        <f>+VLOOKUP($L276,Data_Validation!$A:$D,1,0)</f>
        <v>6131</v>
      </c>
      <c r="U276" s="156" t="str">
        <f>+VLOOKUP($L276,Data_Validation!$A:$D,3,0)</f>
        <v>Véhicules neufs</v>
      </c>
      <c r="V276" s="156" t="str">
        <f>+VLOOKUP($L276,Data_Validation!$A:$D,4,0)</f>
        <v>Csst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72" t="s">
        <v>1283</v>
      </c>
      <c r="B277" s="1072" t="s">
        <v>2685</v>
      </c>
      <c r="C277" s="1074">
        <v>0</v>
      </c>
      <c r="D277" s="1074">
        <v>11499.23</v>
      </c>
      <c r="E277" s="1074">
        <v>11499.23</v>
      </c>
      <c r="F277" s="1072" t="s">
        <v>401</v>
      </c>
      <c r="G277" s="1072" t="s">
        <v>2685</v>
      </c>
      <c r="H277" s="1050"/>
      <c r="I277" s="1049"/>
      <c r="J277" s="1049"/>
      <c r="K277" s="1049"/>
      <c r="L277" s="153" t="str">
        <f t="shared" si="18"/>
        <v>6132</v>
      </c>
      <c r="M277" s="154" t="str">
        <f t="shared" si="19"/>
        <v>RRQ RAMQ AC</v>
      </c>
      <c r="N277" s="155">
        <f>+IF(OR($Q277=Parametres!$G$2,$Q277=Parametres!$G$3),I277,C277)</f>
        <v>0</v>
      </c>
      <c r="O277" s="608">
        <f>+IF(OR($Q277=Parametres!$G$2,$Q277=Parametres!$G$3),J277,D277)</f>
        <v>11499.23</v>
      </c>
      <c r="P277" s="155">
        <f>+IF(OR($Q277=Parametres!$G$2,$Q277=Parametres!$G$3),K277,E277)</f>
        <v>11499.23</v>
      </c>
      <c r="Q277" s="154" t="str">
        <f t="shared" si="21"/>
        <v>7-Dépenses</v>
      </c>
      <c r="R277" s="153" t="str">
        <f t="shared" si="21"/>
        <v>6132</v>
      </c>
      <c r="S277" s="154">
        <f t="shared" si="21"/>
        <v>0</v>
      </c>
      <c r="T277" s="156" t="str">
        <f>+VLOOKUP($L277,Data_Validation!$A:$D,1,0)</f>
        <v>6132</v>
      </c>
      <c r="U277" s="156" t="str">
        <f>+VLOOKUP($L277,Data_Validation!$A:$D,3,0)</f>
        <v>Véhicules neufs</v>
      </c>
      <c r="V277" s="156" t="str">
        <f>+VLOOKUP($L277,Data_Validation!$A:$D,4,0)</f>
        <v>Déduction à la source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72" t="s">
        <v>1414</v>
      </c>
      <c r="B278" s="1072" t="s">
        <v>2694</v>
      </c>
      <c r="C278" s="1074">
        <v>0</v>
      </c>
      <c r="D278" s="1074">
        <v>7872.52</v>
      </c>
      <c r="E278" s="1074">
        <v>7872.52</v>
      </c>
      <c r="F278" s="1072" t="s">
        <v>401</v>
      </c>
      <c r="G278" s="1072" t="s">
        <v>2694</v>
      </c>
      <c r="H278" s="1050"/>
      <c r="I278" s="1049"/>
      <c r="J278" s="1049"/>
      <c r="K278" s="1049"/>
      <c r="L278" s="153" t="str">
        <f t="shared" si="18"/>
        <v>6139</v>
      </c>
      <c r="M278" s="154" t="str">
        <f t="shared" si="19"/>
        <v>ASSURANCE GROUPS</v>
      </c>
      <c r="N278" s="155">
        <f>+IF(OR($Q278=Parametres!$G$2,$Q278=Parametres!$G$3),I278,C278)</f>
        <v>0</v>
      </c>
      <c r="O278" s="608">
        <f>+IF(OR($Q278=Parametres!$G$2,$Q278=Parametres!$G$3),J278,D278)</f>
        <v>7872.52</v>
      </c>
      <c r="P278" s="155">
        <f>+IF(OR($Q278=Parametres!$G$2,$Q278=Parametres!$G$3),K278,E278)</f>
        <v>7872.52</v>
      </c>
      <c r="Q278" s="154" t="str">
        <f t="shared" si="21"/>
        <v>7-Dépenses</v>
      </c>
      <c r="R278" s="153" t="str">
        <f t="shared" si="21"/>
        <v>6139</v>
      </c>
      <c r="S278" s="154">
        <f t="shared" si="21"/>
        <v>0</v>
      </c>
      <c r="T278" s="156" t="str">
        <f>+VLOOKUP($L278,Data_Validation!$A:$D,1,0)</f>
        <v>6139</v>
      </c>
      <c r="U278" s="156" t="str">
        <f>+VLOOKUP($L278,Data_Validation!$A:$D,3,0)</f>
        <v>Véhicules neufs</v>
      </c>
      <c r="V278" s="156" t="str">
        <f>+VLOOKUP($L278,Data_Validation!$A:$D,4,0)</f>
        <v>Bénéfices marginaux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72" t="s">
        <v>1157</v>
      </c>
      <c r="B279" s="1072" t="s">
        <v>2563</v>
      </c>
      <c r="C279" s="1074">
        <v>0</v>
      </c>
      <c r="D279" s="1074">
        <v>225</v>
      </c>
      <c r="E279" s="1074">
        <v>225</v>
      </c>
      <c r="F279" s="1072" t="s">
        <v>401</v>
      </c>
      <c r="G279" s="1072" t="s">
        <v>2563</v>
      </c>
      <c r="H279" s="1050"/>
      <c r="I279" s="1049"/>
      <c r="J279" s="1049"/>
      <c r="K279" s="1049"/>
      <c r="L279" s="153" t="str">
        <f t="shared" si="18"/>
        <v>6142</v>
      </c>
      <c r="M279" s="154" t="str">
        <f t="shared" si="19"/>
        <v>FOURNITURES &amp; PETITS OUTILS</v>
      </c>
      <c r="N279" s="155">
        <f>+IF(OR($Q279=Parametres!$G$2,$Q279=Parametres!$G$3),I279,C279)</f>
        <v>0</v>
      </c>
      <c r="O279" s="608">
        <f>+IF(OR($Q279=Parametres!$G$2,$Q279=Parametres!$G$3),J279,D279)</f>
        <v>225</v>
      </c>
      <c r="P279" s="155">
        <f>+IF(OR($Q279=Parametres!$G$2,$Q279=Parametres!$G$3),K279,E279)</f>
        <v>225</v>
      </c>
      <c r="Q279" s="154" t="str">
        <f t="shared" si="21"/>
        <v>7-Dépenses</v>
      </c>
      <c r="R279" s="153" t="str">
        <f t="shared" si="21"/>
        <v>6142</v>
      </c>
      <c r="S279" s="154">
        <f t="shared" si="21"/>
        <v>0</v>
      </c>
      <c r="T279" s="156" t="str">
        <f>+VLOOKUP($L279,Data_Validation!$A:$D,1,0)</f>
        <v>6142</v>
      </c>
      <c r="U279" s="156" t="str">
        <f>+VLOOKUP($L279,Data_Validation!$A:$D,3,0)</f>
        <v>Véhicules neufs</v>
      </c>
      <c r="V279" s="156" t="str">
        <f>+VLOOKUP($L279,Data_Validation!$A:$D,4,0)</f>
        <v>Fournitures autres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72" t="s">
        <v>932</v>
      </c>
      <c r="B280" s="1072" t="s">
        <v>2159</v>
      </c>
      <c r="C280" s="1074">
        <v>0</v>
      </c>
      <c r="D280" s="1074">
        <v>35</v>
      </c>
      <c r="E280" s="1074">
        <v>35</v>
      </c>
      <c r="F280" s="1072" t="s">
        <v>401</v>
      </c>
      <c r="G280" s="1072" t="s">
        <v>2159</v>
      </c>
      <c r="H280" s="1050"/>
      <c r="I280" s="1049"/>
      <c r="J280" s="1049"/>
      <c r="K280" s="1049"/>
      <c r="L280" s="153" t="str">
        <f t="shared" si="18"/>
        <v>6143</v>
      </c>
      <c r="M280" s="154" t="str">
        <f t="shared" si="19"/>
        <v>UNIFORMES &amp; LESSIVE</v>
      </c>
      <c r="N280" s="155">
        <f>+IF(OR($Q280=Parametres!$G$2,$Q280=Parametres!$G$3),I280,C280)</f>
        <v>0</v>
      </c>
      <c r="O280" s="608">
        <f>+IF(OR($Q280=Parametres!$G$2,$Q280=Parametres!$G$3),J280,D280)</f>
        <v>35</v>
      </c>
      <c r="P280" s="155">
        <f>+IF(OR($Q280=Parametres!$G$2,$Q280=Parametres!$G$3),K280,E280)</f>
        <v>35</v>
      </c>
      <c r="Q280" s="154" t="str">
        <f t="shared" si="21"/>
        <v>7-Dépenses</v>
      </c>
      <c r="R280" s="153" t="str">
        <f t="shared" si="21"/>
        <v>6143</v>
      </c>
      <c r="S280" s="154">
        <f t="shared" si="21"/>
        <v>0</v>
      </c>
      <c r="T280" s="156" t="str">
        <f>+VLOOKUP($L280,Data_Validation!$A:$D,1,0)</f>
        <v>6143</v>
      </c>
      <c r="U280" s="156" t="str">
        <f>+VLOOKUP($L280,Data_Validation!$A:$D,3,0)</f>
        <v>Véhicules neufs</v>
      </c>
      <c r="V280" s="156" t="str">
        <f>+VLOOKUP($L280,Data_Validation!$A:$D,4,0)</f>
        <v>Uniformes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72" t="s">
        <v>934</v>
      </c>
      <c r="B281" s="1072" t="s">
        <v>2561</v>
      </c>
      <c r="C281" s="1074">
        <v>0</v>
      </c>
      <c r="D281" s="1074">
        <v>4555.83</v>
      </c>
      <c r="E281" s="1074">
        <v>4555.83</v>
      </c>
      <c r="F281" s="1072" t="s">
        <v>401</v>
      </c>
      <c r="G281" s="1072" t="s">
        <v>2561</v>
      </c>
      <c r="H281" s="1050"/>
      <c r="I281" s="1049"/>
      <c r="J281" s="1049"/>
      <c r="K281" s="1049"/>
      <c r="L281" s="153" t="str">
        <f t="shared" si="18"/>
        <v>6144</v>
      </c>
      <c r="M281" s="154" t="str">
        <f t="shared" si="19"/>
        <v>FORMATION</v>
      </c>
      <c r="N281" s="155">
        <f>+IF(OR($Q281=Parametres!$G$2,$Q281=Parametres!$G$3),I281,C281)</f>
        <v>0</v>
      </c>
      <c r="O281" s="608">
        <f>+IF(OR($Q281=Parametres!$G$2,$Q281=Parametres!$G$3),J281,D281)</f>
        <v>4555.83</v>
      </c>
      <c r="P281" s="155">
        <f>+IF(OR($Q281=Parametres!$G$2,$Q281=Parametres!$G$3),K281,E281)</f>
        <v>4555.83</v>
      </c>
      <c r="Q281" s="154" t="str">
        <f t="shared" si="21"/>
        <v>7-Dépenses</v>
      </c>
      <c r="R281" s="153" t="str">
        <f t="shared" si="21"/>
        <v>6144</v>
      </c>
      <c r="S281" s="154">
        <f t="shared" si="21"/>
        <v>0</v>
      </c>
      <c r="T281" s="156" t="str">
        <f>+VLOOKUP($L281,Data_Validation!$A:$D,1,0)</f>
        <v>6144</v>
      </c>
      <c r="U281" s="156" t="str">
        <f>+VLOOKUP($L281,Data_Validation!$A:$D,3,0)</f>
        <v>Véhicules neufs</v>
      </c>
      <c r="V281" s="156" t="str">
        <f>+VLOOKUP($L281,Data_Validation!$A:$D,4,0)</f>
        <v>Formation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72" t="s">
        <v>1186</v>
      </c>
      <c r="B282" s="1072" t="s">
        <v>2632</v>
      </c>
      <c r="C282" s="1074">
        <v>0</v>
      </c>
      <c r="D282" s="1074">
        <v>14381.38</v>
      </c>
      <c r="E282" s="1074">
        <v>14381.38</v>
      </c>
      <c r="F282" s="1072" t="s">
        <v>401</v>
      </c>
      <c r="G282" s="1072" t="s">
        <v>2632</v>
      </c>
      <c r="H282" s="1050"/>
      <c r="I282" s="1050"/>
      <c r="J282" s="1050"/>
      <c r="K282" s="1050"/>
      <c r="L282" s="153" t="str">
        <f t="shared" si="18"/>
        <v>6145</v>
      </c>
      <c r="M282" s="154" t="str">
        <f t="shared" si="19"/>
        <v>VEHICULE DE COMPAGNIE - DEPENS</v>
      </c>
      <c r="N282" s="155">
        <f>+IF(OR($Q282=Parametres!$G$2,$Q282=Parametres!$G$3),I282,C282)</f>
        <v>0</v>
      </c>
      <c r="O282" s="608">
        <f>+IF(OR($Q282=Parametres!$G$2,$Q282=Parametres!$G$3),J282,D282)</f>
        <v>14381.38</v>
      </c>
      <c r="P282" s="155">
        <f>+IF(OR($Q282=Parametres!$G$2,$Q282=Parametres!$G$3),K282,E282)</f>
        <v>14381.38</v>
      </c>
      <c r="Q282" s="154" t="str">
        <f t="shared" si="21"/>
        <v>7-Dépenses</v>
      </c>
      <c r="R282" s="153" t="str">
        <f t="shared" si="21"/>
        <v>6145</v>
      </c>
      <c r="S282" s="154">
        <f t="shared" si="21"/>
        <v>0</v>
      </c>
      <c r="T282" s="156" t="str">
        <f>+VLOOKUP($L282,Data_Validation!$A:$D,1,0)</f>
        <v>6145</v>
      </c>
      <c r="U282" s="156" t="str">
        <f>+VLOOKUP($L282,Data_Validation!$A:$D,3,0)</f>
        <v>Véhicules neufs</v>
      </c>
      <c r="V282" s="156" t="str">
        <f>+VLOOKUP($L282,Data_Validation!$A:$D,4,0)</f>
        <v>Frais véhicules de cie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72" t="s">
        <v>1180</v>
      </c>
      <c r="B283" s="1072" t="s">
        <v>2581</v>
      </c>
      <c r="C283" s="1074">
        <v>0</v>
      </c>
      <c r="D283" s="1074">
        <v>210.02</v>
      </c>
      <c r="E283" s="1074">
        <v>210.02</v>
      </c>
      <c r="F283" s="1072" t="s">
        <v>401</v>
      </c>
      <c r="G283" s="1072" t="s">
        <v>2581</v>
      </c>
      <c r="H283" s="1050"/>
      <c r="I283" s="1050"/>
      <c r="J283" s="1050"/>
      <c r="K283" s="1050"/>
      <c r="L283" s="153" t="str">
        <f t="shared" si="18"/>
        <v>6147</v>
      </c>
      <c r="M283" s="154" t="str">
        <f t="shared" si="19"/>
        <v>FRET/EXPRESS/TRANS. PAR CAMION</v>
      </c>
      <c r="N283" s="155">
        <f>+IF(OR($Q283=Parametres!$G$2,$Q283=Parametres!$G$3),I283,C283)</f>
        <v>0</v>
      </c>
      <c r="O283" s="608">
        <f>+IF(OR($Q283=Parametres!$G$2,$Q283=Parametres!$G$3),J283,D283)</f>
        <v>210.02</v>
      </c>
      <c r="P283" s="155">
        <f>+IF(OR($Q283=Parametres!$G$2,$Q283=Parametres!$G$3),K283,E283)</f>
        <v>210.02</v>
      </c>
      <c r="Q283" s="154" t="str">
        <f t="shared" si="21"/>
        <v>7-Dépenses</v>
      </c>
      <c r="R283" s="153" t="str">
        <f t="shared" si="21"/>
        <v>6147</v>
      </c>
      <c r="S283" s="154">
        <f t="shared" si="21"/>
        <v>0</v>
      </c>
      <c r="T283" s="156" t="str">
        <f>+VLOOKUP($L283,Data_Validation!$A:$D,1,0)</f>
        <v>6147</v>
      </c>
      <c r="U283" s="156" t="str">
        <f>+VLOOKUP($L283,Data_Validation!$A:$D,3,0)</f>
        <v>Véhicules neufs</v>
      </c>
      <c r="V283" s="156" t="str">
        <f>+VLOOKUP($L283,Data_Validation!$A:$D,4,0)</f>
        <v>Frais postaux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72" t="s">
        <v>1286</v>
      </c>
      <c r="B284" s="1072" t="s">
        <v>2702</v>
      </c>
      <c r="C284" s="1074">
        <v>0</v>
      </c>
      <c r="D284" s="1074">
        <v>8274.69</v>
      </c>
      <c r="E284" s="1074">
        <v>8274.69</v>
      </c>
      <c r="F284" s="1072" t="s">
        <v>401</v>
      </c>
      <c r="G284" s="1072" t="s">
        <v>2702</v>
      </c>
      <c r="H284" s="1050"/>
      <c r="I284" s="1050"/>
      <c r="J284" s="1050"/>
      <c r="K284" s="1050"/>
      <c r="L284" s="153" t="str">
        <f t="shared" si="18"/>
        <v>6151</v>
      </c>
      <c r="M284" s="154" t="str">
        <f t="shared" si="19"/>
        <v>DEP. DU TRAITEMENT DES DONNEES</v>
      </c>
      <c r="N284" s="155">
        <f>+IF(OR($Q284=Parametres!$G$2,$Q284=Parametres!$G$3),I284,C284)</f>
        <v>0</v>
      </c>
      <c r="O284" s="608">
        <f>+IF(OR($Q284=Parametres!$G$2,$Q284=Parametres!$G$3),J284,D284)</f>
        <v>8274.69</v>
      </c>
      <c r="P284" s="155">
        <f>+IF(OR($Q284=Parametres!$G$2,$Q284=Parametres!$G$3),K284,E284)</f>
        <v>8274.69</v>
      </c>
      <c r="Q284" s="154" t="str">
        <f t="shared" si="21"/>
        <v>7-Dépenses</v>
      </c>
      <c r="R284" s="153" t="str">
        <f t="shared" si="21"/>
        <v>6151</v>
      </c>
      <c r="S284" s="154">
        <f t="shared" si="21"/>
        <v>0</v>
      </c>
      <c r="T284" s="156" t="str">
        <f>+VLOOKUP($L284,Data_Validation!$A:$D,1,0)</f>
        <v>6151</v>
      </c>
      <c r="U284" s="156" t="str">
        <f>+VLOOKUP($L284,Data_Validation!$A:$D,3,0)</f>
        <v>Véhicules neufs</v>
      </c>
      <c r="V284" s="156" t="str">
        <f>+VLOOKUP($L284,Data_Validation!$A:$D,4,0)</f>
        <v>Informatique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72" t="s">
        <v>1206</v>
      </c>
      <c r="B285" s="1072" t="s">
        <v>2588</v>
      </c>
      <c r="C285" s="1074">
        <v>0</v>
      </c>
      <c r="D285" s="1074">
        <v>592</v>
      </c>
      <c r="E285" s="1074">
        <v>592</v>
      </c>
      <c r="F285" s="1072" t="s">
        <v>401</v>
      </c>
      <c r="G285" s="1072" t="s">
        <v>2588</v>
      </c>
      <c r="H285" s="1050"/>
      <c r="I285" s="1050"/>
      <c r="J285" s="1050"/>
      <c r="K285" s="1050"/>
      <c r="L285" s="153" t="str">
        <f t="shared" si="18"/>
        <v>6152</v>
      </c>
      <c r="M285" s="154" t="str">
        <f t="shared" si="19"/>
        <v>PAPETERIE</v>
      </c>
      <c r="N285" s="155">
        <f>+IF(OR($Q285=Parametres!$G$2,$Q285=Parametres!$G$3),I285,C285)</f>
        <v>0</v>
      </c>
      <c r="O285" s="608">
        <f>+IF(OR($Q285=Parametres!$G$2,$Q285=Parametres!$G$3),J285,D285)</f>
        <v>592</v>
      </c>
      <c r="P285" s="155">
        <f>+IF(OR($Q285=Parametres!$G$2,$Q285=Parametres!$G$3),K285,E285)</f>
        <v>592</v>
      </c>
      <c r="Q285" s="154" t="str">
        <f t="shared" si="21"/>
        <v>7-Dépenses</v>
      </c>
      <c r="R285" s="153" t="str">
        <f t="shared" si="21"/>
        <v>6152</v>
      </c>
      <c r="S285" s="154">
        <f t="shared" si="21"/>
        <v>0</v>
      </c>
      <c r="T285" s="156" t="str">
        <f>+VLOOKUP($L285,Data_Validation!$A:$D,1,0)</f>
        <v>6152</v>
      </c>
      <c r="U285" s="156" t="str">
        <f>+VLOOKUP($L285,Data_Validation!$A:$D,3,0)</f>
        <v>Véhicules neufs</v>
      </c>
      <c r="V285" s="156" t="str">
        <f>+VLOOKUP($L285,Data_Validation!$A:$D,4,0)</f>
        <v>Papeterie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72" t="s">
        <v>1154</v>
      </c>
      <c r="B286" s="1072" t="s">
        <v>2592</v>
      </c>
      <c r="C286" s="1074">
        <v>0</v>
      </c>
      <c r="D286" s="1074">
        <v>482.96</v>
      </c>
      <c r="E286" s="1074">
        <v>482.96</v>
      </c>
      <c r="F286" s="1072" t="s">
        <v>401</v>
      </c>
      <c r="G286" s="1072" t="s">
        <v>2592</v>
      </c>
      <c r="H286" s="1050"/>
      <c r="I286" s="1050"/>
      <c r="J286" s="1050"/>
      <c r="K286" s="1050"/>
      <c r="L286" s="153" t="str">
        <f t="shared" si="18"/>
        <v>6153</v>
      </c>
      <c r="M286" s="154" t="str">
        <f t="shared" si="19"/>
        <v>TELEPHONE ET TELEX</v>
      </c>
      <c r="N286" s="155">
        <f>+IF(OR($Q286=Parametres!$G$2,$Q286=Parametres!$G$3),I286,C286)</f>
        <v>0</v>
      </c>
      <c r="O286" s="608">
        <f>+IF(OR($Q286=Parametres!$G$2,$Q286=Parametres!$G$3),J286,D286)</f>
        <v>482.96</v>
      </c>
      <c r="P286" s="155">
        <f>+IF(OR($Q286=Parametres!$G$2,$Q286=Parametres!$G$3),K286,E286)</f>
        <v>482.96</v>
      </c>
      <c r="Q286" s="154" t="str">
        <f t="shared" si="21"/>
        <v>7-Dépenses</v>
      </c>
      <c r="R286" s="153" t="str">
        <f t="shared" si="21"/>
        <v>6153</v>
      </c>
      <c r="S286" s="154">
        <f t="shared" si="21"/>
        <v>0</v>
      </c>
      <c r="T286" s="156" t="str">
        <f>+VLOOKUP($L286,Data_Validation!$A:$D,1,0)</f>
        <v>6153</v>
      </c>
      <c r="U286" s="156" t="str">
        <f>+VLOOKUP($L286,Data_Validation!$A:$D,3,0)</f>
        <v>Véhicules neufs</v>
      </c>
      <c r="V286" s="156" t="str">
        <f>+VLOOKUP($L286,Data_Validation!$A:$D,4,0)</f>
        <v>Téléphone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72" t="s">
        <v>1237</v>
      </c>
      <c r="B287" s="1072" t="s">
        <v>2637</v>
      </c>
      <c r="C287" s="1074">
        <v>0</v>
      </c>
      <c r="D287" s="1074">
        <v>1705.28</v>
      </c>
      <c r="E287" s="1074">
        <v>1705.28</v>
      </c>
      <c r="F287" s="1072" t="s">
        <v>401</v>
      </c>
      <c r="G287" s="1072" t="s">
        <v>2637</v>
      </c>
      <c r="H287" s="1050"/>
      <c r="I287" s="1050"/>
      <c r="J287" s="1050"/>
      <c r="K287" s="1050"/>
      <c r="L287" s="153" t="str">
        <f t="shared" si="18"/>
        <v>6155</v>
      </c>
      <c r="M287" s="154" t="str">
        <f t="shared" si="19"/>
        <v>DEPENSES DIVERS</v>
      </c>
      <c r="N287" s="155">
        <f>+IF(OR($Q287=Parametres!$G$2,$Q287=Parametres!$G$3),I287,C287)</f>
        <v>0</v>
      </c>
      <c r="O287" s="608">
        <f>+IF(OR($Q287=Parametres!$G$2,$Q287=Parametres!$G$3),J287,D287)</f>
        <v>1705.28</v>
      </c>
      <c r="P287" s="155">
        <f>+IF(OR($Q287=Parametres!$G$2,$Q287=Parametres!$G$3),K287,E287)</f>
        <v>1705.28</v>
      </c>
      <c r="Q287" s="154" t="str">
        <f t="shared" si="21"/>
        <v>7-Dépenses</v>
      </c>
      <c r="R287" s="153" t="str">
        <f t="shared" si="21"/>
        <v>6155</v>
      </c>
      <c r="S287" s="154">
        <f t="shared" si="21"/>
        <v>0</v>
      </c>
      <c r="T287" s="156" t="str">
        <f>+VLOOKUP($L287,Data_Validation!$A:$D,1,0)</f>
        <v>6155</v>
      </c>
      <c r="U287" s="156" t="str">
        <f>+VLOOKUP($L287,Data_Validation!$A:$D,3,0)</f>
        <v>Véhicules neufs</v>
      </c>
      <c r="V287" s="156" t="str">
        <f>+VLOOKUP($L287,Data_Validation!$A:$D,4,0)</f>
        <v>Divers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72" t="s">
        <v>1315</v>
      </c>
      <c r="B288" s="1072" t="s">
        <v>2470</v>
      </c>
      <c r="C288" s="1074">
        <v>0</v>
      </c>
      <c r="D288" s="1074">
        <v>1944.64</v>
      </c>
      <c r="E288" s="1074">
        <v>1944.64</v>
      </c>
      <c r="F288" s="1072" t="s">
        <v>401</v>
      </c>
      <c r="G288" s="1072" t="s">
        <v>2470</v>
      </c>
      <c r="H288" s="1050"/>
      <c r="I288" s="1050"/>
      <c r="J288" s="1050"/>
      <c r="K288" s="1050"/>
      <c r="L288" s="153" t="str">
        <f t="shared" si="18"/>
        <v>6156</v>
      </c>
      <c r="M288" s="154" t="str">
        <f t="shared" si="19"/>
        <v>FRAIS REPRESENTATION - NEUF</v>
      </c>
      <c r="N288" s="155">
        <f>+IF(OR($Q288=Parametres!$G$2,$Q288=Parametres!$G$3),I288,C288)</f>
        <v>0</v>
      </c>
      <c r="O288" s="608">
        <f>+IF(OR($Q288=Parametres!$G$2,$Q288=Parametres!$G$3),J288,D288)</f>
        <v>1944.64</v>
      </c>
      <c r="P288" s="155">
        <f>+IF(OR($Q288=Parametres!$G$2,$Q288=Parametres!$G$3),K288,E288)</f>
        <v>1944.64</v>
      </c>
      <c r="Q288" s="154" t="str">
        <f t="shared" si="21"/>
        <v>7-Dépenses</v>
      </c>
      <c r="R288" s="153" t="str">
        <f t="shared" si="21"/>
        <v>6156</v>
      </c>
      <c r="S288" s="154">
        <f t="shared" si="21"/>
        <v>0</v>
      </c>
      <c r="T288" s="156" t="str">
        <f>+VLOOKUP($L288,Data_Validation!$A:$D,1,0)</f>
        <v>6156</v>
      </c>
      <c r="U288" s="156" t="str">
        <f>+VLOOKUP($L288,Data_Validation!$A:$D,3,0)</f>
        <v>Véhicules neufs</v>
      </c>
      <c r="V288" s="156" t="str">
        <f>+VLOOKUP($L288,Data_Validation!$A:$D,4,0)</f>
        <v>Frais de déplacement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72" t="s">
        <v>1308</v>
      </c>
      <c r="B289" s="1072" t="s">
        <v>2662</v>
      </c>
      <c r="C289" s="1074">
        <v>0</v>
      </c>
      <c r="D289" s="1074">
        <v>7752.53</v>
      </c>
      <c r="E289" s="1074">
        <v>7752.53</v>
      </c>
      <c r="F289" s="1072" t="s">
        <v>401</v>
      </c>
      <c r="G289" s="1072" t="s">
        <v>2662</v>
      </c>
      <c r="H289" s="1075"/>
      <c r="I289" s="1076"/>
      <c r="J289" s="1076"/>
      <c r="K289" s="1076"/>
      <c r="L289" s="153" t="str">
        <f t="shared" si="18"/>
        <v>6159</v>
      </c>
      <c r="M289" s="154" t="str">
        <f t="shared" si="19"/>
        <v>SERVICE EXTERIEUR</v>
      </c>
      <c r="N289" s="155">
        <f>+IF(OR($Q289=Parametres!$G$2,$Q289=Parametres!$G$3),I289,C289)</f>
        <v>0</v>
      </c>
      <c r="O289" s="608">
        <f>+IF(OR($Q289=Parametres!$G$2,$Q289=Parametres!$G$3),J289,D289)</f>
        <v>7752.53</v>
      </c>
      <c r="P289" s="155">
        <f>+IF(OR($Q289=Parametres!$G$2,$Q289=Parametres!$G$3),K289,E289)</f>
        <v>7752.53</v>
      </c>
      <c r="Q289" s="154" t="str">
        <f t="shared" si="21"/>
        <v>7-Dépenses</v>
      </c>
      <c r="R289" s="153" t="str">
        <f t="shared" si="21"/>
        <v>6159</v>
      </c>
      <c r="S289" s="154">
        <f t="shared" si="21"/>
        <v>0</v>
      </c>
      <c r="T289" s="156" t="str">
        <f>+VLOOKUP($L289,Data_Validation!$A:$D,1,0)</f>
        <v>6159</v>
      </c>
      <c r="U289" s="156" t="str">
        <f>+VLOOKUP($L289,Data_Validation!$A:$D,3,0)</f>
        <v>Véhicules neufs</v>
      </c>
      <c r="V289" s="156" t="str">
        <f>+VLOOKUP($L289,Data_Validation!$A:$D,4,0)</f>
        <v>Services extérieurs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072" t="s">
        <v>1333</v>
      </c>
      <c r="B290" s="1072" t="s">
        <v>2653</v>
      </c>
      <c r="C290" s="1074">
        <v>0</v>
      </c>
      <c r="D290" s="1074">
        <v>2880</v>
      </c>
      <c r="E290" s="1074">
        <v>2880</v>
      </c>
      <c r="F290" s="1072" t="s">
        <v>401</v>
      </c>
      <c r="G290" s="1072" t="s">
        <v>2653</v>
      </c>
      <c r="H290" s="1075"/>
      <c r="I290" s="1076"/>
      <c r="J290" s="1076"/>
      <c r="K290" s="1076"/>
      <c r="L290" s="153" t="str">
        <f t="shared" si="18"/>
        <v>6161</v>
      </c>
      <c r="M290" s="154" t="str">
        <f t="shared" si="19"/>
        <v>DEPRECIATION EQUIP. &amp; FIXTURES</v>
      </c>
      <c r="N290" s="155">
        <f>+IF(OR($Q290=Parametres!$G$2,$Q290=Parametres!$G$3),I290,C290)</f>
        <v>0</v>
      </c>
      <c r="O290" s="608">
        <f>+IF(OR($Q290=Parametres!$G$2,$Q290=Parametres!$G$3),J290,D290)</f>
        <v>2880</v>
      </c>
      <c r="P290" s="155">
        <f>+IF(OR($Q290=Parametres!$G$2,$Q290=Parametres!$G$3),K290,E290)</f>
        <v>2880</v>
      </c>
      <c r="Q290" s="154" t="str">
        <f t="shared" ref="Q290:S305" si="22">+F290</f>
        <v>7-Dépenses</v>
      </c>
      <c r="R290" s="153" t="str">
        <f t="shared" si="22"/>
        <v>6161</v>
      </c>
      <c r="S290" s="154">
        <f t="shared" si="22"/>
        <v>0</v>
      </c>
      <c r="T290" s="156" t="str">
        <f>+VLOOKUP($L290,Data_Validation!$A:$D,1,0)</f>
        <v>6161</v>
      </c>
      <c r="U290" s="156" t="str">
        <f>+VLOOKUP($L290,Data_Validation!$A:$D,3,0)</f>
        <v>Véhicules neufs</v>
      </c>
      <c r="V290" s="156" t="str">
        <f>+VLOOKUP($L290,Data_Validation!$A:$D,4,0)</f>
        <v>Amortissement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72" t="s">
        <v>936</v>
      </c>
      <c r="B291" s="1072" t="s">
        <v>2463</v>
      </c>
      <c r="C291" s="1074">
        <v>0</v>
      </c>
      <c r="D291" s="1074">
        <v>128</v>
      </c>
      <c r="E291" s="1074">
        <v>128</v>
      </c>
      <c r="F291" s="1072" t="s">
        <v>401</v>
      </c>
      <c r="G291" s="1072" t="s">
        <v>2463</v>
      </c>
      <c r="H291" s="1075"/>
      <c r="I291" s="1076"/>
      <c r="J291" s="1076"/>
      <c r="K291" s="1076"/>
      <c r="L291" s="153" t="str">
        <f t="shared" si="18"/>
        <v>6162</v>
      </c>
      <c r="M291" s="154" t="str">
        <f t="shared" si="19"/>
        <v>LOCATION D'EQUIPEMENTS</v>
      </c>
      <c r="N291" s="155">
        <f>+IF(OR($Q291=Parametres!$G$2,$Q291=Parametres!$G$3),I291,C291)</f>
        <v>0</v>
      </c>
      <c r="O291" s="608">
        <f>+IF(OR($Q291=Parametres!$G$2,$Q291=Parametres!$G$3),J291,D291)</f>
        <v>128</v>
      </c>
      <c r="P291" s="155">
        <f>+IF(OR($Q291=Parametres!$G$2,$Q291=Parametres!$G$3),K291,E291)</f>
        <v>128</v>
      </c>
      <c r="Q291" s="154" t="str">
        <f t="shared" si="22"/>
        <v>7-Dépenses</v>
      </c>
      <c r="R291" s="153" t="str">
        <f t="shared" si="22"/>
        <v>6162</v>
      </c>
      <c r="S291" s="154">
        <f t="shared" si="22"/>
        <v>0</v>
      </c>
      <c r="T291" s="156" t="str">
        <f>+VLOOKUP($L291,Data_Validation!$A:$D,1,0)</f>
        <v>6162</v>
      </c>
      <c r="U291" s="156" t="str">
        <f>+VLOOKUP($L291,Data_Validation!$A:$D,3,0)</f>
        <v>Véhicules neufs</v>
      </c>
      <c r="V291" s="156" t="str">
        <f>+VLOOKUP($L291,Data_Validation!$A:$D,4,0)</f>
        <v>Location équipement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72" t="s">
        <v>1332</v>
      </c>
      <c r="B292" s="1072" t="s">
        <v>2604</v>
      </c>
      <c r="C292" s="1074">
        <v>0</v>
      </c>
      <c r="D292" s="1074">
        <v>1174.4000000000001</v>
      </c>
      <c r="E292" s="1074">
        <v>1174.4000000000001</v>
      </c>
      <c r="F292" s="1072" t="s">
        <v>401</v>
      </c>
      <c r="G292" s="1072" t="s">
        <v>2604</v>
      </c>
      <c r="H292" s="1075"/>
      <c r="I292" s="1076"/>
      <c r="J292" s="1076"/>
      <c r="K292" s="1076"/>
      <c r="L292" s="153" t="str">
        <f t="shared" si="18"/>
        <v>6181</v>
      </c>
      <c r="M292" s="154" t="str">
        <f t="shared" si="19"/>
        <v>ELECTRICITE CHAUFFAGE</v>
      </c>
      <c r="N292" s="155">
        <f>+IF(OR($Q292=Parametres!$G$2,$Q292=Parametres!$G$3),I292,C292)</f>
        <v>0</v>
      </c>
      <c r="O292" s="155">
        <f>+IF(OR($Q292=Parametres!$G$2,$Q292=Parametres!$G$3),J292,D292)</f>
        <v>1174.4000000000001</v>
      </c>
      <c r="P292" s="155">
        <f>+IF(OR($Q292=Parametres!$G$2,$Q292=Parametres!$G$3),K292,E292)</f>
        <v>1174.4000000000001</v>
      </c>
      <c r="Q292" s="154" t="str">
        <f t="shared" si="22"/>
        <v>7-Dépenses</v>
      </c>
      <c r="R292" s="153" t="str">
        <f t="shared" si="22"/>
        <v>6181</v>
      </c>
      <c r="S292" s="154">
        <f t="shared" si="22"/>
        <v>0</v>
      </c>
      <c r="T292" s="156" t="str">
        <f>+VLOOKUP($L292,Data_Validation!$A:$D,1,0)</f>
        <v>6181</v>
      </c>
      <c r="U292" s="156" t="str">
        <f>+VLOOKUP($L292,Data_Validation!$A:$D,3,0)</f>
        <v>Véhicules neufs</v>
      </c>
      <c r="V292" s="156" t="str">
        <f>+VLOOKUP($L292,Data_Validation!$A:$D,4,0)</f>
        <v>Chauffage, éclairage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72" t="s">
        <v>1469</v>
      </c>
      <c r="B293" s="1072" t="s">
        <v>2709</v>
      </c>
      <c r="C293" s="1074">
        <v>0</v>
      </c>
      <c r="D293" s="1074">
        <v>8320.0400000000009</v>
      </c>
      <c r="E293" s="1074">
        <v>8320.0400000000009</v>
      </c>
      <c r="F293" s="1072" t="s">
        <v>401</v>
      </c>
      <c r="G293" s="1072" t="s">
        <v>2709</v>
      </c>
      <c r="H293" s="1075"/>
      <c r="I293" s="1076"/>
      <c r="J293" s="1076"/>
      <c r="K293" s="1076"/>
      <c r="L293" s="153" t="str">
        <f t="shared" si="18"/>
        <v>6182</v>
      </c>
      <c r="M293" s="154" t="str">
        <f t="shared" si="19"/>
        <v>LOYER NEUFS</v>
      </c>
      <c r="N293" s="155">
        <f>+IF(OR($Q293=Parametres!$G$2,$Q293=Parametres!$G$3),I293,C293)</f>
        <v>0</v>
      </c>
      <c r="O293" s="155">
        <f>+IF(OR($Q293=Parametres!$G$2,$Q293=Parametres!$G$3),J293,D293)</f>
        <v>8320.0400000000009</v>
      </c>
      <c r="P293" s="155">
        <f>+IF(OR($Q293=Parametres!$G$2,$Q293=Parametres!$G$3),K293,E293)</f>
        <v>8320.0400000000009</v>
      </c>
      <c r="Q293" s="154" t="str">
        <f t="shared" si="22"/>
        <v>7-Dépenses</v>
      </c>
      <c r="R293" s="153" t="str">
        <f t="shared" si="22"/>
        <v>6182</v>
      </c>
      <c r="S293" s="154">
        <f t="shared" si="22"/>
        <v>0</v>
      </c>
      <c r="T293" s="156" t="str">
        <f>+VLOOKUP($L293,Data_Validation!$A:$D,1,0)</f>
        <v>6182</v>
      </c>
      <c r="U293" s="156" t="str">
        <f>+VLOOKUP($L293,Data_Validation!$A:$D,3,0)</f>
        <v>Véhicules neufs</v>
      </c>
      <c r="V293" s="156" t="str">
        <f>+VLOOKUP($L293,Data_Validation!$A:$D,4,0)</f>
        <v>Loyer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72" t="s">
        <v>1366</v>
      </c>
      <c r="B294" s="1072" t="s">
        <v>2594</v>
      </c>
      <c r="C294" s="1074">
        <v>0</v>
      </c>
      <c r="D294" s="1074">
        <v>480</v>
      </c>
      <c r="E294" s="1074">
        <v>480</v>
      </c>
      <c r="F294" s="1072" t="s">
        <v>401</v>
      </c>
      <c r="G294" s="1072" t="s">
        <v>2594</v>
      </c>
      <c r="H294" s="1075"/>
      <c r="I294" s="1076"/>
      <c r="J294" s="1076"/>
      <c r="K294" s="1076"/>
      <c r="L294" s="153" t="str">
        <f t="shared" si="18"/>
        <v>6186</v>
      </c>
      <c r="M294" s="154" t="str">
        <f t="shared" si="19"/>
        <v>ASSURANCE BATIMENT</v>
      </c>
      <c r="N294" s="155">
        <f>+IF(OR($Q294=Parametres!$G$2,$Q294=Parametres!$G$3),I294,C294)</f>
        <v>0</v>
      </c>
      <c r="O294" s="155">
        <f>+IF(OR($Q294=Parametres!$G$2,$Q294=Parametres!$G$3),J294,D294)</f>
        <v>480</v>
      </c>
      <c r="P294" s="155">
        <f>+IF(OR($Q294=Parametres!$G$2,$Q294=Parametres!$G$3),K294,E294)</f>
        <v>480</v>
      </c>
      <c r="Q294" s="154" t="str">
        <f t="shared" si="22"/>
        <v>7-Dépenses</v>
      </c>
      <c r="R294" s="153" t="str">
        <f t="shared" si="22"/>
        <v>6186</v>
      </c>
      <c r="S294" s="154">
        <f t="shared" si="22"/>
        <v>0</v>
      </c>
      <c r="T294" s="156" t="str">
        <f>+VLOOKUP($L294,Data_Validation!$A:$D,1,0)</f>
        <v>6186</v>
      </c>
      <c r="U294" s="156" t="str">
        <f>+VLOOKUP($L294,Data_Validation!$A:$D,3,0)</f>
        <v>Véhicules neufs</v>
      </c>
      <c r="V294" s="156" t="str">
        <f>+VLOOKUP($L294,Data_Validation!$A:$D,4,0)</f>
        <v>Assurances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72" t="s">
        <v>1362</v>
      </c>
      <c r="B295" s="1072" t="s">
        <v>2614</v>
      </c>
      <c r="C295" s="1074">
        <v>0</v>
      </c>
      <c r="D295" s="1074">
        <v>1504</v>
      </c>
      <c r="E295" s="1074">
        <v>1504</v>
      </c>
      <c r="F295" s="1072" t="s">
        <v>401</v>
      </c>
      <c r="G295" s="1072" t="s">
        <v>2614</v>
      </c>
      <c r="H295" s="1075"/>
      <c r="I295" s="1076"/>
      <c r="J295" s="1076"/>
      <c r="K295" s="1076"/>
      <c r="L295" s="153" t="str">
        <f t="shared" si="18"/>
        <v>6187</v>
      </c>
      <c r="M295" s="154" t="str">
        <f t="shared" si="19"/>
        <v>TAXE SUR PROPRIETE</v>
      </c>
      <c r="N295" s="155">
        <f>+IF(OR($Q295=Parametres!$G$2,$Q295=Parametres!$G$3),I295,C295)</f>
        <v>0</v>
      </c>
      <c r="O295" s="155">
        <f>+IF(OR($Q295=Parametres!$G$2,$Q295=Parametres!$G$3),J295,D295)</f>
        <v>1504</v>
      </c>
      <c r="P295" s="155">
        <f>+IF(OR($Q295=Parametres!$G$2,$Q295=Parametres!$G$3),K295,E295)</f>
        <v>1504</v>
      </c>
      <c r="Q295" s="154" t="str">
        <f t="shared" si="22"/>
        <v>7-Dépenses</v>
      </c>
      <c r="R295" s="153" t="str">
        <f t="shared" si="22"/>
        <v>6187</v>
      </c>
      <c r="S295" s="154">
        <f t="shared" si="22"/>
        <v>0</v>
      </c>
      <c r="T295" s="156" t="str">
        <f>+VLOOKUP($L295,Data_Validation!$A:$D,1,0)</f>
        <v>6187</v>
      </c>
      <c r="U295" s="156" t="str">
        <f>+VLOOKUP($L295,Data_Validation!$A:$D,3,0)</f>
        <v>Véhicules neufs</v>
      </c>
      <c r="V295" s="156" t="str">
        <f>+VLOOKUP($L295,Data_Validation!$A:$D,4,0)</f>
        <v>Taxes foncières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72" t="s">
        <v>1296</v>
      </c>
      <c r="B296" s="1072" t="s">
        <v>2597</v>
      </c>
      <c r="C296" s="1074">
        <v>0</v>
      </c>
      <c r="D296" s="1074">
        <v>1008</v>
      </c>
      <c r="E296" s="1074">
        <v>1008</v>
      </c>
      <c r="F296" s="1072" t="s">
        <v>401</v>
      </c>
      <c r="G296" s="1072" t="s">
        <v>2597</v>
      </c>
      <c r="H296" s="1075"/>
      <c r="I296" s="1076"/>
      <c r="J296" s="1076"/>
      <c r="K296" s="1076"/>
      <c r="L296" s="153" t="str">
        <f t="shared" si="18"/>
        <v>6193</v>
      </c>
      <c r="M296" s="154" t="str">
        <f t="shared" si="19"/>
        <v>TAXES AUTRES PERMIS LICENCE</v>
      </c>
      <c r="N296" s="155">
        <f>+IF(OR($Q296=Parametres!$G$2,$Q296=Parametres!$G$3),I296,C296)</f>
        <v>0</v>
      </c>
      <c r="O296" s="155">
        <f>+IF(OR($Q296=Parametres!$G$2,$Q296=Parametres!$G$3),J296,D296)</f>
        <v>1008</v>
      </c>
      <c r="P296" s="155">
        <f>+IF(OR($Q296=Parametres!$G$2,$Q296=Parametres!$G$3),K296,E296)</f>
        <v>1008</v>
      </c>
      <c r="Q296" s="154" t="str">
        <f t="shared" si="22"/>
        <v>7-Dépenses</v>
      </c>
      <c r="R296" s="153" t="str">
        <f t="shared" si="22"/>
        <v>6193</v>
      </c>
      <c r="S296" s="154">
        <f t="shared" si="22"/>
        <v>0</v>
      </c>
      <c r="T296" s="156" t="str">
        <f>+VLOOKUP($L296,Data_Validation!$A:$D,1,0)</f>
        <v>6193</v>
      </c>
      <c r="U296" s="156" t="str">
        <f>+VLOOKUP($L296,Data_Validation!$A:$D,3,0)</f>
        <v>Véhicules neufs</v>
      </c>
      <c r="V296" s="156" t="str">
        <f>+VLOOKUP($L296,Data_Validation!$A:$D,4,0)</f>
        <v>Taxes d`affaires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72" t="s">
        <v>1395</v>
      </c>
      <c r="B297" s="1072" t="s">
        <v>2635</v>
      </c>
      <c r="C297" s="1074">
        <v>0</v>
      </c>
      <c r="D297" s="1074">
        <v>2568</v>
      </c>
      <c r="E297" s="1074">
        <v>2568</v>
      </c>
      <c r="F297" s="1072" t="s">
        <v>401</v>
      </c>
      <c r="G297" s="1072" t="s">
        <v>2635</v>
      </c>
      <c r="H297" s="1075"/>
      <c r="I297" s="1076"/>
      <c r="J297" s="1076"/>
      <c r="K297" s="1076"/>
      <c r="L297" s="153" t="str">
        <f t="shared" si="18"/>
        <v>6194</v>
      </c>
      <c r="M297" s="154" t="str">
        <f t="shared" si="19"/>
        <v>HONORAIRES PROFESSIONNELS</v>
      </c>
      <c r="N297" s="155">
        <f>+IF(OR($Q297=Parametres!$G$2,$Q297=Parametres!$G$3),I297,C297)</f>
        <v>0</v>
      </c>
      <c r="O297" s="155">
        <f>+IF(OR($Q297=Parametres!$G$2,$Q297=Parametres!$G$3),J297,D297)</f>
        <v>2568</v>
      </c>
      <c r="P297" s="155">
        <f>+IF(OR($Q297=Parametres!$G$2,$Q297=Parametres!$G$3),K297,E297)</f>
        <v>2568</v>
      </c>
      <c r="Q297" s="154" t="str">
        <f t="shared" si="22"/>
        <v>7-Dépenses</v>
      </c>
      <c r="R297" s="153" t="str">
        <f t="shared" si="22"/>
        <v>6194</v>
      </c>
      <c r="S297" s="154">
        <f t="shared" si="22"/>
        <v>0</v>
      </c>
      <c r="T297" s="156" t="str">
        <f>+VLOOKUP($L297,Data_Validation!$A:$D,1,0)</f>
        <v>6194</v>
      </c>
      <c r="U297" s="156" t="str">
        <f>+VLOOKUP($L297,Data_Validation!$A:$D,3,0)</f>
        <v>Véhicules neufs</v>
      </c>
      <c r="V297" s="156" t="str">
        <f>+VLOOKUP($L297,Data_Validation!$A:$D,4,0)</f>
        <v>Honoraires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72" t="s">
        <v>1483</v>
      </c>
      <c r="B298" s="1072" t="s">
        <v>2780</v>
      </c>
      <c r="C298" s="1074">
        <v>0</v>
      </c>
      <c r="D298" s="1074">
        <v>15965.12</v>
      </c>
      <c r="E298" s="1074">
        <v>15965.12</v>
      </c>
      <c r="F298" s="1072" t="s">
        <v>401</v>
      </c>
      <c r="G298" s="1072" t="s">
        <v>2781</v>
      </c>
      <c r="H298" s="1075"/>
      <c r="I298" s="1076"/>
      <c r="J298" s="1076"/>
      <c r="K298" s="1076"/>
      <c r="L298" s="153" t="str">
        <f t="shared" si="18"/>
        <v>6201</v>
      </c>
      <c r="M298" s="154" t="str">
        <f t="shared" si="19"/>
        <v>COMMISSION USAGES</v>
      </c>
      <c r="N298" s="155">
        <f>+IF(OR($Q298=Parametres!$G$2,$Q298=Parametres!$G$3),I298,C298)</f>
        <v>0</v>
      </c>
      <c r="O298" s="155">
        <f>+IF(OR($Q298=Parametres!$G$2,$Q298=Parametres!$G$3),J298,D298)</f>
        <v>15965.12</v>
      </c>
      <c r="P298" s="155">
        <f>+IF(OR($Q298=Parametres!$G$2,$Q298=Parametres!$G$3),K298,E298)</f>
        <v>15965.12</v>
      </c>
      <c r="Q298" s="154" t="str">
        <f t="shared" si="22"/>
        <v>7-Dépenses</v>
      </c>
      <c r="R298" s="153" t="str">
        <f t="shared" si="22"/>
        <v>6101</v>
      </c>
      <c r="S298" s="154">
        <f t="shared" si="22"/>
        <v>0</v>
      </c>
      <c r="T298" s="156" t="str">
        <f>+VLOOKUP($L298,Data_Validation!$A:$D,1,0)</f>
        <v>6201</v>
      </c>
      <c r="U298" s="156" t="str">
        <f>+VLOOKUP($L298,Data_Validation!$A:$D,3,0)</f>
        <v>Véhicules usagés</v>
      </c>
      <c r="V298" s="156" t="str">
        <f>+VLOOKUP($L298,Data_Validation!$A:$D,4,0)</f>
        <v>Comm. vendeurs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72" t="s">
        <v>1442</v>
      </c>
      <c r="B299" s="1072" t="s">
        <v>2769</v>
      </c>
      <c r="C299" s="1074">
        <v>0</v>
      </c>
      <c r="D299" s="1074">
        <v>3755.86</v>
      </c>
      <c r="E299" s="1074">
        <v>3755.86</v>
      </c>
      <c r="F299" s="1072" t="s">
        <v>401</v>
      </c>
      <c r="G299" s="1072" t="s">
        <v>2770</v>
      </c>
      <c r="H299" s="1075"/>
      <c r="I299" s="1076"/>
      <c r="J299" s="1076"/>
      <c r="K299" s="1076"/>
      <c r="L299" s="153" t="str">
        <f t="shared" si="18"/>
        <v>6202</v>
      </c>
      <c r="M299" s="154" t="str">
        <f t="shared" si="19"/>
        <v>RENUMERATION F &amp; I</v>
      </c>
      <c r="N299" s="155">
        <f>+IF(OR($Q299=Parametres!$G$2,$Q299=Parametres!$G$3),I299,C299)</f>
        <v>0</v>
      </c>
      <c r="O299" s="155">
        <f>+IF(OR($Q299=Parametres!$G$2,$Q299=Parametres!$G$3),J299,D299)</f>
        <v>3755.86</v>
      </c>
      <c r="P299" s="155">
        <f>+IF(OR($Q299=Parametres!$G$2,$Q299=Parametres!$G$3),K299,E299)</f>
        <v>3755.86</v>
      </c>
      <c r="Q299" s="154" t="str">
        <f t="shared" si="22"/>
        <v>7-Dépenses</v>
      </c>
      <c r="R299" s="153" t="str">
        <f t="shared" si="22"/>
        <v>6102</v>
      </c>
      <c r="S299" s="154">
        <f t="shared" si="22"/>
        <v>0</v>
      </c>
      <c r="T299" s="156" t="str">
        <f>+VLOOKUP($L299,Data_Validation!$A:$D,1,0)</f>
        <v>6202</v>
      </c>
      <c r="U299" s="156" t="str">
        <f>+VLOOKUP($L299,Data_Validation!$A:$D,3,0)</f>
        <v>Véhicules usagés</v>
      </c>
      <c r="V299" s="156" t="str">
        <f>+VLOOKUP($L299,Data_Validation!$A:$D,4,0)</f>
        <v>Comm. F&amp;I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72" t="s">
        <v>1230</v>
      </c>
      <c r="B300" s="1072" t="s">
        <v>2751</v>
      </c>
      <c r="C300" s="1074">
        <v>0</v>
      </c>
      <c r="D300" s="1074">
        <v>200</v>
      </c>
      <c r="E300" s="1074">
        <v>200</v>
      </c>
      <c r="F300" s="1072" t="s">
        <v>401</v>
      </c>
      <c r="G300" s="1072" t="s">
        <v>2706</v>
      </c>
      <c r="H300" s="1075"/>
      <c r="I300" s="1076"/>
      <c r="J300" s="1076"/>
      <c r="K300" s="1076"/>
      <c r="L300" s="153" t="str">
        <f t="shared" si="18"/>
        <v>6203</v>
      </c>
      <c r="M300" s="154" t="str">
        <f t="shared" si="19"/>
        <v>RELAT. A LA CLIENTELLE &amp; AJUST</v>
      </c>
      <c r="N300" s="155">
        <f>+IF(OR($Q300=Parametres!$G$2,$Q300=Parametres!$G$3),I300,C300)</f>
        <v>0</v>
      </c>
      <c r="O300" s="155">
        <f>+IF(OR($Q300=Parametres!$G$2,$Q300=Parametres!$G$3),J300,D300)</f>
        <v>200</v>
      </c>
      <c r="P300" s="155">
        <f>+IF(OR($Q300=Parametres!$G$2,$Q300=Parametres!$G$3),K300,E300)</f>
        <v>200</v>
      </c>
      <c r="Q300" s="154" t="str">
        <f t="shared" si="22"/>
        <v>7-Dépenses</v>
      </c>
      <c r="R300" s="153" t="str">
        <f t="shared" si="22"/>
        <v>6103</v>
      </c>
      <c r="S300" s="154">
        <f t="shared" si="22"/>
        <v>0</v>
      </c>
      <c r="T300" s="156" t="str">
        <f>+VLOOKUP($L300,Data_Validation!$A:$D,1,0)</f>
        <v>6203</v>
      </c>
      <c r="U300" s="156" t="str">
        <f>+VLOOKUP($L300,Data_Validation!$A:$D,3,0)</f>
        <v>Véhicules usagés</v>
      </c>
      <c r="V300" s="156" t="str">
        <f>+VLOOKUP($L300,Data_Validation!$A:$D,4,0)</f>
        <v>Service gratuit 1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72" t="s">
        <v>2757</v>
      </c>
      <c r="B301" s="1072" t="s">
        <v>2758</v>
      </c>
      <c r="C301" s="1074">
        <v>0</v>
      </c>
      <c r="D301" s="1074">
        <v>1100</v>
      </c>
      <c r="E301" s="1074">
        <v>1100</v>
      </c>
      <c r="F301" s="1072" t="s">
        <v>401</v>
      </c>
      <c r="G301" s="1072" t="s">
        <v>2759</v>
      </c>
      <c r="H301" s="1075"/>
      <c r="I301" s="1076"/>
      <c r="J301" s="1076"/>
      <c r="K301" s="1076"/>
      <c r="L301" s="153" t="str">
        <f t="shared" si="18"/>
        <v>6206</v>
      </c>
      <c r="M301" s="154" t="str">
        <f t="shared" si="19"/>
        <v>ENTRETIEN DES STOCKS</v>
      </c>
      <c r="N301" s="155">
        <f>+IF(OR($Q301=Parametres!$G$2,$Q301=Parametres!$G$3),I301,C301)</f>
        <v>0</v>
      </c>
      <c r="O301" s="155">
        <f>+IF(OR($Q301=Parametres!$G$2,$Q301=Parametres!$G$3),J301,D301)</f>
        <v>1100</v>
      </c>
      <c r="P301" s="155">
        <f>+IF(OR($Q301=Parametres!$G$2,$Q301=Parametres!$G$3),K301,E301)</f>
        <v>1100</v>
      </c>
      <c r="Q301" s="154" t="str">
        <f t="shared" si="22"/>
        <v>7-Dépenses</v>
      </c>
      <c r="R301" s="153" t="str">
        <f t="shared" si="22"/>
        <v>6106</v>
      </c>
      <c r="S301" s="154">
        <f t="shared" si="22"/>
        <v>0</v>
      </c>
      <c r="T301" s="156" t="str">
        <f>+VLOOKUP($L301,Data_Validation!$A:$D,1,0)</f>
        <v>6206</v>
      </c>
      <c r="U301" s="156" t="str">
        <f>+VLOOKUP($L301,Data_Validation!$A:$D,3,0)</f>
        <v>Véhicules usagés</v>
      </c>
      <c r="V301" s="156" t="str">
        <f>+VLOOKUP($L301,Data_Validation!$A:$D,4,0)</f>
        <v>Entretien stock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72" t="s">
        <v>1407</v>
      </c>
      <c r="B302" s="1072" t="s">
        <v>2695</v>
      </c>
      <c r="C302" s="1074">
        <v>0</v>
      </c>
      <c r="D302" s="1074">
        <v>2222.6999999999998</v>
      </c>
      <c r="E302" s="1074">
        <v>2222.6999999999998</v>
      </c>
      <c r="F302" s="1072" t="s">
        <v>401</v>
      </c>
      <c r="G302" s="1072" t="s">
        <v>2696</v>
      </c>
      <c r="H302" s="1075"/>
      <c r="I302" s="1076"/>
      <c r="J302" s="1076"/>
      <c r="K302" s="1076"/>
      <c r="L302" s="153" t="str">
        <f t="shared" si="18"/>
        <v>6208</v>
      </c>
      <c r="M302" s="154" t="str">
        <f t="shared" si="19"/>
        <v>FRAIS DE LIVRAISON</v>
      </c>
      <c r="N302" s="155">
        <f>+IF(OR($Q302=Parametres!$G$2,$Q302=Parametres!$G$3),I302,C302)</f>
        <v>0</v>
      </c>
      <c r="O302" s="155">
        <f>+IF(OR($Q302=Parametres!$G$2,$Q302=Parametres!$G$3),J302,D302)</f>
        <v>2222.6999999999998</v>
      </c>
      <c r="P302" s="155">
        <f>+IF(OR($Q302=Parametres!$G$2,$Q302=Parametres!$G$3),K302,E302)</f>
        <v>2222.6999999999998</v>
      </c>
      <c r="Q302" s="154" t="str">
        <f t="shared" si="22"/>
        <v>7-Dépenses</v>
      </c>
      <c r="R302" s="153" t="str">
        <f t="shared" si="22"/>
        <v>6108</v>
      </c>
      <c r="S302" s="154">
        <f t="shared" si="22"/>
        <v>0</v>
      </c>
      <c r="T302" s="156" t="str">
        <f>+VLOOKUP($L302,Data_Validation!$A:$D,1,0)</f>
        <v>6208</v>
      </c>
      <c r="U302" s="156" t="str">
        <f>+VLOOKUP($L302,Data_Validation!$A:$D,3,0)</f>
        <v>Véhicules usagés</v>
      </c>
      <c r="V302" s="156" t="str">
        <f>+VLOOKUP($L302,Data_Validation!$A:$D,4,0)</f>
        <v>Frais de livraison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72" t="s">
        <v>1374</v>
      </c>
      <c r="B303" s="1072" t="s">
        <v>2774</v>
      </c>
      <c r="C303" s="1074">
        <v>0</v>
      </c>
      <c r="D303" s="1074">
        <v>7250</v>
      </c>
      <c r="E303" s="1074">
        <v>7250</v>
      </c>
      <c r="F303" s="1072" t="s">
        <v>401</v>
      </c>
      <c r="G303" s="1072" t="s">
        <v>2113</v>
      </c>
      <c r="H303" s="1075"/>
      <c r="I303" s="1076"/>
      <c r="J303" s="1076"/>
      <c r="K303" s="1076"/>
      <c r="L303" s="153" t="str">
        <f t="shared" si="18"/>
        <v>6214</v>
      </c>
      <c r="M303" s="154" t="str">
        <f t="shared" si="19"/>
        <v>PUBLICITE</v>
      </c>
      <c r="N303" s="155">
        <f>+IF(OR($Q303=Parametres!$G$2,$Q303=Parametres!$G$3),I303,C303)</f>
        <v>0</v>
      </c>
      <c r="O303" s="155">
        <f>+IF(OR($Q303=Parametres!$G$2,$Q303=Parametres!$G$3),J303,D303)</f>
        <v>7250</v>
      </c>
      <c r="P303" s="155">
        <f>+IF(OR($Q303=Parametres!$G$2,$Q303=Parametres!$G$3),K303,E303)</f>
        <v>7250</v>
      </c>
      <c r="Q303" s="154" t="str">
        <f t="shared" si="22"/>
        <v>7-Dépenses</v>
      </c>
      <c r="R303" s="153" t="str">
        <f t="shared" si="22"/>
        <v>6114</v>
      </c>
      <c r="S303" s="154">
        <f t="shared" si="22"/>
        <v>0</v>
      </c>
      <c r="T303" s="156" t="str">
        <f>+VLOOKUP($L303,Data_Validation!$A:$D,1,0)</f>
        <v>6214</v>
      </c>
      <c r="U303" s="156" t="str">
        <f>+VLOOKUP($L303,Data_Validation!$A:$D,3,0)</f>
        <v>Véhicules usagés</v>
      </c>
      <c r="V303" s="156" t="str">
        <f>+VLOOKUP($L303,Data_Validation!$A:$D,4,0)</f>
        <v>Publicité 1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72" t="s">
        <v>2148</v>
      </c>
      <c r="B304" s="1072" t="s">
        <v>2149</v>
      </c>
      <c r="C304" s="1074">
        <v>0</v>
      </c>
      <c r="D304" s="1074">
        <v>-1770</v>
      </c>
      <c r="E304" s="1074">
        <v>-1770</v>
      </c>
      <c r="F304" s="1072" t="s">
        <v>401</v>
      </c>
      <c r="G304" s="1072" t="s">
        <v>2113</v>
      </c>
      <c r="H304" s="1075"/>
      <c r="I304" s="1076"/>
      <c r="J304" s="1076"/>
      <c r="K304" s="1076"/>
      <c r="L304" s="153" t="str">
        <f t="shared" si="18"/>
        <v>6215</v>
      </c>
      <c r="M304" s="154" t="str">
        <f t="shared" si="19"/>
        <v>CREDIT PUBLICITE USAGES</v>
      </c>
      <c r="N304" s="155">
        <f>+IF(OR($Q304=Parametres!$G$2,$Q304=Parametres!$G$3),I304,C304)</f>
        <v>0</v>
      </c>
      <c r="O304" s="155">
        <f>+IF(OR($Q304=Parametres!$G$2,$Q304=Parametres!$G$3),J304,D304)</f>
        <v>-1770</v>
      </c>
      <c r="P304" s="155">
        <f>+IF(OR($Q304=Parametres!$G$2,$Q304=Parametres!$G$3),K304,E304)</f>
        <v>-1770</v>
      </c>
      <c r="Q304" s="154" t="str">
        <f t="shared" si="22"/>
        <v>7-Dépenses</v>
      </c>
      <c r="R304" s="153" t="str">
        <f t="shared" si="22"/>
        <v>6114</v>
      </c>
      <c r="S304" s="154">
        <f t="shared" si="22"/>
        <v>0</v>
      </c>
      <c r="T304" s="156" t="str">
        <f>+VLOOKUP($L304,Data_Validation!$A:$D,1,0)</f>
        <v>6215</v>
      </c>
      <c r="U304" s="156" t="str">
        <f>+VLOOKUP($L304,Data_Validation!$A:$D,3,0)</f>
        <v>Véhicules usagés</v>
      </c>
      <c r="V304" s="156" t="str">
        <f>+VLOOKUP($L304,Data_Validation!$A:$D,4,0)</f>
        <v>Publicité 1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72" t="s">
        <v>1259</v>
      </c>
      <c r="B305" s="1072" t="s">
        <v>2674</v>
      </c>
      <c r="C305" s="1074">
        <v>0</v>
      </c>
      <c r="D305" s="1074">
        <v>358</v>
      </c>
      <c r="E305" s="1074">
        <v>358</v>
      </c>
      <c r="F305" s="1072" t="s">
        <v>401</v>
      </c>
      <c r="G305" s="1072" t="s">
        <v>2648</v>
      </c>
      <c r="H305" s="1075"/>
      <c r="I305" s="1076"/>
      <c r="J305" s="1076"/>
      <c r="K305" s="1076"/>
      <c r="L305" s="153" t="str">
        <f t="shared" si="18"/>
        <v>6221</v>
      </c>
      <c r="M305" s="154" t="str">
        <f t="shared" si="19"/>
        <v>SALAIRES - PROPRIETAIRES</v>
      </c>
      <c r="N305" s="155">
        <f>+IF(OR($Q305=Parametres!$G$2,$Q305=Parametres!$G$3),I305,C305)</f>
        <v>0</v>
      </c>
      <c r="O305" s="155">
        <f>+IF(OR($Q305=Parametres!$G$2,$Q305=Parametres!$G$3),J305,D305)</f>
        <v>358</v>
      </c>
      <c r="P305" s="155">
        <f>+IF(OR($Q305=Parametres!$G$2,$Q305=Parametres!$G$3),K305,E305)</f>
        <v>358</v>
      </c>
      <c r="Q305" s="154" t="str">
        <f t="shared" si="22"/>
        <v>7-Dépenses</v>
      </c>
      <c r="R305" s="153" t="str">
        <f t="shared" si="22"/>
        <v>6121</v>
      </c>
      <c r="S305" s="154">
        <f t="shared" si="22"/>
        <v>0</v>
      </c>
      <c r="T305" s="156" t="str">
        <f>+VLOOKUP($L305,Data_Validation!$A:$D,1,0)</f>
        <v>6221</v>
      </c>
      <c r="U305" s="156" t="str">
        <f>+VLOOKUP($L305,Data_Validation!$A:$D,3,0)</f>
        <v>Véhicules usagés</v>
      </c>
      <c r="V305" s="156" t="str">
        <f>+VLOOKUP($L305,Data_Validation!$A:$D,4,0)</f>
        <v>Salaires propriétaire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72" t="s">
        <v>2624</v>
      </c>
      <c r="B306" s="1072" t="s">
        <v>2748</v>
      </c>
      <c r="C306" s="1074">
        <v>0</v>
      </c>
      <c r="D306" s="1074">
        <v>4058.3</v>
      </c>
      <c r="E306" s="1074">
        <v>4058.3</v>
      </c>
      <c r="F306" s="1072" t="s">
        <v>401</v>
      </c>
      <c r="G306" s="1072" t="s">
        <v>2626</v>
      </c>
      <c r="H306" s="1075"/>
      <c r="I306" s="1076"/>
      <c r="J306" s="1076"/>
      <c r="K306" s="1076"/>
      <c r="L306" s="153" t="str">
        <f t="shared" si="18"/>
        <v>6222</v>
      </c>
      <c r="M306" s="154" t="str">
        <f t="shared" si="19"/>
        <v>SAL SUPERVISION / GERANT</v>
      </c>
      <c r="N306" s="155">
        <f>+IF(OR($Q306=Parametres!$G$2,$Q306=Parametres!$G$3),I306,C306)</f>
        <v>0</v>
      </c>
      <c r="O306" s="155">
        <f>+IF(OR($Q306=Parametres!$G$2,$Q306=Parametres!$G$3),J306,D306)</f>
        <v>4058.3</v>
      </c>
      <c r="P306" s="155">
        <f>+IF(OR($Q306=Parametres!$G$2,$Q306=Parametres!$G$3),K306,E306)</f>
        <v>4058.3</v>
      </c>
      <c r="Q306" s="154" t="str">
        <f t="shared" ref="Q306:S321" si="23">+F306</f>
        <v>7-Dépenses</v>
      </c>
      <c r="R306" s="153" t="str">
        <f t="shared" si="23"/>
        <v>6122</v>
      </c>
      <c r="S306" s="154">
        <f t="shared" si="23"/>
        <v>0</v>
      </c>
      <c r="T306" s="156" t="str">
        <f>+VLOOKUP($L306,Data_Validation!$A:$D,1,0)</f>
        <v>6222</v>
      </c>
      <c r="U306" s="156" t="str">
        <f>+VLOOKUP($L306,Data_Validation!$A:$D,3,0)</f>
        <v>Véhicules usagés</v>
      </c>
      <c r="V306" s="156" t="str">
        <f>+VLOOKUP($L306,Data_Validation!$A:$D,4,0)</f>
        <v>Salaires cadres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72" t="s">
        <v>1342</v>
      </c>
      <c r="B307" s="1072" t="s">
        <v>2707</v>
      </c>
      <c r="C307" s="1074">
        <v>0</v>
      </c>
      <c r="D307" s="1074">
        <v>3416.68</v>
      </c>
      <c r="E307" s="1074">
        <v>3416.68</v>
      </c>
      <c r="F307" s="1072" t="s">
        <v>401</v>
      </c>
      <c r="G307" s="1072" t="s">
        <v>2679</v>
      </c>
      <c r="H307" s="1075"/>
      <c r="I307" s="1076"/>
      <c r="J307" s="1076"/>
      <c r="K307" s="1076"/>
      <c r="L307" s="153" t="str">
        <f t="shared" si="18"/>
        <v>6223</v>
      </c>
      <c r="M307" s="154" t="str">
        <f t="shared" si="19"/>
        <v>SAL. &amp; RENUM. - CLERICAL</v>
      </c>
      <c r="N307" s="155">
        <f>+IF(OR($Q307=Parametres!$G$2,$Q307=Parametres!$G$3),I307,C307)</f>
        <v>0</v>
      </c>
      <c r="O307" s="155">
        <f>+IF(OR($Q307=Parametres!$G$2,$Q307=Parametres!$G$3),J307,D307)</f>
        <v>3416.68</v>
      </c>
      <c r="P307" s="155">
        <f>+IF(OR($Q307=Parametres!$G$2,$Q307=Parametres!$G$3),K307,E307)</f>
        <v>3416.68</v>
      </c>
      <c r="Q307" s="154" t="str">
        <f t="shared" si="23"/>
        <v>7-Dépenses</v>
      </c>
      <c r="R307" s="153" t="str">
        <f t="shared" si="23"/>
        <v>6123</v>
      </c>
      <c r="S307" s="154">
        <f t="shared" si="23"/>
        <v>0</v>
      </c>
      <c r="T307" s="156" t="str">
        <f>+VLOOKUP($L307,Data_Validation!$A:$D,1,0)</f>
        <v>6223</v>
      </c>
      <c r="U307" s="156" t="str">
        <f>+VLOOKUP($L307,Data_Validation!$A:$D,3,0)</f>
        <v>Véhicules usagés</v>
      </c>
      <c r="V307" s="156" t="str">
        <f>+VLOOKUP($L307,Data_Validation!$A:$D,4,0)</f>
        <v>Salaires commis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72" t="s">
        <v>1412</v>
      </c>
      <c r="B308" s="1072" t="s">
        <v>2776</v>
      </c>
      <c r="C308" s="1074">
        <v>0</v>
      </c>
      <c r="D308" s="1074">
        <v>9099.89</v>
      </c>
      <c r="E308" s="1074">
        <v>9099.89</v>
      </c>
      <c r="F308" s="1072" t="s">
        <v>401</v>
      </c>
      <c r="G308" s="1072" t="s">
        <v>2735</v>
      </c>
      <c r="H308" s="1075"/>
      <c r="I308" s="1076"/>
      <c r="J308" s="1076"/>
      <c r="K308" s="1076"/>
      <c r="L308" s="153" t="str">
        <f t="shared" si="18"/>
        <v>6224</v>
      </c>
      <c r="M308" s="154" t="str">
        <f t="shared" si="19"/>
        <v>SALAIRE &amp; RENUM. - AUTRES</v>
      </c>
      <c r="N308" s="155">
        <f>+IF(OR($Q308=Parametres!$G$2,$Q308=Parametres!$G$3),I308,C308)</f>
        <v>0</v>
      </c>
      <c r="O308" s="155">
        <f>+IF(OR($Q308=Parametres!$G$2,$Q308=Parametres!$G$3),J308,D308)</f>
        <v>9099.89</v>
      </c>
      <c r="P308" s="155">
        <f>+IF(OR($Q308=Parametres!$G$2,$Q308=Parametres!$G$3),K308,E308)</f>
        <v>9099.89</v>
      </c>
      <c r="Q308" s="154" t="str">
        <f t="shared" si="23"/>
        <v>7-Dépenses</v>
      </c>
      <c r="R308" s="153" t="str">
        <f t="shared" si="23"/>
        <v>6124</v>
      </c>
      <c r="S308" s="154">
        <f t="shared" si="23"/>
        <v>0</v>
      </c>
      <c r="T308" s="156" t="str">
        <f>+VLOOKUP($L308,Data_Validation!$A:$D,1,0)</f>
        <v>6224</v>
      </c>
      <c r="U308" s="156" t="str">
        <f>+VLOOKUP($L308,Data_Validation!$A:$D,3,0)</f>
        <v>Véhicules usagés</v>
      </c>
      <c r="V308" s="156" t="str">
        <f>+VLOOKUP($L308,Data_Validation!$A:$D,4,0)</f>
        <v>Salaires autres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72" t="s">
        <v>1211</v>
      </c>
      <c r="B309" s="1072" t="s">
        <v>2712</v>
      </c>
      <c r="C309" s="1074">
        <v>0</v>
      </c>
      <c r="D309" s="1074">
        <v>5243.31</v>
      </c>
      <c r="E309" s="1074">
        <v>5243.31</v>
      </c>
      <c r="F309" s="1072" t="s">
        <v>401</v>
      </c>
      <c r="G309" s="1072" t="s">
        <v>2641</v>
      </c>
      <c r="H309" s="1075"/>
      <c r="I309" s="1076"/>
      <c r="J309" s="1076"/>
      <c r="K309" s="1076"/>
      <c r="L309" s="153" t="str">
        <f t="shared" si="18"/>
        <v>6229</v>
      </c>
      <c r="M309" s="154" t="str">
        <f t="shared" si="19"/>
        <v>ABS.,VACANCES &amp; SAL. JOURS FER</v>
      </c>
      <c r="N309" s="155">
        <f>+IF(OR($Q309=Parametres!$G$2,$Q309=Parametres!$G$3),I309,C309)</f>
        <v>0</v>
      </c>
      <c r="O309" s="155">
        <f>+IF(OR($Q309=Parametres!$G$2,$Q309=Parametres!$G$3),J309,D309)</f>
        <v>5243.31</v>
      </c>
      <c r="P309" s="155">
        <f>+IF(OR($Q309=Parametres!$G$2,$Q309=Parametres!$G$3),K309,E309)</f>
        <v>5243.31</v>
      </c>
      <c r="Q309" s="154" t="str">
        <f t="shared" si="23"/>
        <v>7-Dépenses</v>
      </c>
      <c r="R309" s="153" t="str">
        <f t="shared" si="23"/>
        <v>6129</v>
      </c>
      <c r="S309" s="154">
        <f t="shared" si="23"/>
        <v>0</v>
      </c>
      <c r="T309" s="156" t="str">
        <f>+VLOOKUP($L309,Data_Validation!$A:$D,1,0)</f>
        <v>6229</v>
      </c>
      <c r="U309" s="156" t="str">
        <f>+VLOOKUP($L309,Data_Validation!$A:$D,3,0)</f>
        <v>Véhicules usagés</v>
      </c>
      <c r="V309" s="156" t="str">
        <f>+VLOOKUP($L309,Data_Validation!$A:$D,4,0)</f>
        <v>Salaires en absences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72" t="s">
        <v>1252</v>
      </c>
      <c r="B310" s="1072" t="s">
        <v>2697</v>
      </c>
      <c r="C310" s="1074">
        <v>0</v>
      </c>
      <c r="D310" s="1074">
        <v>1473.68</v>
      </c>
      <c r="E310" s="1074">
        <v>1473.68</v>
      </c>
      <c r="F310" s="1072" t="s">
        <v>401</v>
      </c>
      <c r="G310" s="1072" t="s">
        <v>2586</v>
      </c>
      <c r="H310" s="1075"/>
      <c r="I310" s="1076"/>
      <c r="J310" s="1076"/>
      <c r="K310" s="1076"/>
      <c r="L310" s="153" t="str">
        <f t="shared" si="18"/>
        <v>6231</v>
      </c>
      <c r="M310" s="154" t="str">
        <f t="shared" si="19"/>
        <v>CSST</v>
      </c>
      <c r="N310" s="155">
        <f>+IF(OR($Q310=Parametres!$G$2,$Q310=Parametres!$G$3),I310,C310)</f>
        <v>0</v>
      </c>
      <c r="O310" s="155">
        <f>+IF(OR($Q310=Parametres!$G$2,$Q310=Parametres!$G$3),J310,D310)</f>
        <v>1473.68</v>
      </c>
      <c r="P310" s="155">
        <f>+IF(OR($Q310=Parametres!$G$2,$Q310=Parametres!$G$3),K310,E310)</f>
        <v>1473.68</v>
      </c>
      <c r="Q310" s="154" t="str">
        <f t="shared" si="23"/>
        <v>7-Dépenses</v>
      </c>
      <c r="R310" s="153" t="str">
        <f t="shared" si="23"/>
        <v>6131</v>
      </c>
      <c r="S310" s="154">
        <f t="shared" si="23"/>
        <v>0</v>
      </c>
      <c r="T310" s="156" t="str">
        <f>+VLOOKUP($L310,Data_Validation!$A:$D,1,0)</f>
        <v>6231</v>
      </c>
      <c r="U310" s="156" t="str">
        <f>+VLOOKUP($L310,Data_Validation!$A:$D,3,0)</f>
        <v>Véhicules usagés</v>
      </c>
      <c r="V310" s="156" t="str">
        <f>+VLOOKUP($L310,Data_Validation!$A:$D,4,0)</f>
        <v>Csst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72" t="s">
        <v>1283</v>
      </c>
      <c r="B311" s="1072" t="s">
        <v>2717</v>
      </c>
      <c r="C311" s="1074">
        <v>0</v>
      </c>
      <c r="D311" s="1074">
        <v>5428.14</v>
      </c>
      <c r="E311" s="1074">
        <v>5428.14</v>
      </c>
      <c r="F311" s="1072" t="s">
        <v>401</v>
      </c>
      <c r="G311" s="1072" t="s">
        <v>2685</v>
      </c>
      <c r="H311" s="1075"/>
      <c r="I311" s="1076"/>
      <c r="J311" s="1076"/>
      <c r="K311" s="1076"/>
      <c r="L311" s="153" t="str">
        <f t="shared" si="18"/>
        <v>6232</v>
      </c>
      <c r="M311" s="154" t="str">
        <f t="shared" si="19"/>
        <v>RRQ RAMQ AC</v>
      </c>
      <c r="N311" s="155">
        <f>+IF(OR($Q311=Parametres!$G$2,$Q311=Parametres!$G$3),I311,C311)</f>
        <v>0</v>
      </c>
      <c r="O311" s="155">
        <f>+IF(OR($Q311=Parametres!$G$2,$Q311=Parametres!$G$3),J311,D311)</f>
        <v>5428.14</v>
      </c>
      <c r="P311" s="155">
        <f>+IF(OR($Q311=Parametres!$G$2,$Q311=Parametres!$G$3),K311,E311)</f>
        <v>5428.14</v>
      </c>
      <c r="Q311" s="154" t="str">
        <f t="shared" si="23"/>
        <v>7-Dépenses</v>
      </c>
      <c r="R311" s="153" t="str">
        <f t="shared" si="23"/>
        <v>6132</v>
      </c>
      <c r="S311" s="154">
        <f t="shared" si="23"/>
        <v>0</v>
      </c>
      <c r="T311" s="156" t="str">
        <f>+VLOOKUP($L311,Data_Validation!$A:$D,1,0)</f>
        <v>6232</v>
      </c>
      <c r="U311" s="156" t="str">
        <f>+VLOOKUP($L311,Data_Validation!$A:$D,3,0)</f>
        <v>Véhicules usagés</v>
      </c>
      <c r="V311" s="156" t="str">
        <f>+VLOOKUP($L311,Data_Validation!$A:$D,4,0)</f>
        <v>Déduction à la source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72" t="s">
        <v>1305</v>
      </c>
      <c r="B312" s="1072" t="s">
        <v>2719</v>
      </c>
      <c r="C312" s="1074">
        <v>0</v>
      </c>
      <c r="D312" s="1074">
        <v>3475.02</v>
      </c>
      <c r="E312" s="1074">
        <v>3475.02</v>
      </c>
      <c r="F312" s="1072" t="s">
        <v>401</v>
      </c>
      <c r="G312" s="1072" t="s">
        <v>2694</v>
      </c>
      <c r="H312" s="1075"/>
      <c r="I312" s="1076"/>
      <c r="J312" s="1076"/>
      <c r="K312" s="1076"/>
      <c r="L312" s="153" t="str">
        <f t="shared" si="18"/>
        <v>6239</v>
      </c>
      <c r="M312" s="154" t="str">
        <f t="shared" si="19"/>
        <v>ASSURANCE GROUPE</v>
      </c>
      <c r="N312" s="155">
        <f>+IF(OR($Q312=Parametres!$G$2,$Q312=Parametres!$G$3),I312,C312)</f>
        <v>0</v>
      </c>
      <c r="O312" s="155">
        <f>+IF(OR($Q312=Parametres!$G$2,$Q312=Parametres!$G$3),J312,D312)</f>
        <v>3475.02</v>
      </c>
      <c r="P312" s="155">
        <f>+IF(OR($Q312=Parametres!$G$2,$Q312=Parametres!$G$3),K312,E312)</f>
        <v>3475.02</v>
      </c>
      <c r="Q312" s="154" t="str">
        <f t="shared" si="23"/>
        <v>7-Dépenses</v>
      </c>
      <c r="R312" s="153" t="str">
        <f t="shared" si="23"/>
        <v>6139</v>
      </c>
      <c r="S312" s="154">
        <f t="shared" si="23"/>
        <v>0</v>
      </c>
      <c r="T312" s="156" t="str">
        <f>+VLOOKUP($L312,Data_Validation!$A:$D,1,0)</f>
        <v>6239</v>
      </c>
      <c r="U312" s="156" t="str">
        <f>+VLOOKUP($L312,Data_Validation!$A:$D,3,0)</f>
        <v>Véhicules usagés</v>
      </c>
      <c r="V312" s="156" t="str">
        <f>+VLOOKUP($L312,Data_Validation!$A:$D,4,0)</f>
        <v>Bénéfices marginaux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72" t="s">
        <v>1157</v>
      </c>
      <c r="B313" s="1072" t="s">
        <v>2565</v>
      </c>
      <c r="C313" s="1074">
        <v>0</v>
      </c>
      <c r="D313" s="1074">
        <v>87</v>
      </c>
      <c r="E313" s="1074">
        <v>87</v>
      </c>
      <c r="F313" s="1072" t="s">
        <v>401</v>
      </c>
      <c r="G313" s="1072" t="s">
        <v>2563</v>
      </c>
      <c r="H313" s="1075"/>
      <c r="I313" s="1076"/>
      <c r="J313" s="1076"/>
      <c r="K313" s="1076"/>
      <c r="L313" s="153" t="str">
        <f t="shared" si="18"/>
        <v>6242</v>
      </c>
      <c r="M313" s="154" t="str">
        <f t="shared" si="19"/>
        <v>FOURNITURES &amp; PETITS OUTILS</v>
      </c>
      <c r="N313" s="155">
        <f>+IF(OR($Q313=Parametres!$G$2,$Q313=Parametres!$G$3),I313,C313)</f>
        <v>0</v>
      </c>
      <c r="O313" s="155">
        <f>+IF(OR($Q313=Parametres!$G$2,$Q313=Parametres!$G$3),J313,D313)</f>
        <v>87</v>
      </c>
      <c r="P313" s="155">
        <f>+IF(OR($Q313=Parametres!$G$2,$Q313=Parametres!$G$3),K313,E313)</f>
        <v>87</v>
      </c>
      <c r="Q313" s="154" t="str">
        <f t="shared" si="23"/>
        <v>7-Dépenses</v>
      </c>
      <c r="R313" s="153" t="str">
        <f t="shared" si="23"/>
        <v>6142</v>
      </c>
      <c r="S313" s="154">
        <f t="shared" si="23"/>
        <v>0</v>
      </c>
      <c r="T313" s="156" t="str">
        <f>+VLOOKUP($L313,Data_Validation!$A:$D,1,0)</f>
        <v>6242</v>
      </c>
      <c r="U313" s="156" t="str">
        <f>+VLOOKUP($L313,Data_Validation!$A:$D,3,0)</f>
        <v>Véhicules usagés</v>
      </c>
      <c r="V313" s="156" t="str">
        <f>+VLOOKUP($L313,Data_Validation!$A:$D,4,0)</f>
        <v>Fournitures autres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72" t="s">
        <v>932</v>
      </c>
      <c r="B314" s="1072" t="s">
        <v>2464</v>
      </c>
      <c r="C314" s="1074">
        <v>0</v>
      </c>
      <c r="D314" s="1074">
        <v>10</v>
      </c>
      <c r="E314" s="1074">
        <v>10</v>
      </c>
      <c r="F314" s="1072" t="s">
        <v>401</v>
      </c>
      <c r="G314" s="1072" t="s">
        <v>2159</v>
      </c>
      <c r="H314" s="1075"/>
      <c r="I314" s="1076"/>
      <c r="J314" s="1076"/>
      <c r="K314" s="1076"/>
      <c r="L314" s="153" t="str">
        <f t="shared" si="18"/>
        <v>6243</v>
      </c>
      <c r="M314" s="154" t="str">
        <f t="shared" si="19"/>
        <v>UNIFORMES &amp; LESSIVE</v>
      </c>
      <c r="N314" s="155">
        <f>+IF(OR($Q314=Parametres!$G$2,$Q314=Parametres!$G$3),I314,C314)</f>
        <v>0</v>
      </c>
      <c r="O314" s="155">
        <f>+IF(OR($Q314=Parametres!$G$2,$Q314=Parametres!$G$3),J314,D314)</f>
        <v>10</v>
      </c>
      <c r="P314" s="155">
        <f>+IF(OR($Q314=Parametres!$G$2,$Q314=Parametres!$G$3),K314,E314)</f>
        <v>10</v>
      </c>
      <c r="Q314" s="154" t="str">
        <f t="shared" si="23"/>
        <v>7-Dépenses</v>
      </c>
      <c r="R314" s="153" t="str">
        <f t="shared" si="23"/>
        <v>6143</v>
      </c>
      <c r="S314" s="154">
        <f t="shared" si="23"/>
        <v>0</v>
      </c>
      <c r="T314" s="156" t="str">
        <f>+VLOOKUP($L314,Data_Validation!$A:$D,1,0)</f>
        <v>6243</v>
      </c>
      <c r="U314" s="156" t="str">
        <f>+VLOOKUP($L314,Data_Validation!$A:$D,3,0)</f>
        <v>Véhicules usagés</v>
      </c>
      <c r="V314" s="156" t="str">
        <f>+VLOOKUP($L314,Data_Validation!$A:$D,4,0)</f>
        <v>Uniformes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72" t="s">
        <v>934</v>
      </c>
      <c r="B315" s="1072" t="s">
        <v>2564</v>
      </c>
      <c r="C315" s="1074">
        <v>0</v>
      </c>
      <c r="D315" s="1074">
        <v>60</v>
      </c>
      <c r="E315" s="1074">
        <v>60</v>
      </c>
      <c r="F315" s="1072" t="s">
        <v>401</v>
      </c>
      <c r="G315" s="1072" t="s">
        <v>2561</v>
      </c>
      <c r="H315" s="1075"/>
      <c r="I315" s="1076"/>
      <c r="J315" s="1076"/>
      <c r="K315" s="1076"/>
      <c r="L315" s="153" t="str">
        <f t="shared" si="18"/>
        <v>6244</v>
      </c>
      <c r="M315" s="154" t="str">
        <f t="shared" si="19"/>
        <v>FORMATION</v>
      </c>
      <c r="N315" s="155">
        <f>+IF(OR($Q315=Parametres!$G$2,$Q315=Parametres!$G$3),I315,C315)</f>
        <v>0</v>
      </c>
      <c r="O315" s="155">
        <f>+IF(OR($Q315=Parametres!$G$2,$Q315=Parametres!$G$3),J315,D315)</f>
        <v>60</v>
      </c>
      <c r="P315" s="155">
        <f>+IF(OR($Q315=Parametres!$G$2,$Q315=Parametres!$G$3),K315,E315)</f>
        <v>60</v>
      </c>
      <c r="Q315" s="154" t="str">
        <f t="shared" si="23"/>
        <v>7-Dépenses</v>
      </c>
      <c r="R315" s="153" t="str">
        <f t="shared" si="23"/>
        <v>6144</v>
      </c>
      <c r="S315" s="154">
        <f t="shared" si="23"/>
        <v>0</v>
      </c>
      <c r="T315" s="156" t="str">
        <f>+VLOOKUP($L315,Data_Validation!$A:$D,1,0)</f>
        <v>6244</v>
      </c>
      <c r="U315" s="156" t="str">
        <f>+VLOOKUP($L315,Data_Validation!$A:$D,3,0)</f>
        <v>Véhicules usagés</v>
      </c>
      <c r="V315" s="156" t="str">
        <f>+VLOOKUP($L315,Data_Validation!$A:$D,4,0)</f>
        <v>Formation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72" t="s">
        <v>1186</v>
      </c>
      <c r="B316" s="1072" t="s">
        <v>2649</v>
      </c>
      <c r="C316" s="1074">
        <v>0</v>
      </c>
      <c r="D316" s="1074">
        <v>3029.69</v>
      </c>
      <c r="E316" s="1074">
        <v>3029.69</v>
      </c>
      <c r="F316" s="1072" t="s">
        <v>401</v>
      </c>
      <c r="G316" s="1072" t="s">
        <v>2632</v>
      </c>
      <c r="H316" s="1075"/>
      <c r="I316" s="1076"/>
      <c r="J316" s="1076"/>
      <c r="K316" s="1076"/>
      <c r="L316" s="153" t="str">
        <f t="shared" si="18"/>
        <v>6245</v>
      </c>
      <c r="M316" s="154" t="str">
        <f t="shared" si="19"/>
        <v>VEHICULE DE COMPAGNIE - DEPENS</v>
      </c>
      <c r="N316" s="155">
        <f>+IF(OR($Q316=Parametres!$G$2,$Q316=Parametres!$G$3),I316,C316)</f>
        <v>0</v>
      </c>
      <c r="O316" s="155">
        <f>+IF(OR($Q316=Parametres!$G$2,$Q316=Parametres!$G$3),J316,D316)</f>
        <v>3029.69</v>
      </c>
      <c r="P316" s="155">
        <f>+IF(OR($Q316=Parametres!$G$2,$Q316=Parametres!$G$3),K316,E316)</f>
        <v>3029.69</v>
      </c>
      <c r="Q316" s="154" t="str">
        <f t="shared" si="23"/>
        <v>7-Dépenses</v>
      </c>
      <c r="R316" s="153" t="str">
        <f t="shared" si="23"/>
        <v>6145</v>
      </c>
      <c r="S316" s="154">
        <f t="shared" si="23"/>
        <v>0</v>
      </c>
      <c r="T316" s="156" t="str">
        <f>+VLOOKUP($L316,Data_Validation!$A:$D,1,0)</f>
        <v>6245</v>
      </c>
      <c r="U316" s="156" t="str">
        <f>+VLOOKUP($L316,Data_Validation!$A:$D,3,0)</f>
        <v>Véhicules usagés</v>
      </c>
      <c r="V316" s="156" t="str">
        <f>+VLOOKUP($L316,Data_Validation!$A:$D,4,0)</f>
        <v>Frais véhicules de cie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72" t="s">
        <v>1180</v>
      </c>
      <c r="B317" s="1072" t="s">
        <v>2584</v>
      </c>
      <c r="C317" s="1074">
        <v>0</v>
      </c>
      <c r="D317" s="1074">
        <v>78.760000000000005</v>
      </c>
      <c r="E317" s="1074">
        <v>78.760000000000005</v>
      </c>
      <c r="F317" s="1072" t="s">
        <v>401</v>
      </c>
      <c r="G317" s="1072" t="s">
        <v>2581</v>
      </c>
      <c r="H317" s="1075"/>
      <c r="I317" s="1076"/>
      <c r="J317" s="1076"/>
      <c r="K317" s="1076"/>
      <c r="L317" s="153" t="str">
        <f t="shared" si="18"/>
        <v>6247</v>
      </c>
      <c r="M317" s="154" t="str">
        <f t="shared" si="19"/>
        <v>FRET/EXPRESS/TRANS. PAR CAMION</v>
      </c>
      <c r="N317" s="155">
        <f>+IF(OR($Q317=Parametres!$G$2,$Q317=Parametres!$G$3),I317,C317)</f>
        <v>0</v>
      </c>
      <c r="O317" s="155">
        <f>+IF(OR($Q317=Parametres!$G$2,$Q317=Parametres!$G$3),J317,D317)</f>
        <v>78.760000000000005</v>
      </c>
      <c r="P317" s="155">
        <f>+IF(OR($Q317=Parametres!$G$2,$Q317=Parametres!$G$3),K317,E317)</f>
        <v>78.760000000000005</v>
      </c>
      <c r="Q317" s="154" t="str">
        <f t="shared" si="23"/>
        <v>7-Dépenses</v>
      </c>
      <c r="R317" s="153" t="str">
        <f t="shared" si="23"/>
        <v>6147</v>
      </c>
      <c r="S317" s="154">
        <f t="shared" si="23"/>
        <v>0</v>
      </c>
      <c r="T317" s="156" t="str">
        <f>+VLOOKUP($L317,Data_Validation!$A:$D,1,0)</f>
        <v>6247</v>
      </c>
      <c r="U317" s="156" t="str">
        <f>+VLOOKUP($L317,Data_Validation!$A:$D,3,0)</f>
        <v>Véhicules usagés</v>
      </c>
      <c r="V317" s="156" t="str">
        <f>+VLOOKUP($L317,Data_Validation!$A:$D,4,0)</f>
        <v>Frais postaux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72" t="s">
        <v>1286</v>
      </c>
      <c r="B318" s="1072" t="s">
        <v>2723</v>
      </c>
      <c r="C318" s="1074">
        <v>0</v>
      </c>
      <c r="D318" s="1074">
        <v>2495.1999999999998</v>
      </c>
      <c r="E318" s="1074">
        <v>2495.1999999999998</v>
      </c>
      <c r="F318" s="1072" t="s">
        <v>401</v>
      </c>
      <c r="G318" s="1072" t="s">
        <v>2702</v>
      </c>
      <c r="H318" s="1075"/>
      <c r="I318" s="1076"/>
      <c r="J318" s="1076"/>
      <c r="K318" s="1076"/>
      <c r="L318" s="153" t="str">
        <f t="shared" si="18"/>
        <v>6251</v>
      </c>
      <c r="M318" s="154" t="str">
        <f t="shared" si="19"/>
        <v>DEP. DU TRAITEMENT DES DONNEES</v>
      </c>
      <c r="N318" s="155">
        <f>+IF(OR($Q318=Parametres!$G$2,$Q318=Parametres!$G$3),I318,C318)</f>
        <v>0</v>
      </c>
      <c r="O318" s="155">
        <f>+IF(OR($Q318=Parametres!$G$2,$Q318=Parametres!$G$3),J318,D318)</f>
        <v>2495.1999999999998</v>
      </c>
      <c r="P318" s="155">
        <f>+IF(OR($Q318=Parametres!$G$2,$Q318=Parametres!$G$3),K318,E318)</f>
        <v>2495.1999999999998</v>
      </c>
      <c r="Q318" s="154" t="str">
        <f t="shared" si="23"/>
        <v>7-Dépenses</v>
      </c>
      <c r="R318" s="153" t="str">
        <f t="shared" si="23"/>
        <v>6151</v>
      </c>
      <c r="S318" s="154">
        <f t="shared" si="23"/>
        <v>0</v>
      </c>
      <c r="T318" s="156" t="str">
        <f>+VLOOKUP($L318,Data_Validation!$A:$D,1,0)</f>
        <v>6251</v>
      </c>
      <c r="U318" s="156" t="str">
        <f>+VLOOKUP($L318,Data_Validation!$A:$D,3,0)</f>
        <v>Véhicules usagés</v>
      </c>
      <c r="V318" s="156" t="str">
        <f>+VLOOKUP($L318,Data_Validation!$A:$D,4,0)</f>
        <v>Informatique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72" t="s">
        <v>1206</v>
      </c>
      <c r="B319" s="1072" t="s">
        <v>2602</v>
      </c>
      <c r="C319" s="1074">
        <v>0</v>
      </c>
      <c r="D319" s="1074">
        <v>222</v>
      </c>
      <c r="E319" s="1074">
        <v>222</v>
      </c>
      <c r="F319" s="1072" t="s">
        <v>401</v>
      </c>
      <c r="G319" s="1072" t="s">
        <v>2588</v>
      </c>
      <c r="H319" s="1075"/>
      <c r="I319" s="1076"/>
      <c r="J319" s="1076"/>
      <c r="K319" s="1076"/>
      <c r="L319" s="153" t="str">
        <f t="shared" si="18"/>
        <v>6252</v>
      </c>
      <c r="M319" s="154" t="str">
        <f t="shared" si="19"/>
        <v>PAPETERIE</v>
      </c>
      <c r="N319" s="155">
        <f>+IF(OR($Q319=Parametres!$G$2,$Q319=Parametres!$G$3),I319,C319)</f>
        <v>0</v>
      </c>
      <c r="O319" s="155">
        <f>+IF(OR($Q319=Parametres!$G$2,$Q319=Parametres!$G$3),J319,D319)</f>
        <v>222</v>
      </c>
      <c r="P319" s="155">
        <f>+IF(OR($Q319=Parametres!$G$2,$Q319=Parametres!$G$3),K319,E319)</f>
        <v>222</v>
      </c>
      <c r="Q319" s="154" t="str">
        <f t="shared" si="23"/>
        <v>7-Dépenses</v>
      </c>
      <c r="R319" s="153" t="str">
        <f t="shared" si="23"/>
        <v>6152</v>
      </c>
      <c r="S319" s="154">
        <f t="shared" si="23"/>
        <v>0</v>
      </c>
      <c r="T319" s="156" t="str">
        <f>+VLOOKUP($L319,Data_Validation!$A:$D,1,0)</f>
        <v>6252</v>
      </c>
      <c r="U319" s="156" t="str">
        <f>+VLOOKUP($L319,Data_Validation!$A:$D,3,0)</f>
        <v>Véhicules usagés</v>
      </c>
      <c r="V319" s="156" t="str">
        <f>+VLOOKUP($L319,Data_Validation!$A:$D,4,0)</f>
        <v>Papeterie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72" t="s">
        <v>1154</v>
      </c>
      <c r="B320" s="1072" t="s">
        <v>2595</v>
      </c>
      <c r="C320" s="1074">
        <v>0</v>
      </c>
      <c r="D320" s="1074">
        <v>142.84</v>
      </c>
      <c r="E320" s="1074">
        <v>142.84</v>
      </c>
      <c r="F320" s="1072" t="s">
        <v>401</v>
      </c>
      <c r="G320" s="1072" t="s">
        <v>2592</v>
      </c>
      <c r="H320" s="1075"/>
      <c r="I320" s="1076"/>
      <c r="J320" s="1076"/>
      <c r="K320" s="1076"/>
      <c r="L320" s="153" t="str">
        <f t="shared" si="18"/>
        <v>6253</v>
      </c>
      <c r="M320" s="154" t="str">
        <f t="shared" si="19"/>
        <v>TELEPHONE ET TELEX</v>
      </c>
      <c r="N320" s="155">
        <f>+IF(OR($Q320=Parametres!$G$2,$Q320=Parametres!$G$3),I320,C320)</f>
        <v>0</v>
      </c>
      <c r="O320" s="155">
        <f>+IF(OR($Q320=Parametres!$G$2,$Q320=Parametres!$G$3),J320,D320)</f>
        <v>142.84</v>
      </c>
      <c r="P320" s="155">
        <f>+IF(OR($Q320=Parametres!$G$2,$Q320=Parametres!$G$3),K320,E320)</f>
        <v>142.84</v>
      </c>
      <c r="Q320" s="154" t="str">
        <f t="shared" si="23"/>
        <v>7-Dépenses</v>
      </c>
      <c r="R320" s="153" t="str">
        <f t="shared" si="23"/>
        <v>6153</v>
      </c>
      <c r="S320" s="154">
        <f t="shared" si="23"/>
        <v>0</v>
      </c>
      <c r="T320" s="156" t="str">
        <f>+VLOOKUP($L320,Data_Validation!$A:$D,1,0)</f>
        <v>6253</v>
      </c>
      <c r="U320" s="156" t="str">
        <f>+VLOOKUP($L320,Data_Validation!$A:$D,3,0)</f>
        <v>Véhicules usagés</v>
      </c>
      <c r="V320" s="156" t="str">
        <f>+VLOOKUP($L320,Data_Validation!$A:$D,4,0)</f>
        <v>Téléphone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72" t="s">
        <v>1237</v>
      </c>
      <c r="B321" s="1072" t="s">
        <v>2666</v>
      </c>
      <c r="C321" s="1074">
        <v>0</v>
      </c>
      <c r="D321" s="1074">
        <v>639.48</v>
      </c>
      <c r="E321" s="1074">
        <v>639.48</v>
      </c>
      <c r="F321" s="1072" t="s">
        <v>401</v>
      </c>
      <c r="G321" s="1072" t="s">
        <v>2637</v>
      </c>
      <c r="H321" s="1075"/>
      <c r="I321" s="1076"/>
      <c r="J321" s="1076"/>
      <c r="K321" s="1076"/>
      <c r="L321" s="153" t="str">
        <f t="shared" si="18"/>
        <v>6255</v>
      </c>
      <c r="M321" s="154" t="str">
        <f t="shared" si="19"/>
        <v>DEPENSES DIVERS</v>
      </c>
      <c r="N321" s="155">
        <f>+IF(OR($Q321=Parametres!$G$2,$Q321=Parametres!$G$3),I321,C321)</f>
        <v>0</v>
      </c>
      <c r="O321" s="155">
        <f>+IF(OR($Q321=Parametres!$G$2,$Q321=Parametres!$G$3),J321,D321)</f>
        <v>639.48</v>
      </c>
      <c r="P321" s="155">
        <f>+IF(OR($Q321=Parametres!$G$2,$Q321=Parametres!$G$3),K321,E321)</f>
        <v>639.48</v>
      </c>
      <c r="Q321" s="154" t="str">
        <f t="shared" si="23"/>
        <v>7-Dépenses</v>
      </c>
      <c r="R321" s="153" t="str">
        <f t="shared" si="23"/>
        <v>6155</v>
      </c>
      <c r="S321" s="154">
        <f t="shared" si="23"/>
        <v>0</v>
      </c>
      <c r="T321" s="156" t="str">
        <f>+VLOOKUP($L321,Data_Validation!$A:$D,1,0)</f>
        <v>6255</v>
      </c>
      <c r="U321" s="156" t="str">
        <f>+VLOOKUP($L321,Data_Validation!$A:$D,3,0)</f>
        <v>Véhicules usagés</v>
      </c>
      <c r="V321" s="156" t="str">
        <f>+VLOOKUP($L321,Data_Validation!$A:$D,4,0)</f>
        <v>Divers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72" t="s">
        <v>1247</v>
      </c>
      <c r="B322" s="1072" t="s">
        <v>2676</v>
      </c>
      <c r="C322" s="1074">
        <v>0</v>
      </c>
      <c r="D322" s="1074">
        <v>729.24</v>
      </c>
      <c r="E322" s="1074">
        <v>729.24</v>
      </c>
      <c r="F322" s="1072" t="s">
        <v>401</v>
      </c>
      <c r="G322" s="1072" t="s">
        <v>2470</v>
      </c>
      <c r="H322" s="1075"/>
      <c r="I322" s="1076"/>
      <c r="J322" s="1076"/>
      <c r="K322" s="1076"/>
      <c r="L322" s="153" t="str">
        <f t="shared" si="18"/>
        <v>6256</v>
      </c>
      <c r="M322" s="154" t="str">
        <f t="shared" si="19"/>
        <v>FRAIS REPRESENTATION - USAGE</v>
      </c>
      <c r="N322" s="155">
        <f>+IF(OR($Q322=Parametres!$G$2,$Q322=Parametres!$G$3),I322,C322)</f>
        <v>0</v>
      </c>
      <c r="O322" s="155">
        <f>+IF(OR($Q322=Parametres!$G$2,$Q322=Parametres!$G$3),J322,D322)</f>
        <v>729.24</v>
      </c>
      <c r="P322" s="155">
        <f>+IF(OR($Q322=Parametres!$G$2,$Q322=Parametres!$G$3),K322,E322)</f>
        <v>729.24</v>
      </c>
      <c r="Q322" s="154" t="str">
        <f t="shared" ref="Q322:S337" si="24">+F322</f>
        <v>7-Dépenses</v>
      </c>
      <c r="R322" s="153" t="str">
        <f t="shared" si="24"/>
        <v>6156</v>
      </c>
      <c r="S322" s="154">
        <f t="shared" si="24"/>
        <v>0</v>
      </c>
      <c r="T322" s="156" t="str">
        <f>+VLOOKUP($L322,Data_Validation!$A:$D,1,0)</f>
        <v>6256</v>
      </c>
      <c r="U322" s="156" t="str">
        <f>+VLOOKUP($L322,Data_Validation!$A:$D,3,0)</f>
        <v>Véhicules usagés</v>
      </c>
      <c r="V322" s="156" t="str">
        <f>+VLOOKUP($L322,Data_Validation!$A:$D,4,0)</f>
        <v>Frais de déplacement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72" t="s">
        <v>1308</v>
      </c>
      <c r="B323" s="1072" t="s">
        <v>2698</v>
      </c>
      <c r="C323" s="1074">
        <v>0</v>
      </c>
      <c r="D323" s="1074">
        <v>1694.28</v>
      </c>
      <c r="E323" s="1074">
        <v>1694.28</v>
      </c>
      <c r="F323" s="1072" t="s">
        <v>401</v>
      </c>
      <c r="G323" s="1072" t="s">
        <v>2662</v>
      </c>
      <c r="H323" s="1075"/>
      <c r="I323" s="1076"/>
      <c r="J323" s="1076"/>
      <c r="K323" s="1076"/>
      <c r="L323" s="153" t="str">
        <f t="shared" si="18"/>
        <v>6259</v>
      </c>
      <c r="M323" s="154" t="str">
        <f t="shared" si="19"/>
        <v>SERVICE EXTERIEUR</v>
      </c>
      <c r="N323" s="155">
        <f>+IF(OR($Q323=Parametres!$G$2,$Q323=Parametres!$G$3),I323,C323)</f>
        <v>0</v>
      </c>
      <c r="O323" s="155">
        <f>+IF(OR($Q323=Parametres!$G$2,$Q323=Parametres!$G$3),J323,D323)</f>
        <v>1694.28</v>
      </c>
      <c r="P323" s="155">
        <f>+IF(OR($Q323=Parametres!$G$2,$Q323=Parametres!$G$3),K323,E323)</f>
        <v>1694.28</v>
      </c>
      <c r="Q323" s="154" t="str">
        <f t="shared" si="24"/>
        <v>7-Dépenses</v>
      </c>
      <c r="R323" s="153" t="str">
        <f t="shared" si="24"/>
        <v>6159</v>
      </c>
      <c r="S323" s="154">
        <f t="shared" si="24"/>
        <v>0</v>
      </c>
      <c r="T323" s="156" t="str">
        <f>+VLOOKUP($L323,Data_Validation!$A:$D,1,0)</f>
        <v>6259</v>
      </c>
      <c r="U323" s="156" t="str">
        <f>+VLOOKUP($L323,Data_Validation!$A:$D,3,0)</f>
        <v>Véhicules usagés</v>
      </c>
      <c r="V323" s="156" t="str">
        <f>+VLOOKUP($L323,Data_Validation!$A:$D,4,0)</f>
        <v>Services extérieurs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72" t="s">
        <v>1333</v>
      </c>
      <c r="B324" s="1072" t="s">
        <v>2680</v>
      </c>
      <c r="C324" s="1074">
        <v>0</v>
      </c>
      <c r="D324" s="1074">
        <v>1080</v>
      </c>
      <c r="E324" s="1074">
        <v>1080</v>
      </c>
      <c r="F324" s="1072" t="s">
        <v>401</v>
      </c>
      <c r="G324" s="1072" t="s">
        <v>2653</v>
      </c>
      <c r="H324" s="1075"/>
      <c r="I324" s="1076"/>
      <c r="J324" s="1076"/>
      <c r="K324" s="1076"/>
      <c r="L324" s="153" t="str">
        <f t="shared" si="18"/>
        <v>6261</v>
      </c>
      <c r="M324" s="154" t="str">
        <f t="shared" si="19"/>
        <v>DEPRECIATION EQUIP. &amp; FIXTURES</v>
      </c>
      <c r="N324" s="155">
        <f>+IF(OR($Q324=Parametres!$G$2,$Q324=Parametres!$G$3),I324,C324)</f>
        <v>0</v>
      </c>
      <c r="O324" s="155">
        <f>+IF(OR($Q324=Parametres!$G$2,$Q324=Parametres!$G$3),J324,D324)</f>
        <v>1080</v>
      </c>
      <c r="P324" s="155">
        <f>+IF(OR($Q324=Parametres!$G$2,$Q324=Parametres!$G$3),K324,E324)</f>
        <v>1080</v>
      </c>
      <c r="Q324" s="154" t="str">
        <f t="shared" si="24"/>
        <v>7-Dépenses</v>
      </c>
      <c r="R324" s="153" t="str">
        <f t="shared" si="24"/>
        <v>6161</v>
      </c>
      <c r="S324" s="154">
        <f t="shared" si="24"/>
        <v>0</v>
      </c>
      <c r="T324" s="156" t="str">
        <f>+VLOOKUP($L324,Data_Validation!$A:$D,1,0)</f>
        <v>6261</v>
      </c>
      <c r="U324" s="156" t="str">
        <f>+VLOOKUP($L324,Data_Validation!$A:$D,3,0)</f>
        <v>Véhicules usagés</v>
      </c>
      <c r="V324" s="156" t="str">
        <f>+VLOOKUP($L324,Data_Validation!$A:$D,4,0)</f>
        <v>Amortissement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72" t="s">
        <v>936</v>
      </c>
      <c r="B325" s="1072" t="s">
        <v>2465</v>
      </c>
      <c r="C325" s="1074">
        <v>0</v>
      </c>
      <c r="D325" s="1074">
        <v>48</v>
      </c>
      <c r="E325" s="1074">
        <v>48</v>
      </c>
      <c r="F325" s="1072" t="s">
        <v>401</v>
      </c>
      <c r="G325" s="1072" t="s">
        <v>2463</v>
      </c>
      <c r="H325" s="1075"/>
      <c r="I325" s="1076"/>
      <c r="J325" s="1076"/>
      <c r="K325" s="1076"/>
      <c r="L325" s="153" t="str">
        <f t="shared" si="18"/>
        <v>6262</v>
      </c>
      <c r="M325" s="154" t="str">
        <f t="shared" si="19"/>
        <v>LOCATION D'EQUIPEMENTS</v>
      </c>
      <c r="N325" s="155">
        <f>+IF(OR($Q325=Parametres!$G$2,$Q325=Parametres!$G$3),I325,C325)</f>
        <v>0</v>
      </c>
      <c r="O325" s="155">
        <f>+IF(OR($Q325=Parametres!$G$2,$Q325=Parametres!$G$3),J325,D325)</f>
        <v>48</v>
      </c>
      <c r="P325" s="155">
        <f>+IF(OR($Q325=Parametres!$G$2,$Q325=Parametres!$G$3),K325,E325)</f>
        <v>48</v>
      </c>
      <c r="Q325" s="154" t="str">
        <f t="shared" si="24"/>
        <v>7-Dépenses</v>
      </c>
      <c r="R325" s="153" t="str">
        <f t="shared" si="24"/>
        <v>6162</v>
      </c>
      <c r="S325" s="154">
        <f t="shared" si="24"/>
        <v>0</v>
      </c>
      <c r="T325" s="156" t="str">
        <f>+VLOOKUP($L325,Data_Validation!$A:$D,1,0)</f>
        <v>6262</v>
      </c>
      <c r="U325" s="156" t="str">
        <f>+VLOOKUP($L325,Data_Validation!$A:$D,3,0)</f>
        <v>Véhicules usagés</v>
      </c>
      <c r="V325" s="156" t="str">
        <f>+VLOOKUP($L325,Data_Validation!$A:$D,4,0)</f>
        <v>Location équipement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72" t="s">
        <v>1380</v>
      </c>
      <c r="B326" s="1072" t="s">
        <v>2633</v>
      </c>
      <c r="C326" s="1074">
        <v>0</v>
      </c>
      <c r="D326" s="1074">
        <v>440.4</v>
      </c>
      <c r="E326" s="1074">
        <v>440.4</v>
      </c>
      <c r="F326" s="1072" t="s">
        <v>401</v>
      </c>
      <c r="G326" s="1072" t="s">
        <v>2604</v>
      </c>
      <c r="H326" s="1075"/>
      <c r="I326" s="1076"/>
      <c r="J326" s="1076"/>
      <c r="K326" s="1076"/>
      <c r="L326" s="153" t="str">
        <f t="shared" si="18"/>
        <v>6281</v>
      </c>
      <c r="M326" s="154" t="str">
        <f t="shared" si="19"/>
        <v>CHAUFFAGE,ELECTRICITE,EAU-USAGE</v>
      </c>
      <c r="N326" s="155">
        <f>+IF(OR($Q326=Parametres!$G$2,$Q326=Parametres!$G$3),I326,C326)</f>
        <v>0</v>
      </c>
      <c r="O326" s="155">
        <f>+IF(OR($Q326=Parametres!$G$2,$Q326=Parametres!$G$3),J326,D326)</f>
        <v>440.4</v>
      </c>
      <c r="P326" s="155">
        <f>+IF(OR($Q326=Parametres!$G$2,$Q326=Parametres!$G$3),K326,E326)</f>
        <v>440.4</v>
      </c>
      <c r="Q326" s="154" t="str">
        <f t="shared" si="24"/>
        <v>7-Dépenses</v>
      </c>
      <c r="R326" s="153" t="str">
        <f t="shared" si="24"/>
        <v>6181</v>
      </c>
      <c r="S326" s="154">
        <f t="shared" si="24"/>
        <v>0</v>
      </c>
      <c r="T326" s="156" t="str">
        <f>+VLOOKUP($L326,Data_Validation!$A:$D,1,0)</f>
        <v>6281</v>
      </c>
      <c r="U326" s="156" t="str">
        <f>+VLOOKUP($L326,Data_Validation!$A:$D,3,0)</f>
        <v>Véhicules usagés</v>
      </c>
      <c r="V326" s="156" t="str">
        <f>+VLOOKUP($L326,Data_Validation!$A:$D,4,0)</f>
        <v>Chauffage, éclairage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72" t="s">
        <v>1462</v>
      </c>
      <c r="B327" s="1072" t="s">
        <v>2724</v>
      </c>
      <c r="C327" s="1074">
        <v>0</v>
      </c>
      <c r="D327" s="1074">
        <v>3120.02</v>
      </c>
      <c r="E327" s="1074">
        <v>3120.02</v>
      </c>
      <c r="F327" s="1072" t="s">
        <v>401</v>
      </c>
      <c r="G327" s="1072" t="s">
        <v>2709</v>
      </c>
      <c r="H327" s="1075"/>
      <c r="I327" s="1076"/>
      <c r="J327" s="1076"/>
      <c r="K327" s="1076"/>
      <c r="L327" s="153" t="str">
        <f t="shared" si="18"/>
        <v>6282</v>
      </c>
      <c r="M327" s="154" t="str">
        <f t="shared" si="19"/>
        <v>LOYER - USAGE</v>
      </c>
      <c r="N327" s="155">
        <f>+IF(OR($Q327=Parametres!$G$2,$Q327=Parametres!$G$3),I327,C327)</f>
        <v>0</v>
      </c>
      <c r="O327" s="155">
        <f>+IF(OR($Q327=Parametres!$G$2,$Q327=Parametres!$G$3),J327,D327)</f>
        <v>3120.02</v>
      </c>
      <c r="P327" s="155">
        <f>+IF(OR($Q327=Parametres!$G$2,$Q327=Parametres!$G$3),K327,E327)</f>
        <v>3120.02</v>
      </c>
      <c r="Q327" s="154" t="str">
        <f t="shared" si="24"/>
        <v>7-Dépenses</v>
      </c>
      <c r="R327" s="153" t="str">
        <f t="shared" si="24"/>
        <v>6182</v>
      </c>
      <c r="S327" s="154">
        <f t="shared" si="24"/>
        <v>0</v>
      </c>
      <c r="T327" s="156" t="str">
        <f>+VLOOKUP($L327,Data_Validation!$A:$D,1,0)</f>
        <v>6282</v>
      </c>
      <c r="U327" s="156" t="str">
        <f>+VLOOKUP($L327,Data_Validation!$A:$D,3,0)</f>
        <v>Véhicules usagés</v>
      </c>
      <c r="V327" s="156" t="str">
        <f>+VLOOKUP($L327,Data_Validation!$A:$D,4,0)</f>
        <v>Loyer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72" t="s">
        <v>1290</v>
      </c>
      <c r="B328" s="1072" t="s">
        <v>2615</v>
      </c>
      <c r="C328" s="1074">
        <v>0</v>
      </c>
      <c r="D328" s="1074">
        <v>180</v>
      </c>
      <c r="E328" s="1074">
        <v>180</v>
      </c>
      <c r="F328" s="1072" t="s">
        <v>401</v>
      </c>
      <c r="G328" s="1072" t="s">
        <v>2594</v>
      </c>
      <c r="H328" s="1075"/>
      <c r="I328" s="1076"/>
      <c r="J328" s="1076"/>
      <c r="K328" s="1076"/>
      <c r="L328" s="153" t="str">
        <f t="shared" si="18"/>
        <v>6286</v>
      </c>
      <c r="M328" s="154" t="str">
        <f t="shared" si="19"/>
        <v>ASSURANCE BATISSE &amp; AMEL.-USAGE</v>
      </c>
      <c r="N328" s="155">
        <f>+IF(OR($Q328=Parametres!$G$2,$Q328=Parametres!$G$3),I328,C328)</f>
        <v>0</v>
      </c>
      <c r="O328" s="155">
        <f>+IF(OR($Q328=Parametres!$G$2,$Q328=Parametres!$G$3),J328,D328)</f>
        <v>180</v>
      </c>
      <c r="P328" s="155">
        <f>+IF(OR($Q328=Parametres!$G$2,$Q328=Parametres!$G$3),K328,E328)</f>
        <v>180</v>
      </c>
      <c r="Q328" s="154" t="str">
        <f t="shared" si="24"/>
        <v>7-Dépenses</v>
      </c>
      <c r="R328" s="153" t="str">
        <f t="shared" si="24"/>
        <v>6186</v>
      </c>
      <c r="S328" s="154">
        <f t="shared" si="24"/>
        <v>0</v>
      </c>
      <c r="T328" s="156" t="str">
        <f>+VLOOKUP($L328,Data_Validation!$A:$D,1,0)</f>
        <v>6286</v>
      </c>
      <c r="U328" s="156" t="str">
        <f>+VLOOKUP($L328,Data_Validation!$A:$D,3,0)</f>
        <v>Véhicules usagés</v>
      </c>
      <c r="V328" s="156" t="str">
        <f>+VLOOKUP($L328,Data_Validation!$A:$D,4,0)</f>
        <v>Assurances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72" t="s">
        <v>1203</v>
      </c>
      <c r="B329" s="1072" t="s">
        <v>2651</v>
      </c>
      <c r="C329" s="1074">
        <v>0</v>
      </c>
      <c r="D329" s="1074">
        <v>564</v>
      </c>
      <c r="E329" s="1074">
        <v>564</v>
      </c>
      <c r="F329" s="1072" t="s">
        <v>401</v>
      </c>
      <c r="G329" s="1072" t="s">
        <v>2614</v>
      </c>
      <c r="H329" s="1075"/>
      <c r="I329" s="1076"/>
      <c r="J329" s="1076"/>
      <c r="K329" s="1076"/>
      <c r="L329" s="153" t="str">
        <f t="shared" si="18"/>
        <v>6287</v>
      </c>
      <c r="M329" s="154" t="str">
        <f t="shared" si="19"/>
        <v>TAXES FONCIERES - USAGE</v>
      </c>
      <c r="N329" s="155">
        <f>+IF(OR($Q329=Parametres!$G$2,$Q329=Parametres!$G$3),I329,C329)</f>
        <v>0</v>
      </c>
      <c r="O329" s="155">
        <f>+IF(OR($Q329=Parametres!$G$2,$Q329=Parametres!$G$3),J329,D329)</f>
        <v>564</v>
      </c>
      <c r="P329" s="155">
        <f>+IF(OR($Q329=Parametres!$G$2,$Q329=Parametres!$G$3),K329,E329)</f>
        <v>564</v>
      </c>
      <c r="Q329" s="154" t="str">
        <f t="shared" si="24"/>
        <v>7-Dépenses</v>
      </c>
      <c r="R329" s="153" t="str">
        <f t="shared" si="24"/>
        <v>6187</v>
      </c>
      <c r="S329" s="154">
        <f t="shared" si="24"/>
        <v>0</v>
      </c>
      <c r="T329" s="156" t="str">
        <f>+VLOOKUP($L329,Data_Validation!$A:$D,1,0)</f>
        <v>6287</v>
      </c>
      <c r="U329" s="156" t="str">
        <f>+VLOOKUP($L329,Data_Validation!$A:$D,3,0)</f>
        <v>Véhicules usagés</v>
      </c>
      <c r="V329" s="156" t="str">
        <f>+VLOOKUP($L329,Data_Validation!$A:$D,4,0)</f>
        <v>Taxes foncières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72" t="s">
        <v>1393</v>
      </c>
      <c r="B330" s="1072" t="s">
        <v>2620</v>
      </c>
      <c r="C330" s="1074">
        <v>0</v>
      </c>
      <c r="D330" s="1074">
        <v>378</v>
      </c>
      <c r="E330" s="1074">
        <v>378</v>
      </c>
      <c r="F330" s="1072" t="s">
        <v>401</v>
      </c>
      <c r="G330" s="1072" t="s">
        <v>2597</v>
      </c>
      <c r="H330" s="1075"/>
      <c r="I330" s="1076"/>
      <c r="J330" s="1076"/>
      <c r="K330" s="1076"/>
      <c r="L330" s="153" t="str">
        <f t="shared" si="18"/>
        <v>6293</v>
      </c>
      <c r="M330" s="154" t="str">
        <f t="shared" si="19"/>
        <v>AUTRE TAXES - USAGES</v>
      </c>
      <c r="N330" s="155">
        <f>+IF(OR($Q330=Parametres!$G$2,$Q330=Parametres!$G$3),I330,C330)</f>
        <v>0</v>
      </c>
      <c r="O330" s="155">
        <f>+IF(OR($Q330=Parametres!$G$2,$Q330=Parametres!$G$3),J330,D330)</f>
        <v>378</v>
      </c>
      <c r="P330" s="155">
        <f>+IF(OR($Q330=Parametres!$G$2,$Q330=Parametres!$G$3),K330,E330)</f>
        <v>378</v>
      </c>
      <c r="Q330" s="154" t="str">
        <f t="shared" si="24"/>
        <v>7-Dépenses</v>
      </c>
      <c r="R330" s="153" t="str">
        <f t="shared" si="24"/>
        <v>6193</v>
      </c>
      <c r="S330" s="154">
        <f t="shared" si="24"/>
        <v>0</v>
      </c>
      <c r="T330" s="156" t="str">
        <f>+VLOOKUP($L330,Data_Validation!$A:$D,1,0)</f>
        <v>6293</v>
      </c>
      <c r="U330" s="156" t="str">
        <f>+VLOOKUP($L330,Data_Validation!$A:$D,3,0)</f>
        <v>Véhicules usagés</v>
      </c>
      <c r="V330" s="156" t="str">
        <f>+VLOOKUP($L330,Data_Validation!$A:$D,4,0)</f>
        <v>Taxes d`affaires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72" t="s">
        <v>1318</v>
      </c>
      <c r="B331" s="1072" t="s">
        <v>2664</v>
      </c>
      <c r="C331" s="1074">
        <v>0</v>
      </c>
      <c r="D331" s="1074">
        <v>963</v>
      </c>
      <c r="E331" s="1074">
        <v>963</v>
      </c>
      <c r="F331" s="1072" t="s">
        <v>401</v>
      </c>
      <c r="G331" s="1072" t="s">
        <v>2635</v>
      </c>
      <c r="H331" s="1075"/>
      <c r="I331" s="1076"/>
      <c r="J331" s="1076"/>
      <c r="K331" s="1076"/>
      <c r="L331" s="153" t="str">
        <f t="shared" si="18"/>
        <v>6294</v>
      </c>
      <c r="M331" s="154" t="str">
        <f t="shared" si="19"/>
        <v>FRAIS PROFESSIONNEL-USAGE</v>
      </c>
      <c r="N331" s="155">
        <f>+IF(OR($Q331=Parametres!$G$2,$Q331=Parametres!$G$3),I331,C331)</f>
        <v>0</v>
      </c>
      <c r="O331" s="155">
        <f>+IF(OR($Q331=Parametres!$G$2,$Q331=Parametres!$G$3),J331,D331)</f>
        <v>963</v>
      </c>
      <c r="P331" s="155">
        <f>+IF(OR($Q331=Parametres!$G$2,$Q331=Parametres!$G$3),K331,E331)</f>
        <v>963</v>
      </c>
      <c r="Q331" s="154" t="str">
        <f t="shared" si="24"/>
        <v>7-Dépenses</v>
      </c>
      <c r="R331" s="153" t="str">
        <f t="shared" si="24"/>
        <v>6194</v>
      </c>
      <c r="S331" s="154">
        <f t="shared" si="24"/>
        <v>0</v>
      </c>
      <c r="T331" s="156" t="str">
        <f>+VLOOKUP($L331,Data_Validation!$A:$D,1,0)</f>
        <v>6294</v>
      </c>
      <c r="U331" s="156" t="str">
        <f>+VLOOKUP($L331,Data_Validation!$A:$D,3,0)</f>
        <v>Véhicules usagés</v>
      </c>
      <c r="V331" s="156" t="str">
        <f>+VLOOKUP($L331,Data_Validation!$A:$D,4,0)</f>
        <v>Honoraires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72" t="s">
        <v>1403</v>
      </c>
      <c r="B332" s="1072" t="s">
        <v>2743</v>
      </c>
      <c r="C332" s="1074">
        <v>0</v>
      </c>
      <c r="D332" s="1074">
        <v>1209.05</v>
      </c>
      <c r="E332" s="1074">
        <v>1209.05</v>
      </c>
      <c r="F332" s="1072" t="s">
        <v>401</v>
      </c>
      <c r="G332" s="1072" t="s">
        <v>2467</v>
      </c>
      <c r="H332" s="1075"/>
      <c r="I332" s="1076"/>
      <c r="J332" s="1076"/>
      <c r="K332" s="1076"/>
      <c r="L332" s="153" t="str">
        <f t="shared" si="18"/>
        <v>6403</v>
      </c>
      <c r="M332" s="154" t="str">
        <f t="shared" si="19"/>
        <v>RELAT. A LA CLIENTELE &amp; AJUST</v>
      </c>
      <c r="N332" s="155">
        <f>+IF(OR($Q332=Parametres!$G$2,$Q332=Parametres!$G$3),I332,C332)</f>
        <v>0</v>
      </c>
      <c r="O332" s="155">
        <f>+IF(OR($Q332=Parametres!$G$2,$Q332=Parametres!$G$3),J332,D332)</f>
        <v>1209.05</v>
      </c>
      <c r="P332" s="155">
        <f>+IF(OR($Q332=Parametres!$G$2,$Q332=Parametres!$G$3),K332,E332)</f>
        <v>1209.05</v>
      </c>
      <c r="Q332" s="154" t="str">
        <f t="shared" si="24"/>
        <v>7-Dépenses</v>
      </c>
      <c r="R332" s="153" t="str">
        <f t="shared" si="24"/>
        <v>6112</v>
      </c>
      <c r="S332" s="154">
        <f t="shared" si="24"/>
        <v>0</v>
      </c>
      <c r="T332" s="156" t="str">
        <f>+VLOOKUP($L332,Data_Validation!$A:$D,1,0)</f>
        <v>6403</v>
      </c>
      <c r="U332" s="156" t="str">
        <f>+VLOOKUP($L332,Data_Validation!$A:$D,3,0)</f>
        <v>Service</v>
      </c>
      <c r="V332" s="156" t="str">
        <f>+VLOOKUP($L332,Data_Validation!$A:$D,4,0)</f>
        <v>Service gratuit 2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72" t="s">
        <v>1450</v>
      </c>
      <c r="B333" s="1072" t="s">
        <v>2677</v>
      </c>
      <c r="C333" s="1074">
        <v>0</v>
      </c>
      <c r="D333" s="1074">
        <v>-99.91</v>
      </c>
      <c r="E333" s="1074">
        <v>-99.91</v>
      </c>
      <c r="F333" s="1072" t="s">
        <v>401</v>
      </c>
      <c r="G333" s="1072" t="s">
        <v>2467</v>
      </c>
      <c r="H333" s="1075"/>
      <c r="I333" s="1076"/>
      <c r="J333" s="1076"/>
      <c r="K333" s="1076"/>
      <c r="L333" s="153" t="str">
        <f t="shared" si="18"/>
        <v>6412</v>
      </c>
      <c r="M333" s="154" t="str">
        <f t="shared" si="19"/>
        <v>AUTORISATION &amp; GAR./VEH. USA</v>
      </c>
      <c r="N333" s="155">
        <f>+IF(OR($Q333=Parametres!$G$2,$Q333=Parametres!$G$3),I333,C333)</f>
        <v>0</v>
      </c>
      <c r="O333" s="155">
        <f>+IF(OR($Q333=Parametres!$G$2,$Q333=Parametres!$G$3),J333,D333)</f>
        <v>-99.91</v>
      </c>
      <c r="P333" s="155">
        <f>+IF(OR($Q333=Parametres!$G$2,$Q333=Parametres!$G$3),K333,E333)</f>
        <v>-99.91</v>
      </c>
      <c r="Q333" s="154" t="str">
        <f t="shared" si="24"/>
        <v>7-Dépenses</v>
      </c>
      <c r="R333" s="153" t="str">
        <f t="shared" si="24"/>
        <v>6112</v>
      </c>
      <c r="S333" s="154">
        <f t="shared" si="24"/>
        <v>0</v>
      </c>
      <c r="T333" s="156" t="str">
        <f>+VLOOKUP($L333,Data_Validation!$A:$D,1,0)</f>
        <v>6412</v>
      </c>
      <c r="U333" s="156" t="str">
        <f>+VLOOKUP($L333,Data_Validation!$A:$D,3,0)</f>
        <v>Service</v>
      </c>
      <c r="V333" s="156" t="str">
        <f>+VLOOKUP($L333,Data_Validation!$A:$D,4,0)</f>
        <v>Service gratuit 2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72" t="s">
        <v>1374</v>
      </c>
      <c r="B334" s="1072" t="s">
        <v>2714</v>
      </c>
      <c r="C334" s="1074">
        <v>0</v>
      </c>
      <c r="D334" s="1074">
        <v>11306.3</v>
      </c>
      <c r="E334" s="1074">
        <v>11306.3</v>
      </c>
      <c r="F334" s="1072" t="s">
        <v>401</v>
      </c>
      <c r="G334" s="1072" t="s">
        <v>2113</v>
      </c>
      <c r="H334" s="1075"/>
      <c r="I334" s="1076"/>
      <c r="J334" s="1076"/>
      <c r="K334" s="1076"/>
      <c r="L334" s="153" t="str">
        <f t="shared" si="18"/>
        <v>6414</v>
      </c>
      <c r="M334" s="154" t="str">
        <f t="shared" si="19"/>
        <v>PUBLICITE</v>
      </c>
      <c r="N334" s="155">
        <f>+IF(OR($Q334=Parametres!$G$2,$Q334=Parametres!$G$3),I334,C334)</f>
        <v>0</v>
      </c>
      <c r="O334" s="155">
        <f>+IF(OR($Q334=Parametres!$G$2,$Q334=Parametres!$G$3),J334,D334)</f>
        <v>11306.3</v>
      </c>
      <c r="P334" s="155">
        <f>+IF(OR($Q334=Parametres!$G$2,$Q334=Parametres!$G$3),K334,E334)</f>
        <v>11306.3</v>
      </c>
      <c r="Q334" s="154" t="str">
        <f t="shared" si="24"/>
        <v>7-Dépenses</v>
      </c>
      <c r="R334" s="153" t="str">
        <f t="shared" si="24"/>
        <v>6114</v>
      </c>
      <c r="S334" s="154">
        <f t="shared" si="24"/>
        <v>0</v>
      </c>
      <c r="T334" s="156" t="str">
        <f>+VLOOKUP($L334,Data_Validation!$A:$D,1,0)</f>
        <v>6414</v>
      </c>
      <c r="U334" s="156" t="str">
        <f>+VLOOKUP($L334,Data_Validation!$A:$D,3,0)</f>
        <v>Service</v>
      </c>
      <c r="V334" s="156" t="str">
        <f>+VLOOKUP($L334,Data_Validation!$A:$D,4,0)</f>
        <v>Publicité 2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72" t="s">
        <v>1259</v>
      </c>
      <c r="B335" s="1072" t="s">
        <v>2711</v>
      </c>
      <c r="C335" s="1074">
        <v>0</v>
      </c>
      <c r="D335" s="1074">
        <v>714.99</v>
      </c>
      <c r="E335" s="1074">
        <v>714.99</v>
      </c>
      <c r="F335" s="1072" t="s">
        <v>401</v>
      </c>
      <c r="G335" s="1072" t="s">
        <v>2648</v>
      </c>
      <c r="H335" s="1075"/>
      <c r="I335" s="1076"/>
      <c r="J335" s="1076"/>
      <c r="K335" s="1076"/>
      <c r="L335" s="153" t="str">
        <f t="shared" si="18"/>
        <v>6421</v>
      </c>
      <c r="M335" s="154" t="str">
        <f t="shared" si="19"/>
        <v>SALAIRES - PROPRIETAIRES</v>
      </c>
      <c r="N335" s="155">
        <f>+IF(OR($Q335=Parametres!$G$2,$Q335=Parametres!$G$3),I335,C335)</f>
        <v>0</v>
      </c>
      <c r="O335" s="155">
        <f>+IF(OR($Q335=Parametres!$G$2,$Q335=Parametres!$G$3),J335,D335)</f>
        <v>714.99</v>
      </c>
      <c r="P335" s="155">
        <f>+IF(OR($Q335=Parametres!$G$2,$Q335=Parametres!$G$3),K335,E335)</f>
        <v>714.99</v>
      </c>
      <c r="Q335" s="154" t="str">
        <f t="shared" si="24"/>
        <v>7-Dépenses</v>
      </c>
      <c r="R335" s="153" t="str">
        <f t="shared" si="24"/>
        <v>6121</v>
      </c>
      <c r="S335" s="154">
        <f t="shared" si="24"/>
        <v>0</v>
      </c>
      <c r="T335" s="156" t="str">
        <f>+VLOOKUP($L335,Data_Validation!$A:$D,1,0)</f>
        <v>6421</v>
      </c>
      <c r="U335" s="156" t="str">
        <f>+VLOOKUP($L335,Data_Validation!$A:$D,3,0)</f>
        <v>Service</v>
      </c>
      <c r="V335" s="156" t="str">
        <f>+VLOOKUP($L335,Data_Validation!$A:$D,4,0)</f>
        <v>Salaires propriétaire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72" t="s">
        <v>2624</v>
      </c>
      <c r="B336" s="1072" t="s">
        <v>2771</v>
      </c>
      <c r="C336" s="1074">
        <v>0</v>
      </c>
      <c r="D336" s="1074">
        <v>14495.87</v>
      </c>
      <c r="E336" s="1074">
        <v>14495.87</v>
      </c>
      <c r="F336" s="1072" t="s">
        <v>401</v>
      </c>
      <c r="G336" s="1072" t="s">
        <v>2626</v>
      </c>
      <c r="H336" s="1075"/>
      <c r="I336" s="1076"/>
      <c r="J336" s="1076"/>
      <c r="K336" s="1076"/>
      <c r="L336" s="153" t="str">
        <f t="shared" si="18"/>
        <v>6422</v>
      </c>
      <c r="M336" s="154" t="str">
        <f t="shared" si="19"/>
        <v>SAL SUPERVISION / GERANT</v>
      </c>
      <c r="N336" s="155">
        <f>+IF(OR($Q336=Parametres!$G$2,$Q336=Parametres!$G$3),I336,C336)</f>
        <v>0</v>
      </c>
      <c r="O336" s="155">
        <f>+IF(OR($Q336=Parametres!$G$2,$Q336=Parametres!$G$3),J336,D336)</f>
        <v>14495.87</v>
      </c>
      <c r="P336" s="155">
        <f>+IF(OR($Q336=Parametres!$G$2,$Q336=Parametres!$G$3),K336,E336)</f>
        <v>14495.87</v>
      </c>
      <c r="Q336" s="154" t="str">
        <f t="shared" si="24"/>
        <v>7-Dépenses</v>
      </c>
      <c r="R336" s="153" t="str">
        <f t="shared" si="24"/>
        <v>6122</v>
      </c>
      <c r="S336" s="154">
        <f t="shared" si="24"/>
        <v>0</v>
      </c>
      <c r="T336" s="156" t="str">
        <f>+VLOOKUP($L336,Data_Validation!$A:$D,1,0)</f>
        <v>6422</v>
      </c>
      <c r="U336" s="156" t="str">
        <f>+VLOOKUP($L336,Data_Validation!$A:$D,3,0)</f>
        <v>Service</v>
      </c>
      <c r="V336" s="156" t="str">
        <f>+VLOOKUP($L336,Data_Validation!$A:$D,4,0)</f>
        <v>Salaires cadres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72" t="s">
        <v>1266</v>
      </c>
      <c r="B337" s="1072" t="s">
        <v>2766</v>
      </c>
      <c r="C337" s="1074">
        <v>0</v>
      </c>
      <c r="D337" s="1074">
        <v>7646.95</v>
      </c>
      <c r="E337" s="1074">
        <v>7646.95</v>
      </c>
      <c r="F337" s="1072" t="s">
        <v>401</v>
      </c>
      <c r="G337" s="1072" t="s">
        <v>2679</v>
      </c>
      <c r="H337" s="1075"/>
      <c r="I337" s="1077"/>
      <c r="J337" s="1077"/>
      <c r="K337" s="1077"/>
      <c r="L337" s="153" t="str">
        <f t="shared" si="18"/>
        <v>6423</v>
      </c>
      <c r="M337" s="154" t="str">
        <f t="shared" si="19"/>
        <v>SAL. &amp; RENUM. CLERICAL</v>
      </c>
      <c r="N337" s="155">
        <f>+IF(OR($Q337=Parametres!$G$2,$Q337=Parametres!$G$3),I337,C337)</f>
        <v>0</v>
      </c>
      <c r="O337" s="155">
        <f>+IF(OR($Q337=Parametres!$G$2,$Q337=Parametres!$G$3),J337,D337)</f>
        <v>7646.95</v>
      </c>
      <c r="P337" s="155">
        <f>+IF(OR($Q337=Parametres!$G$2,$Q337=Parametres!$G$3),K337,E337)</f>
        <v>7646.95</v>
      </c>
      <c r="Q337" s="154" t="str">
        <f t="shared" si="24"/>
        <v>7-Dépenses</v>
      </c>
      <c r="R337" s="153" t="str">
        <f t="shared" si="24"/>
        <v>6123</v>
      </c>
      <c r="S337" s="154">
        <f t="shared" si="24"/>
        <v>0</v>
      </c>
      <c r="T337" s="156" t="str">
        <f>+VLOOKUP($L337,Data_Validation!$A:$D,1,0)</f>
        <v>6423</v>
      </c>
      <c r="U337" s="156" t="str">
        <f>+VLOOKUP($L337,Data_Validation!$A:$D,3,0)</f>
        <v>Service</v>
      </c>
      <c r="V337" s="156" t="str">
        <f>+VLOOKUP($L337,Data_Validation!$A:$D,4,0)</f>
        <v>Salaires commis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72" t="s">
        <v>1249</v>
      </c>
      <c r="B338" s="1072" t="s">
        <v>2805</v>
      </c>
      <c r="C338" s="1074">
        <v>0</v>
      </c>
      <c r="D338" s="1074">
        <v>11116.14</v>
      </c>
      <c r="E338" s="1074">
        <v>11116.14</v>
      </c>
      <c r="F338" s="1072" t="s">
        <v>401</v>
      </c>
      <c r="G338" s="1072" t="s">
        <v>2735</v>
      </c>
      <c r="H338" s="1075"/>
      <c r="I338" s="1077"/>
      <c r="J338" s="1077"/>
      <c r="K338" s="1077"/>
      <c r="L338" s="153" t="str">
        <f t="shared" si="18"/>
        <v>6424</v>
      </c>
      <c r="M338" s="154" t="str">
        <f t="shared" si="19"/>
        <v>SALAIRES &amp; RENUM. - AUTRES</v>
      </c>
      <c r="N338" s="155">
        <f>+IF(OR($Q338=Parametres!$G$2,$Q338=Parametres!$G$3),I338,C338)</f>
        <v>0</v>
      </c>
      <c r="O338" s="155">
        <f>+IF(OR($Q338=Parametres!$G$2,$Q338=Parametres!$G$3),J338,D338)</f>
        <v>11116.14</v>
      </c>
      <c r="P338" s="155">
        <f>+IF(OR($Q338=Parametres!$G$2,$Q338=Parametres!$G$3),K338,E338)</f>
        <v>11116.14</v>
      </c>
      <c r="Q338" s="154" t="str">
        <f t="shared" ref="Q338:S353" si="25">+F338</f>
        <v>7-Dépenses</v>
      </c>
      <c r="R338" s="153" t="str">
        <f t="shared" si="25"/>
        <v>6124</v>
      </c>
      <c r="S338" s="154">
        <f t="shared" si="25"/>
        <v>0</v>
      </c>
      <c r="T338" s="156" t="str">
        <f>+VLOOKUP($L338,Data_Validation!$A:$D,1,0)</f>
        <v>6424</v>
      </c>
      <c r="U338" s="156" t="str">
        <f>+VLOOKUP($L338,Data_Validation!$A:$D,3,0)</f>
        <v>Service</v>
      </c>
      <c r="V338" s="156" t="str">
        <f>+VLOOKUP($L338,Data_Validation!$A:$D,4,0)</f>
        <v>Salaires autres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72" t="s">
        <v>1330</v>
      </c>
      <c r="B339" s="1072" t="s">
        <v>2810</v>
      </c>
      <c r="C339" s="1074">
        <v>0</v>
      </c>
      <c r="D339" s="1074">
        <v>20897.27</v>
      </c>
      <c r="E339" s="1074">
        <v>20897.27</v>
      </c>
      <c r="F339" s="1072" t="s">
        <v>401</v>
      </c>
      <c r="G339" s="1072" t="s">
        <v>2721</v>
      </c>
      <c r="H339" s="1075"/>
      <c r="I339" s="1077"/>
      <c r="J339" s="1077"/>
      <c r="K339" s="1077"/>
      <c r="L339" s="153" t="str">
        <f t="shared" si="18"/>
        <v>6425</v>
      </c>
      <c r="M339" s="154" t="str">
        <f t="shared" si="19"/>
        <v>SALAIRE SPECIALISTES</v>
      </c>
      <c r="N339" s="155">
        <f>+IF(OR($Q339=Parametres!$G$2,$Q339=Parametres!$G$3),I339,C339)</f>
        <v>0</v>
      </c>
      <c r="O339" s="155">
        <f>+IF(OR($Q339=Parametres!$G$2,$Q339=Parametres!$G$3),J339,D339)</f>
        <v>20897.27</v>
      </c>
      <c r="P339" s="155">
        <f>+IF(OR($Q339=Parametres!$G$2,$Q339=Parametres!$G$3),K339,E339)</f>
        <v>20897.27</v>
      </c>
      <c r="Q339" s="154" t="str">
        <f t="shared" si="25"/>
        <v>7-Dépenses</v>
      </c>
      <c r="R339" s="153" t="str">
        <f t="shared" si="25"/>
        <v>6125</v>
      </c>
      <c r="S339" s="154">
        <f t="shared" si="25"/>
        <v>0</v>
      </c>
      <c r="T339" s="156" t="str">
        <f>+VLOOKUP($L339,Data_Validation!$A:$D,1,0)</f>
        <v>6425</v>
      </c>
      <c r="U339" s="156" t="str">
        <f>+VLOOKUP($L339,Data_Validation!$A:$D,3,0)</f>
        <v>Service</v>
      </c>
      <c r="V339" s="156" t="str">
        <f>+VLOOKUP($L339,Data_Validation!$A:$D,4,0)</f>
        <v>Salaires spécialistes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72" t="s">
        <v>1448</v>
      </c>
      <c r="B340" s="1072" t="s">
        <v>2793</v>
      </c>
      <c r="C340" s="1074">
        <v>0</v>
      </c>
      <c r="D340" s="1074">
        <v>12514.58</v>
      </c>
      <c r="E340" s="1074">
        <v>12514.58</v>
      </c>
      <c r="F340" s="1072" t="s">
        <v>401</v>
      </c>
      <c r="G340" s="1072" t="s">
        <v>2641</v>
      </c>
      <c r="H340" s="1075"/>
      <c r="I340" s="1077"/>
      <c r="J340" s="1077"/>
      <c r="K340" s="1077"/>
      <c r="L340" s="153" t="str">
        <f t="shared" si="18"/>
        <v>6429</v>
      </c>
      <c r="M340" s="154" t="str">
        <f t="shared" si="19"/>
        <v>SAL.,VACANCE, &amp; SAL. JOURS FER</v>
      </c>
      <c r="N340" s="155">
        <f>+IF(OR($Q340=Parametres!$G$2,$Q340=Parametres!$G$3),I340,C340)</f>
        <v>0</v>
      </c>
      <c r="O340" s="155">
        <f>+IF(OR($Q340=Parametres!$G$2,$Q340=Parametres!$G$3),J340,D340)</f>
        <v>12514.58</v>
      </c>
      <c r="P340" s="155">
        <f>+IF(OR($Q340=Parametres!$G$2,$Q340=Parametres!$G$3),K340,E340)</f>
        <v>12514.58</v>
      </c>
      <c r="Q340" s="154" t="str">
        <f t="shared" si="25"/>
        <v>7-Dépenses</v>
      </c>
      <c r="R340" s="153" t="str">
        <f t="shared" si="25"/>
        <v>6129</v>
      </c>
      <c r="S340" s="154">
        <f t="shared" si="25"/>
        <v>0</v>
      </c>
      <c r="T340" s="156" t="str">
        <f>+VLOOKUP($L340,Data_Validation!$A:$D,1,0)</f>
        <v>6429</v>
      </c>
      <c r="U340" s="156" t="str">
        <f>+VLOOKUP($L340,Data_Validation!$A:$D,3,0)</f>
        <v>Service</v>
      </c>
      <c r="V340" s="156" t="str">
        <f>+VLOOKUP($L340,Data_Validation!$A:$D,4,0)</f>
        <v>Salaires en absences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72" t="s">
        <v>1252</v>
      </c>
      <c r="B341" s="1072" t="s">
        <v>2732</v>
      </c>
      <c r="C341" s="1074">
        <v>0</v>
      </c>
      <c r="D341" s="1074">
        <v>2836.55</v>
      </c>
      <c r="E341" s="1074">
        <v>2836.55</v>
      </c>
      <c r="F341" s="1072" t="s">
        <v>401</v>
      </c>
      <c r="G341" s="1072" t="s">
        <v>2586</v>
      </c>
      <c r="H341" s="1075"/>
      <c r="I341" s="1078"/>
      <c r="J341" s="1078"/>
      <c r="K341" s="1078"/>
      <c r="L341" s="153" t="str">
        <f t="shared" si="18"/>
        <v>6431</v>
      </c>
      <c r="M341" s="154" t="str">
        <f t="shared" si="19"/>
        <v>CSST</v>
      </c>
      <c r="N341" s="155">
        <f>+IF(OR($Q341=Parametres!$G$2,$Q341=Parametres!$G$3),I341,C341)</f>
        <v>0</v>
      </c>
      <c r="O341" s="155">
        <f>+IF(OR($Q341=Parametres!$G$2,$Q341=Parametres!$G$3),J341,D341)</f>
        <v>2836.55</v>
      </c>
      <c r="P341" s="155">
        <f>+IF(OR($Q341=Parametres!$G$2,$Q341=Parametres!$G$3),K341,E341)</f>
        <v>2836.55</v>
      </c>
      <c r="Q341" s="154" t="str">
        <f t="shared" si="25"/>
        <v>7-Dépenses</v>
      </c>
      <c r="R341" s="153" t="str">
        <f t="shared" si="25"/>
        <v>6131</v>
      </c>
      <c r="S341" s="154">
        <f t="shared" si="25"/>
        <v>0</v>
      </c>
      <c r="T341" s="156" t="str">
        <f>+VLOOKUP($L341,Data_Validation!$A:$D,1,0)</f>
        <v>6431</v>
      </c>
      <c r="U341" s="156" t="str">
        <f>+VLOOKUP($L341,Data_Validation!$A:$D,3,0)</f>
        <v>Service</v>
      </c>
      <c r="V341" s="156" t="str">
        <f>+VLOOKUP($L341,Data_Validation!$A:$D,4,0)</f>
        <v>Csst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72" t="s">
        <v>1283</v>
      </c>
      <c r="B342" s="1072" t="s">
        <v>2779</v>
      </c>
      <c r="C342" s="1074">
        <v>0</v>
      </c>
      <c r="D342" s="1074">
        <v>10453.51</v>
      </c>
      <c r="E342" s="1074">
        <v>10453.51</v>
      </c>
      <c r="F342" s="1072" t="s">
        <v>401</v>
      </c>
      <c r="G342" s="1072" t="s">
        <v>2685</v>
      </c>
      <c r="H342" s="1075"/>
      <c r="I342" s="1078"/>
      <c r="J342" s="1078"/>
      <c r="K342" s="1078"/>
      <c r="L342" s="153" t="str">
        <f t="shared" si="18"/>
        <v>6432</v>
      </c>
      <c r="M342" s="154" t="str">
        <f t="shared" si="19"/>
        <v>RRQ RAMQ AC</v>
      </c>
      <c r="N342" s="155">
        <f>+IF(OR($Q342=Parametres!$G$2,$Q342=Parametres!$G$3),I342,C342)</f>
        <v>0</v>
      </c>
      <c r="O342" s="155">
        <f>+IF(OR($Q342=Parametres!$G$2,$Q342=Parametres!$G$3),J342,D342)</f>
        <v>10453.51</v>
      </c>
      <c r="P342" s="155">
        <f>+IF(OR($Q342=Parametres!$G$2,$Q342=Parametres!$G$3),K342,E342)</f>
        <v>10453.51</v>
      </c>
      <c r="Q342" s="154" t="str">
        <f t="shared" si="25"/>
        <v>7-Dépenses</v>
      </c>
      <c r="R342" s="153" t="str">
        <f t="shared" si="25"/>
        <v>6132</v>
      </c>
      <c r="S342" s="154">
        <f t="shared" si="25"/>
        <v>0</v>
      </c>
      <c r="T342" s="156" t="str">
        <f>+VLOOKUP($L342,Data_Validation!$A:$D,1,0)</f>
        <v>6432</v>
      </c>
      <c r="U342" s="156" t="str">
        <f>+VLOOKUP($L342,Data_Validation!$A:$D,3,0)</f>
        <v>Service</v>
      </c>
      <c r="V342" s="156" t="str">
        <f>+VLOOKUP($L342,Data_Validation!$A:$D,4,0)</f>
        <v>Déduction à la source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72" t="s">
        <v>1305</v>
      </c>
      <c r="B343" s="1072" t="s">
        <v>2742</v>
      </c>
      <c r="C343" s="1074">
        <v>0</v>
      </c>
      <c r="D343" s="1074">
        <v>7642.54</v>
      </c>
      <c r="E343" s="1074">
        <v>7642.54</v>
      </c>
      <c r="F343" s="1072" t="s">
        <v>401</v>
      </c>
      <c r="G343" s="1072" t="s">
        <v>2694</v>
      </c>
      <c r="H343" s="1075"/>
      <c r="I343" s="1078"/>
      <c r="J343" s="1078"/>
      <c r="K343" s="1078"/>
      <c r="L343" s="153" t="str">
        <f t="shared" si="18"/>
        <v>6439</v>
      </c>
      <c r="M343" s="154" t="str">
        <f t="shared" si="19"/>
        <v>ASSURANCE GROUPE</v>
      </c>
      <c r="N343" s="155">
        <f>+IF(OR($Q343=Parametres!$G$2,$Q343=Parametres!$G$3),I343,C343)</f>
        <v>0</v>
      </c>
      <c r="O343" s="155">
        <f>+IF(OR($Q343=Parametres!$G$2,$Q343=Parametres!$G$3),J343,D343)</f>
        <v>7642.54</v>
      </c>
      <c r="P343" s="155">
        <f>+IF(OR($Q343=Parametres!$G$2,$Q343=Parametres!$G$3),K343,E343)</f>
        <v>7642.54</v>
      </c>
      <c r="Q343" s="154" t="str">
        <f t="shared" si="25"/>
        <v>7-Dépenses</v>
      </c>
      <c r="R343" s="153" t="str">
        <f t="shared" si="25"/>
        <v>6139</v>
      </c>
      <c r="S343" s="154">
        <f t="shared" si="25"/>
        <v>0</v>
      </c>
      <c r="T343" s="156" t="str">
        <f>+VLOOKUP($L343,Data_Validation!$A:$D,1,0)</f>
        <v>6439</v>
      </c>
      <c r="U343" s="156" t="str">
        <f>+VLOOKUP($L343,Data_Validation!$A:$D,3,0)</f>
        <v>Service</v>
      </c>
      <c r="V343" s="156" t="str">
        <f>+VLOOKUP($L343,Data_Validation!$A:$D,4,0)</f>
        <v>Bénéfices marginaux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72" t="s">
        <v>1157</v>
      </c>
      <c r="B344" s="1072" t="s">
        <v>2655</v>
      </c>
      <c r="C344" s="1074">
        <v>0</v>
      </c>
      <c r="D344" s="1074">
        <v>420</v>
      </c>
      <c r="E344" s="1074">
        <v>420</v>
      </c>
      <c r="F344" s="1072" t="s">
        <v>401</v>
      </c>
      <c r="G344" s="1072" t="s">
        <v>2563</v>
      </c>
      <c r="H344" s="1075"/>
      <c r="I344" s="1078"/>
      <c r="J344" s="1078"/>
      <c r="K344" s="1078"/>
      <c r="L344" s="153" t="str">
        <f t="shared" si="18"/>
        <v>6442</v>
      </c>
      <c r="M344" s="154" t="str">
        <f t="shared" si="19"/>
        <v>FOURNITURES &amp; PETITS OUTILS</v>
      </c>
      <c r="N344" s="155">
        <f>+IF(OR($Q344=Parametres!$G$2,$Q344=Parametres!$G$3),I344,C344)</f>
        <v>0</v>
      </c>
      <c r="O344" s="155">
        <f>+IF(OR($Q344=Parametres!$G$2,$Q344=Parametres!$G$3),J344,D344)</f>
        <v>420</v>
      </c>
      <c r="P344" s="155">
        <f>+IF(OR($Q344=Parametres!$G$2,$Q344=Parametres!$G$3),K344,E344)</f>
        <v>420</v>
      </c>
      <c r="Q344" s="154" t="str">
        <f t="shared" si="25"/>
        <v>7-Dépenses</v>
      </c>
      <c r="R344" s="153" t="str">
        <f t="shared" si="25"/>
        <v>6142</v>
      </c>
      <c r="S344" s="154">
        <f t="shared" si="25"/>
        <v>0</v>
      </c>
      <c r="T344" s="156" t="str">
        <f>+VLOOKUP($L344,Data_Validation!$A:$D,1,0)</f>
        <v>6442</v>
      </c>
      <c r="U344" s="156" t="str">
        <f>+VLOOKUP($L344,Data_Validation!$A:$D,3,0)</f>
        <v>Service</v>
      </c>
      <c r="V344" s="156" t="str">
        <f>+VLOOKUP($L344,Data_Validation!$A:$D,4,0)</f>
        <v>Fournitures autres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72" t="s">
        <v>932</v>
      </c>
      <c r="B345" s="1072" t="s">
        <v>2158</v>
      </c>
      <c r="C345" s="1074">
        <v>0</v>
      </c>
      <c r="D345" s="1074">
        <v>1300</v>
      </c>
      <c r="E345" s="1074">
        <v>1300</v>
      </c>
      <c r="F345" s="1072" t="s">
        <v>401</v>
      </c>
      <c r="G345" s="1072" t="s">
        <v>2159</v>
      </c>
      <c r="H345" s="1075"/>
      <c r="I345" s="1078"/>
      <c r="J345" s="1078"/>
      <c r="K345" s="1078"/>
      <c r="L345" s="153" t="str">
        <f t="shared" si="18"/>
        <v>6443</v>
      </c>
      <c r="M345" s="154" t="str">
        <f t="shared" si="19"/>
        <v>UNIFORMES &amp; LESSIVE</v>
      </c>
      <c r="N345" s="155">
        <f>+IF(OR($Q345=Parametres!$G$2,$Q345=Parametres!$G$3),I345,C345)</f>
        <v>0</v>
      </c>
      <c r="O345" s="155">
        <f>+IF(OR($Q345=Parametres!$G$2,$Q345=Parametres!$G$3),J345,D345)</f>
        <v>1300</v>
      </c>
      <c r="P345" s="155">
        <f>+IF(OR($Q345=Parametres!$G$2,$Q345=Parametres!$G$3),K345,E345)</f>
        <v>1300</v>
      </c>
      <c r="Q345" s="154" t="str">
        <f t="shared" si="25"/>
        <v>7-Dépenses</v>
      </c>
      <c r="R345" s="153" t="str">
        <f t="shared" si="25"/>
        <v>6143</v>
      </c>
      <c r="S345" s="154">
        <f t="shared" si="25"/>
        <v>0</v>
      </c>
      <c r="T345" s="156" t="str">
        <f>+VLOOKUP($L345,Data_Validation!$A:$D,1,0)</f>
        <v>6443</v>
      </c>
      <c r="U345" s="156" t="str">
        <f>+VLOOKUP($L345,Data_Validation!$A:$D,3,0)</f>
        <v>Service</v>
      </c>
      <c r="V345" s="156" t="str">
        <f>+VLOOKUP($L345,Data_Validation!$A:$D,4,0)</f>
        <v>Uniformes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72" t="s">
        <v>934</v>
      </c>
      <c r="B346" s="1072" t="s">
        <v>2572</v>
      </c>
      <c r="C346" s="1074">
        <v>0</v>
      </c>
      <c r="D346" s="1074">
        <v>2786.67</v>
      </c>
      <c r="E346" s="1074">
        <v>2786.67</v>
      </c>
      <c r="F346" s="1072" t="s">
        <v>401</v>
      </c>
      <c r="G346" s="1072" t="s">
        <v>2561</v>
      </c>
      <c r="H346" s="1075"/>
      <c r="I346" s="1078"/>
      <c r="J346" s="1078"/>
      <c r="K346" s="1078"/>
      <c r="L346" s="153" t="str">
        <f t="shared" si="18"/>
        <v>6444</v>
      </c>
      <c r="M346" s="154" t="str">
        <f t="shared" si="19"/>
        <v>FORMATION</v>
      </c>
      <c r="N346" s="155">
        <f>+IF(OR($Q346=Parametres!$G$2,$Q346=Parametres!$G$3),I346,C346)</f>
        <v>0</v>
      </c>
      <c r="O346" s="155">
        <f>+IF(OR($Q346=Parametres!$G$2,$Q346=Parametres!$G$3),J346,D346)</f>
        <v>2786.67</v>
      </c>
      <c r="P346" s="155">
        <f>+IF(OR($Q346=Parametres!$G$2,$Q346=Parametres!$G$3),K346,E346)</f>
        <v>2786.67</v>
      </c>
      <c r="Q346" s="154" t="str">
        <f t="shared" si="25"/>
        <v>7-Dépenses</v>
      </c>
      <c r="R346" s="153" t="str">
        <f t="shared" si="25"/>
        <v>6144</v>
      </c>
      <c r="S346" s="154">
        <f t="shared" si="25"/>
        <v>0</v>
      </c>
      <c r="T346" s="156" t="str">
        <f>+VLOOKUP($L346,Data_Validation!$A:$D,1,0)</f>
        <v>6444</v>
      </c>
      <c r="U346" s="156" t="str">
        <f>+VLOOKUP($L346,Data_Validation!$A:$D,3,0)</f>
        <v>Service</v>
      </c>
      <c r="V346" s="156" t="str">
        <f>+VLOOKUP($L346,Data_Validation!$A:$D,4,0)</f>
        <v>Formation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72" t="s">
        <v>1527</v>
      </c>
      <c r="B347" s="1072" t="s">
        <v>2801</v>
      </c>
      <c r="C347" s="1074">
        <v>0</v>
      </c>
      <c r="D347" s="1074">
        <v>11357.03</v>
      </c>
      <c r="E347" s="1074">
        <v>11357.03</v>
      </c>
      <c r="F347" s="1072" t="s">
        <v>401</v>
      </c>
      <c r="G347" s="1072" t="s">
        <v>2632</v>
      </c>
      <c r="H347" s="1075"/>
      <c r="I347" s="1078"/>
      <c r="J347" s="1078"/>
      <c r="K347" s="1078"/>
      <c r="L347" s="153" t="str">
        <f t="shared" si="18"/>
        <v>6445</v>
      </c>
      <c r="M347" s="154" t="str">
        <f t="shared" si="19"/>
        <v>LOCATION COURTOISIE</v>
      </c>
      <c r="N347" s="155">
        <f>+IF(OR($Q347=Parametres!$G$2,$Q347=Parametres!$G$3),I347,C347)</f>
        <v>0</v>
      </c>
      <c r="O347" s="155">
        <f>+IF(OR($Q347=Parametres!$G$2,$Q347=Parametres!$G$3),J347,D347)</f>
        <v>11357.03</v>
      </c>
      <c r="P347" s="155">
        <f>+IF(OR($Q347=Parametres!$G$2,$Q347=Parametres!$G$3),K347,E347)</f>
        <v>11357.03</v>
      </c>
      <c r="Q347" s="154" t="str">
        <f t="shared" si="25"/>
        <v>7-Dépenses</v>
      </c>
      <c r="R347" s="153" t="str">
        <f t="shared" si="25"/>
        <v>6145</v>
      </c>
      <c r="S347" s="154">
        <f t="shared" si="25"/>
        <v>0</v>
      </c>
      <c r="T347" s="156" t="str">
        <f>+VLOOKUP($L347,Data_Validation!$A:$D,1,0)</f>
        <v>6445</v>
      </c>
      <c r="U347" s="156" t="str">
        <f>+VLOOKUP($L347,Data_Validation!$A:$D,3,0)</f>
        <v>Service</v>
      </c>
      <c r="V347" s="156" t="str">
        <f>+VLOOKUP($L347,Data_Validation!$A:$D,4,0)</f>
        <v>Frais véhicules de cie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72" t="s">
        <v>1180</v>
      </c>
      <c r="B348" s="1072" t="s">
        <v>2609</v>
      </c>
      <c r="C348" s="1074">
        <v>0</v>
      </c>
      <c r="D348" s="1074">
        <v>157.51</v>
      </c>
      <c r="E348" s="1074">
        <v>157.51</v>
      </c>
      <c r="F348" s="1072" t="s">
        <v>401</v>
      </c>
      <c r="G348" s="1072" t="s">
        <v>2581</v>
      </c>
      <c r="H348" s="1075"/>
      <c r="I348" s="1078"/>
      <c r="J348" s="1078"/>
      <c r="K348" s="1078"/>
      <c r="L348" s="153" t="str">
        <f t="shared" si="18"/>
        <v>6447</v>
      </c>
      <c r="M348" s="154" t="str">
        <f t="shared" si="19"/>
        <v>FRET/EXPRESS/TRANS. PAR CAMION</v>
      </c>
      <c r="N348" s="155">
        <f>+IF(OR($Q348=Parametres!$G$2,$Q348=Parametres!$G$3),I348,C348)</f>
        <v>0</v>
      </c>
      <c r="O348" s="155">
        <f>+IF(OR($Q348=Parametres!$G$2,$Q348=Parametres!$G$3),J348,D348)</f>
        <v>157.51</v>
      </c>
      <c r="P348" s="155">
        <f>+IF(OR($Q348=Parametres!$G$2,$Q348=Parametres!$G$3),K348,E348)</f>
        <v>157.51</v>
      </c>
      <c r="Q348" s="154" t="str">
        <f t="shared" si="25"/>
        <v>7-Dépenses</v>
      </c>
      <c r="R348" s="153" t="str">
        <f t="shared" si="25"/>
        <v>6147</v>
      </c>
      <c r="S348" s="154">
        <f t="shared" si="25"/>
        <v>0</v>
      </c>
      <c r="T348" s="156" t="str">
        <f>+VLOOKUP($L348,Data_Validation!$A:$D,1,0)</f>
        <v>6447</v>
      </c>
      <c r="U348" s="156" t="str">
        <f>+VLOOKUP($L348,Data_Validation!$A:$D,3,0)</f>
        <v>Service</v>
      </c>
      <c r="V348" s="156" t="str">
        <f>+VLOOKUP($L348,Data_Validation!$A:$D,4,0)</f>
        <v>Frais postaux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72" t="s">
        <v>1286</v>
      </c>
      <c r="B349" s="1072" t="s">
        <v>2745</v>
      </c>
      <c r="C349" s="1074">
        <v>0</v>
      </c>
      <c r="D349" s="1074">
        <v>3548.54</v>
      </c>
      <c r="E349" s="1074">
        <v>3548.54</v>
      </c>
      <c r="F349" s="1072" t="s">
        <v>401</v>
      </c>
      <c r="G349" s="1072" t="s">
        <v>2702</v>
      </c>
      <c r="H349" s="1075"/>
      <c r="I349" s="1078"/>
      <c r="J349" s="1078"/>
      <c r="K349" s="1078"/>
      <c r="L349" s="153" t="str">
        <f t="shared" si="18"/>
        <v>6451</v>
      </c>
      <c r="M349" s="154" t="str">
        <f t="shared" si="19"/>
        <v>DEP. DU TRAITEMENT DES DONNEES</v>
      </c>
      <c r="N349" s="155">
        <f>+IF(OR($Q349=Parametres!$G$2,$Q349=Parametres!$G$3),I349,C349)</f>
        <v>0</v>
      </c>
      <c r="O349" s="155">
        <f>+IF(OR($Q349=Parametres!$G$2,$Q349=Parametres!$G$3),J349,D349)</f>
        <v>3548.54</v>
      </c>
      <c r="P349" s="155">
        <f>+IF(OR($Q349=Parametres!$G$2,$Q349=Parametres!$G$3),K349,E349)</f>
        <v>3548.54</v>
      </c>
      <c r="Q349" s="154" t="str">
        <f t="shared" si="25"/>
        <v>7-Dépenses</v>
      </c>
      <c r="R349" s="153" t="str">
        <f t="shared" si="25"/>
        <v>6151</v>
      </c>
      <c r="S349" s="154">
        <f t="shared" si="25"/>
        <v>0</v>
      </c>
      <c r="T349" s="156" t="str">
        <f>+VLOOKUP($L349,Data_Validation!$A:$D,1,0)</f>
        <v>6451</v>
      </c>
      <c r="U349" s="156" t="str">
        <f>+VLOOKUP($L349,Data_Validation!$A:$D,3,0)</f>
        <v>Service</v>
      </c>
      <c r="V349" s="156" t="str">
        <f>+VLOOKUP($L349,Data_Validation!$A:$D,4,0)</f>
        <v>Informatique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72" t="s">
        <v>1206</v>
      </c>
      <c r="B350" s="1072" t="s">
        <v>2644</v>
      </c>
      <c r="C350" s="1074">
        <v>0</v>
      </c>
      <c r="D350" s="1074">
        <v>444</v>
      </c>
      <c r="E350" s="1074">
        <v>444</v>
      </c>
      <c r="F350" s="1072" t="s">
        <v>401</v>
      </c>
      <c r="G350" s="1072" t="s">
        <v>2588</v>
      </c>
      <c r="H350" s="1075"/>
      <c r="I350" s="1078"/>
      <c r="J350" s="1078"/>
      <c r="K350" s="1078"/>
      <c r="L350" s="153" t="str">
        <f t="shared" si="18"/>
        <v>6452</v>
      </c>
      <c r="M350" s="154" t="str">
        <f t="shared" si="19"/>
        <v>PAPETERIE</v>
      </c>
      <c r="N350" s="155">
        <f>+IF(OR($Q350=Parametres!$G$2,$Q350=Parametres!$G$3),I350,C350)</f>
        <v>0</v>
      </c>
      <c r="O350" s="155">
        <f>+IF(OR($Q350=Parametres!$G$2,$Q350=Parametres!$G$3),J350,D350)</f>
        <v>444</v>
      </c>
      <c r="P350" s="155">
        <f>+IF(OR($Q350=Parametres!$G$2,$Q350=Parametres!$G$3),K350,E350)</f>
        <v>444</v>
      </c>
      <c r="Q350" s="154" t="str">
        <f t="shared" si="25"/>
        <v>7-Dépenses</v>
      </c>
      <c r="R350" s="153" t="str">
        <f t="shared" si="25"/>
        <v>6152</v>
      </c>
      <c r="S350" s="154">
        <f t="shared" si="25"/>
        <v>0</v>
      </c>
      <c r="T350" s="156" t="str">
        <f>+VLOOKUP($L350,Data_Validation!$A:$D,1,0)</f>
        <v>6452</v>
      </c>
      <c r="U350" s="156" t="str">
        <f>+VLOOKUP($L350,Data_Validation!$A:$D,3,0)</f>
        <v>Service</v>
      </c>
      <c r="V350" s="156" t="str">
        <f>+VLOOKUP($L350,Data_Validation!$A:$D,4,0)</f>
        <v>Papeterie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72" t="s">
        <v>1154</v>
      </c>
      <c r="B351" s="1072" t="s">
        <v>2645</v>
      </c>
      <c r="C351" s="1074">
        <v>0</v>
      </c>
      <c r="D351" s="1074">
        <v>566.02</v>
      </c>
      <c r="E351" s="1074">
        <v>566.02</v>
      </c>
      <c r="F351" s="1072" t="s">
        <v>401</v>
      </c>
      <c r="G351" s="1072" t="s">
        <v>2592</v>
      </c>
      <c r="H351" s="1075"/>
      <c r="I351" s="1078"/>
      <c r="J351" s="1078"/>
      <c r="K351" s="1078"/>
      <c r="L351" s="153" t="str">
        <f t="shared" si="18"/>
        <v>6453</v>
      </c>
      <c r="M351" s="154" t="str">
        <f t="shared" si="19"/>
        <v>TELEPHONE ET TELEX</v>
      </c>
      <c r="N351" s="155">
        <f>+IF(OR($Q351=Parametres!$G$2,$Q351=Parametres!$G$3),I351,C351)</f>
        <v>0</v>
      </c>
      <c r="O351" s="155">
        <f>+IF(OR($Q351=Parametres!$G$2,$Q351=Parametres!$G$3),J351,D351)</f>
        <v>566.02</v>
      </c>
      <c r="P351" s="155">
        <f>+IF(OR($Q351=Parametres!$G$2,$Q351=Parametres!$G$3),K351,E351)</f>
        <v>566.02</v>
      </c>
      <c r="Q351" s="154" t="str">
        <f t="shared" si="25"/>
        <v>7-Dépenses</v>
      </c>
      <c r="R351" s="153" t="str">
        <f t="shared" si="25"/>
        <v>6153</v>
      </c>
      <c r="S351" s="154">
        <f t="shared" si="25"/>
        <v>0</v>
      </c>
      <c r="T351" s="156" t="str">
        <f>+VLOOKUP($L351,Data_Validation!$A:$D,1,0)</f>
        <v>6453</v>
      </c>
      <c r="U351" s="156" t="str">
        <f>+VLOOKUP($L351,Data_Validation!$A:$D,3,0)</f>
        <v>Service</v>
      </c>
      <c r="V351" s="156" t="str">
        <f>+VLOOKUP($L351,Data_Validation!$A:$D,4,0)</f>
        <v>Téléphone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72" t="s">
        <v>1237</v>
      </c>
      <c r="B352" s="1072" t="s">
        <v>2700</v>
      </c>
      <c r="C352" s="1074">
        <v>0</v>
      </c>
      <c r="D352" s="1074">
        <v>1278.96</v>
      </c>
      <c r="E352" s="1074">
        <v>1278.96</v>
      </c>
      <c r="F352" s="1072" t="s">
        <v>401</v>
      </c>
      <c r="G352" s="1072" t="s">
        <v>2637</v>
      </c>
      <c r="H352" s="1075"/>
      <c r="I352" s="1078"/>
      <c r="J352" s="1078"/>
      <c r="K352" s="1078"/>
      <c r="L352" s="153" t="str">
        <f t="shared" si="18"/>
        <v>6455</v>
      </c>
      <c r="M352" s="154" t="str">
        <f t="shared" si="19"/>
        <v>DEPENSES DIVERS</v>
      </c>
      <c r="N352" s="155">
        <f>+IF(OR($Q352=Parametres!$G$2,$Q352=Parametres!$G$3),I352,C352)</f>
        <v>0</v>
      </c>
      <c r="O352" s="155">
        <f>+IF(OR($Q352=Parametres!$G$2,$Q352=Parametres!$G$3),J352,D352)</f>
        <v>1278.96</v>
      </c>
      <c r="P352" s="155">
        <f>+IF(OR($Q352=Parametres!$G$2,$Q352=Parametres!$G$3),K352,E352)</f>
        <v>1278.96</v>
      </c>
      <c r="Q352" s="154" t="str">
        <f t="shared" si="25"/>
        <v>7-Dépenses</v>
      </c>
      <c r="R352" s="153" t="str">
        <f t="shared" si="25"/>
        <v>6155</v>
      </c>
      <c r="S352" s="154">
        <f t="shared" si="25"/>
        <v>0</v>
      </c>
      <c r="T352" s="156" t="str">
        <f>+VLOOKUP($L352,Data_Validation!$A:$D,1,0)</f>
        <v>6455</v>
      </c>
      <c r="U352" s="156" t="str">
        <f>+VLOOKUP($L352,Data_Validation!$A:$D,3,0)</f>
        <v>Service</v>
      </c>
      <c r="V352" s="156" t="str">
        <f>+VLOOKUP($L352,Data_Validation!$A:$D,4,0)</f>
        <v>Divers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72" t="s">
        <v>1292</v>
      </c>
      <c r="B353" s="1072" t="s">
        <v>2656</v>
      </c>
      <c r="C353" s="1074">
        <v>0</v>
      </c>
      <c r="D353" s="1074">
        <v>1458.48</v>
      </c>
      <c r="E353" s="1074">
        <v>1458.48</v>
      </c>
      <c r="F353" s="1072" t="s">
        <v>401</v>
      </c>
      <c r="G353" s="1072" t="s">
        <v>2470</v>
      </c>
      <c r="H353" s="1075"/>
      <c r="I353" s="1078"/>
      <c r="J353" s="1078"/>
      <c r="K353" s="1078"/>
      <c r="L353" s="153" t="str">
        <f t="shared" si="18"/>
        <v>6456</v>
      </c>
      <c r="M353" s="154" t="str">
        <f t="shared" si="19"/>
        <v>FRAIS REPRESENTATION - SERVICE</v>
      </c>
      <c r="N353" s="155">
        <f>+IF(OR($Q353=Parametres!$G$2,$Q353=Parametres!$G$3),I353,C353)</f>
        <v>0</v>
      </c>
      <c r="O353" s="155">
        <f>+IF(OR($Q353=Parametres!$G$2,$Q353=Parametres!$G$3),J353,D353)</f>
        <v>1458.48</v>
      </c>
      <c r="P353" s="155">
        <f>+IF(OR($Q353=Parametres!$G$2,$Q353=Parametres!$G$3),K353,E353)</f>
        <v>1458.48</v>
      </c>
      <c r="Q353" s="154" t="str">
        <f t="shared" si="25"/>
        <v>7-Dépenses</v>
      </c>
      <c r="R353" s="153" t="str">
        <f t="shared" si="25"/>
        <v>6156</v>
      </c>
      <c r="S353" s="154">
        <f t="shared" si="25"/>
        <v>0</v>
      </c>
      <c r="T353" s="156" t="str">
        <f>+VLOOKUP($L353,Data_Validation!$A:$D,1,0)</f>
        <v>6456</v>
      </c>
      <c r="U353" s="156" t="str">
        <f>+VLOOKUP($L353,Data_Validation!$A:$D,3,0)</f>
        <v>Service</v>
      </c>
      <c r="V353" s="156" t="str">
        <f>+VLOOKUP($L353,Data_Validation!$A:$D,4,0)</f>
        <v>Frais de déplacement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72" t="s">
        <v>1308</v>
      </c>
      <c r="B354" s="1072" t="s">
        <v>2736</v>
      </c>
      <c r="C354" s="1074">
        <v>0</v>
      </c>
      <c r="D354" s="1074">
        <v>9767.6</v>
      </c>
      <c r="E354" s="1074">
        <v>9767.6</v>
      </c>
      <c r="F354" s="1072" t="s">
        <v>401</v>
      </c>
      <c r="G354" s="1072" t="s">
        <v>2662</v>
      </c>
      <c r="H354" s="1075"/>
      <c r="I354" s="1078"/>
      <c r="J354" s="1078"/>
      <c r="K354" s="1078"/>
      <c r="L354" s="153" t="str">
        <f t="shared" si="18"/>
        <v>6459</v>
      </c>
      <c r="M354" s="154" t="str">
        <f t="shared" si="19"/>
        <v>SERVICE EXTERIEUR</v>
      </c>
      <c r="N354" s="155">
        <f>+IF(OR($Q354=Parametres!$G$2,$Q354=Parametres!$G$3),I354,C354)</f>
        <v>0</v>
      </c>
      <c r="O354" s="155">
        <f>+IF(OR($Q354=Parametres!$G$2,$Q354=Parametres!$G$3),J354,D354)</f>
        <v>9767.6</v>
      </c>
      <c r="P354" s="155">
        <f>+IF(OR($Q354=Parametres!$G$2,$Q354=Parametres!$G$3),K354,E354)</f>
        <v>9767.6</v>
      </c>
      <c r="Q354" s="154" t="str">
        <f t="shared" ref="Q354:S369" si="26">+F354</f>
        <v>7-Dépenses</v>
      </c>
      <c r="R354" s="153" t="str">
        <f t="shared" si="26"/>
        <v>6159</v>
      </c>
      <c r="S354" s="154">
        <f t="shared" si="26"/>
        <v>0</v>
      </c>
      <c r="T354" s="156" t="str">
        <f>+VLOOKUP($L354,Data_Validation!$A:$D,1,0)</f>
        <v>6459</v>
      </c>
      <c r="U354" s="156" t="str">
        <f>+VLOOKUP($L354,Data_Validation!$A:$D,3,0)</f>
        <v>Service</v>
      </c>
      <c r="V354" s="156" t="str">
        <f>+VLOOKUP($L354,Data_Validation!$A:$D,4,0)</f>
        <v>Services extérieurs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72" t="s">
        <v>1333</v>
      </c>
      <c r="B355" s="1072" t="s">
        <v>2716</v>
      </c>
      <c r="C355" s="1074">
        <v>0</v>
      </c>
      <c r="D355" s="1074">
        <v>2160</v>
      </c>
      <c r="E355" s="1074">
        <v>2160</v>
      </c>
      <c r="F355" s="1072" t="s">
        <v>401</v>
      </c>
      <c r="G355" s="1072" t="s">
        <v>2653</v>
      </c>
      <c r="H355" s="1075"/>
      <c r="I355" s="1078"/>
      <c r="J355" s="1078"/>
      <c r="K355" s="1078"/>
      <c r="L355" s="153" t="str">
        <f t="shared" si="18"/>
        <v>6461</v>
      </c>
      <c r="M355" s="154" t="str">
        <f t="shared" si="19"/>
        <v>DEPRECIATION EQUIP. &amp; FIXTURES</v>
      </c>
      <c r="N355" s="155">
        <f>+IF(OR($Q355=Parametres!$G$2,$Q355=Parametres!$G$3),I355,C355)</f>
        <v>0</v>
      </c>
      <c r="O355" s="155">
        <f>+IF(OR($Q355=Parametres!$G$2,$Q355=Parametres!$G$3),J355,D355)</f>
        <v>2160</v>
      </c>
      <c r="P355" s="155">
        <f>+IF(OR($Q355=Parametres!$G$2,$Q355=Parametres!$G$3),K355,E355)</f>
        <v>2160</v>
      </c>
      <c r="Q355" s="154" t="str">
        <f t="shared" si="26"/>
        <v>7-Dépenses</v>
      </c>
      <c r="R355" s="153" t="str">
        <f t="shared" si="26"/>
        <v>6161</v>
      </c>
      <c r="S355" s="154">
        <f t="shared" si="26"/>
        <v>0</v>
      </c>
      <c r="T355" s="156" t="str">
        <f>+VLOOKUP($L355,Data_Validation!$A:$D,1,0)</f>
        <v>6461</v>
      </c>
      <c r="U355" s="156" t="str">
        <f>+VLOOKUP($L355,Data_Validation!$A:$D,3,0)</f>
        <v>Service</v>
      </c>
      <c r="V355" s="156" t="str">
        <f>+VLOOKUP($L355,Data_Validation!$A:$D,4,0)</f>
        <v>Amortissement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72" t="s">
        <v>936</v>
      </c>
      <c r="B356" s="1072" t="s">
        <v>2607</v>
      </c>
      <c r="C356" s="1074">
        <v>0</v>
      </c>
      <c r="D356" s="1074">
        <v>296</v>
      </c>
      <c r="E356" s="1074">
        <v>296</v>
      </c>
      <c r="F356" s="1072" t="s">
        <v>401</v>
      </c>
      <c r="G356" s="1072" t="s">
        <v>2463</v>
      </c>
      <c r="H356" s="1075"/>
      <c r="I356" s="1078"/>
      <c r="J356" s="1078"/>
      <c r="K356" s="1078"/>
      <c r="L356" s="153" t="str">
        <f t="shared" si="18"/>
        <v>6462</v>
      </c>
      <c r="M356" s="154" t="str">
        <f t="shared" si="19"/>
        <v>LOCATION D'EQUIPEMENTS</v>
      </c>
      <c r="N356" s="155">
        <f>+IF(OR($Q356=Parametres!$G$2,$Q356=Parametres!$G$3),I356,C356)</f>
        <v>0</v>
      </c>
      <c r="O356" s="155">
        <f>+IF(OR($Q356=Parametres!$G$2,$Q356=Parametres!$G$3),J356,D356)</f>
        <v>296</v>
      </c>
      <c r="P356" s="155">
        <f>+IF(OR($Q356=Parametres!$G$2,$Q356=Parametres!$G$3),K356,E356)</f>
        <v>296</v>
      </c>
      <c r="Q356" s="154" t="str">
        <f t="shared" si="26"/>
        <v>7-Dépenses</v>
      </c>
      <c r="R356" s="153" t="str">
        <f t="shared" si="26"/>
        <v>6162</v>
      </c>
      <c r="S356" s="154">
        <f t="shared" si="26"/>
        <v>0</v>
      </c>
      <c r="T356" s="156" t="str">
        <f>+VLOOKUP($L356,Data_Validation!$A:$D,1,0)</f>
        <v>6462</v>
      </c>
      <c r="U356" s="156" t="str">
        <f>+VLOOKUP($L356,Data_Validation!$A:$D,3,0)</f>
        <v>Service</v>
      </c>
      <c r="V356" s="156" t="str">
        <f>+VLOOKUP($L356,Data_Validation!$A:$D,4,0)</f>
        <v>Location équipement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72" t="s">
        <v>1168</v>
      </c>
      <c r="B357" s="1072" t="s">
        <v>2638</v>
      </c>
      <c r="C357" s="1074">
        <v>0</v>
      </c>
      <c r="D357" s="1074">
        <v>884</v>
      </c>
      <c r="E357" s="1074">
        <v>884</v>
      </c>
      <c r="F357" s="1072" t="s">
        <v>401</v>
      </c>
      <c r="G357" s="1072" t="s">
        <v>2639</v>
      </c>
      <c r="H357" s="1075"/>
      <c r="I357" s="1078"/>
      <c r="J357" s="1078"/>
      <c r="K357" s="1078"/>
      <c r="L357" s="153" t="str">
        <f t="shared" si="18"/>
        <v>6463</v>
      </c>
      <c r="M357" s="154" t="str">
        <f t="shared" si="19"/>
        <v>REPARATION &amp; ENT. - EQUIP.</v>
      </c>
      <c r="N357" s="155">
        <f>+IF(OR($Q357=Parametres!$G$2,$Q357=Parametres!$G$3),I357,C357)</f>
        <v>0</v>
      </c>
      <c r="O357" s="155">
        <f>+IF(OR($Q357=Parametres!$G$2,$Q357=Parametres!$G$3),J357,D357)</f>
        <v>884</v>
      </c>
      <c r="P357" s="155">
        <f>+IF(OR($Q357=Parametres!$G$2,$Q357=Parametres!$G$3),K357,E357)</f>
        <v>884</v>
      </c>
      <c r="Q357" s="154" t="str">
        <f t="shared" si="26"/>
        <v>7-Dépenses</v>
      </c>
      <c r="R357" s="153" t="str">
        <f t="shared" si="26"/>
        <v>6163</v>
      </c>
      <c r="S357" s="154">
        <f t="shared" si="26"/>
        <v>0</v>
      </c>
      <c r="T357" s="156" t="str">
        <f>+VLOOKUP($L357,Data_Validation!$A:$D,1,0)</f>
        <v>6463</v>
      </c>
      <c r="U357" s="156" t="str">
        <f>+VLOOKUP($L357,Data_Validation!$A:$D,3,0)</f>
        <v>Service</v>
      </c>
      <c r="V357" s="156" t="str">
        <f>+VLOOKUP($L357,Data_Validation!$A:$D,4,0)</f>
        <v>Réparation équipement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72" t="s">
        <v>1311</v>
      </c>
      <c r="B358" s="1072" t="s">
        <v>2670</v>
      </c>
      <c r="C358" s="1074">
        <v>0</v>
      </c>
      <c r="D358" s="1074">
        <v>880.8</v>
      </c>
      <c r="E358" s="1074">
        <v>880.8</v>
      </c>
      <c r="F358" s="1072" t="s">
        <v>401</v>
      </c>
      <c r="G358" s="1072" t="s">
        <v>2604</v>
      </c>
      <c r="H358" s="1075"/>
      <c r="I358" s="1078"/>
      <c r="J358" s="1078"/>
      <c r="K358" s="1078"/>
      <c r="L358" s="153" t="str">
        <f t="shared" si="18"/>
        <v>6481</v>
      </c>
      <c r="M358" s="154" t="str">
        <f t="shared" si="19"/>
        <v>CHAUFFAGE,ELECTRICITE,EAU-SERVICE</v>
      </c>
      <c r="N358" s="155">
        <f>+IF(OR($Q358=Parametres!$G$2,$Q358=Parametres!$G$3),I358,C358)</f>
        <v>0</v>
      </c>
      <c r="O358" s="155">
        <f>+IF(OR($Q358=Parametres!$G$2,$Q358=Parametres!$G$3),J358,D358)</f>
        <v>880.8</v>
      </c>
      <c r="P358" s="155">
        <f>+IF(OR($Q358=Parametres!$G$2,$Q358=Parametres!$G$3),K358,E358)</f>
        <v>880.8</v>
      </c>
      <c r="Q358" s="154" t="str">
        <f t="shared" si="26"/>
        <v>7-Dépenses</v>
      </c>
      <c r="R358" s="153" t="str">
        <f t="shared" si="26"/>
        <v>6181</v>
      </c>
      <c r="S358" s="154">
        <f t="shared" si="26"/>
        <v>0</v>
      </c>
      <c r="T358" s="156" t="str">
        <f>+VLOOKUP($L358,Data_Validation!$A:$D,1,0)</f>
        <v>6481</v>
      </c>
      <c r="U358" s="156" t="str">
        <f>+VLOOKUP($L358,Data_Validation!$A:$D,3,0)</f>
        <v>Service</v>
      </c>
      <c r="V358" s="156" t="str">
        <f>+VLOOKUP($L358,Data_Validation!$A:$D,4,0)</f>
        <v>Chauffage, éclairage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72" t="s">
        <v>1452</v>
      </c>
      <c r="B359" s="1072" t="s">
        <v>2756</v>
      </c>
      <c r="C359" s="1074">
        <v>0</v>
      </c>
      <c r="D359" s="1074">
        <v>6240.03</v>
      </c>
      <c r="E359" s="1074">
        <v>6240.03</v>
      </c>
      <c r="F359" s="1072" t="s">
        <v>401</v>
      </c>
      <c r="G359" s="1072" t="s">
        <v>2709</v>
      </c>
      <c r="H359" s="1075"/>
      <c r="I359" s="1078"/>
      <c r="J359" s="1078"/>
      <c r="K359" s="1078"/>
      <c r="L359" s="153" t="str">
        <f t="shared" si="18"/>
        <v>6482</v>
      </c>
      <c r="M359" s="154" t="str">
        <f t="shared" si="19"/>
        <v>LOYER - SERVICE</v>
      </c>
      <c r="N359" s="155">
        <f>+IF(OR($Q359=Parametres!$G$2,$Q359=Parametres!$G$3),I359,C359)</f>
        <v>0</v>
      </c>
      <c r="O359" s="155">
        <f>+IF(OR($Q359=Parametres!$G$2,$Q359=Parametres!$G$3),J359,D359)</f>
        <v>6240.03</v>
      </c>
      <c r="P359" s="155">
        <f>+IF(OR($Q359=Parametres!$G$2,$Q359=Parametres!$G$3),K359,E359)</f>
        <v>6240.03</v>
      </c>
      <c r="Q359" s="154" t="str">
        <f t="shared" si="26"/>
        <v>7-Dépenses</v>
      </c>
      <c r="R359" s="153" t="str">
        <f t="shared" si="26"/>
        <v>6182</v>
      </c>
      <c r="S359" s="154">
        <f t="shared" si="26"/>
        <v>0</v>
      </c>
      <c r="T359" s="156" t="str">
        <f>+VLOOKUP($L359,Data_Validation!$A:$D,1,0)</f>
        <v>6482</v>
      </c>
      <c r="U359" s="156" t="str">
        <f>+VLOOKUP($L359,Data_Validation!$A:$D,3,0)</f>
        <v>Service</v>
      </c>
      <c r="V359" s="156" t="str">
        <f>+VLOOKUP($L359,Data_Validation!$A:$D,4,0)</f>
        <v>Loyer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72" t="s">
        <v>1347</v>
      </c>
      <c r="B360" s="1072" t="s">
        <v>2657</v>
      </c>
      <c r="C360" s="1074">
        <v>0</v>
      </c>
      <c r="D360" s="1074">
        <v>360</v>
      </c>
      <c r="E360" s="1074">
        <v>360</v>
      </c>
      <c r="F360" s="1072" t="s">
        <v>401</v>
      </c>
      <c r="G360" s="1072" t="s">
        <v>2594</v>
      </c>
      <c r="H360" s="1075"/>
      <c r="I360" s="1078"/>
      <c r="J360" s="1078"/>
      <c r="K360" s="1078"/>
      <c r="L360" s="153" t="str">
        <f t="shared" si="18"/>
        <v>6486</v>
      </c>
      <c r="M360" s="154" t="str">
        <f t="shared" si="19"/>
        <v>ASSURANCE BATISSE &amp; AMEL.-SERVICE</v>
      </c>
      <c r="N360" s="155">
        <f>+IF(OR($Q360=Parametres!$G$2,$Q360=Parametres!$G$3),I360,C360)</f>
        <v>0</v>
      </c>
      <c r="O360" s="155">
        <f>+IF(OR($Q360=Parametres!$G$2,$Q360=Parametres!$G$3),J360,D360)</f>
        <v>360</v>
      </c>
      <c r="P360" s="155">
        <f>+IF(OR($Q360=Parametres!$G$2,$Q360=Parametres!$G$3),K360,E360)</f>
        <v>360</v>
      </c>
      <c r="Q360" s="154" t="str">
        <f t="shared" si="26"/>
        <v>7-Dépenses</v>
      </c>
      <c r="R360" s="153" t="str">
        <f t="shared" si="26"/>
        <v>6186</v>
      </c>
      <c r="S360" s="154">
        <f t="shared" si="26"/>
        <v>0</v>
      </c>
      <c r="T360" s="156" t="str">
        <f>+VLOOKUP($L360,Data_Validation!$A:$D,1,0)</f>
        <v>6486</v>
      </c>
      <c r="U360" s="156" t="str">
        <f>+VLOOKUP($L360,Data_Validation!$A:$D,3,0)</f>
        <v>Service</v>
      </c>
      <c r="V360" s="156" t="str">
        <f>+VLOOKUP($L360,Data_Validation!$A:$D,4,0)</f>
        <v>Assurances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72" t="s">
        <v>1340</v>
      </c>
      <c r="B361" s="1072" t="s">
        <v>2681</v>
      </c>
      <c r="C361" s="1074">
        <v>0</v>
      </c>
      <c r="D361" s="1074">
        <v>1128</v>
      </c>
      <c r="E361" s="1074">
        <v>1128</v>
      </c>
      <c r="F361" s="1072" t="s">
        <v>401</v>
      </c>
      <c r="G361" s="1072" t="s">
        <v>2614</v>
      </c>
      <c r="H361" s="1075"/>
      <c r="I361" s="1078"/>
      <c r="J361" s="1078"/>
      <c r="K361" s="1078"/>
      <c r="L361" s="153" t="str">
        <f t="shared" si="18"/>
        <v>6487</v>
      </c>
      <c r="M361" s="154" t="str">
        <f t="shared" si="19"/>
        <v>TAXES FONCIERES - SERVICE</v>
      </c>
      <c r="N361" s="155">
        <f>+IF(OR($Q361=Parametres!$G$2,$Q361=Parametres!$G$3),I361,C361)</f>
        <v>0</v>
      </c>
      <c r="O361" s="155">
        <f>+IF(OR($Q361=Parametres!$G$2,$Q361=Parametres!$G$3),J361,D361)</f>
        <v>1128</v>
      </c>
      <c r="P361" s="155">
        <f>+IF(OR($Q361=Parametres!$G$2,$Q361=Parametres!$G$3),K361,E361)</f>
        <v>1128</v>
      </c>
      <c r="Q361" s="154" t="str">
        <f t="shared" si="26"/>
        <v>7-Dépenses</v>
      </c>
      <c r="R361" s="153" t="str">
        <f t="shared" si="26"/>
        <v>6187</v>
      </c>
      <c r="S361" s="154">
        <f t="shared" si="26"/>
        <v>0</v>
      </c>
      <c r="T361" s="156" t="str">
        <f>+VLOOKUP($L361,Data_Validation!$A:$D,1,0)</f>
        <v>6487</v>
      </c>
      <c r="U361" s="156" t="str">
        <f>+VLOOKUP($L361,Data_Validation!$A:$D,3,0)</f>
        <v>Service</v>
      </c>
      <c r="V361" s="156" t="str">
        <f>+VLOOKUP($L361,Data_Validation!$A:$D,4,0)</f>
        <v>Taxes foncières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72" t="s">
        <v>1274</v>
      </c>
      <c r="B362" s="1072" t="s">
        <v>2663</v>
      </c>
      <c r="C362" s="1074">
        <v>0</v>
      </c>
      <c r="D362" s="1074">
        <v>756</v>
      </c>
      <c r="E362" s="1074">
        <v>756</v>
      </c>
      <c r="F362" s="1072" t="s">
        <v>401</v>
      </c>
      <c r="G362" s="1072" t="s">
        <v>2597</v>
      </c>
      <c r="H362" s="1075"/>
      <c r="I362" s="1078"/>
      <c r="J362" s="1078"/>
      <c r="K362" s="1078"/>
      <c r="L362" s="153" t="str">
        <f t="shared" si="18"/>
        <v>6493</v>
      </c>
      <c r="M362" s="154" t="str">
        <f t="shared" si="19"/>
        <v>AUTRE TAXES-SERVICE</v>
      </c>
      <c r="N362" s="155">
        <f>+IF(OR($Q362=Parametres!$G$2,$Q362=Parametres!$G$3),I362,C362)</f>
        <v>0</v>
      </c>
      <c r="O362" s="155">
        <f>+IF(OR($Q362=Parametres!$G$2,$Q362=Parametres!$G$3),J362,D362)</f>
        <v>756</v>
      </c>
      <c r="P362" s="155">
        <f>+IF(OR($Q362=Parametres!$G$2,$Q362=Parametres!$G$3),K362,E362)</f>
        <v>756</v>
      </c>
      <c r="Q362" s="154" t="str">
        <f t="shared" si="26"/>
        <v>7-Dépenses</v>
      </c>
      <c r="R362" s="153" t="str">
        <f t="shared" si="26"/>
        <v>6193</v>
      </c>
      <c r="S362" s="154">
        <f t="shared" si="26"/>
        <v>0</v>
      </c>
      <c r="T362" s="156" t="str">
        <f>+VLOOKUP($L362,Data_Validation!$A:$D,1,0)</f>
        <v>6493</v>
      </c>
      <c r="U362" s="156" t="str">
        <f>+VLOOKUP($L362,Data_Validation!$A:$D,3,0)</f>
        <v>Service</v>
      </c>
      <c r="V362" s="156" t="str">
        <f>+VLOOKUP($L362,Data_Validation!$A:$D,4,0)</f>
        <v>Taxes d`affaires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72" t="s">
        <v>1367</v>
      </c>
      <c r="B363" s="1072" t="s">
        <v>2699</v>
      </c>
      <c r="C363" s="1074">
        <v>0</v>
      </c>
      <c r="D363" s="1074">
        <v>1926</v>
      </c>
      <c r="E363" s="1074">
        <v>1926</v>
      </c>
      <c r="F363" s="1072" t="s">
        <v>401</v>
      </c>
      <c r="G363" s="1072" t="s">
        <v>2635</v>
      </c>
      <c r="H363" s="1075"/>
      <c r="I363" s="1078"/>
      <c r="J363" s="1078"/>
      <c r="K363" s="1078"/>
      <c r="L363" s="153" t="str">
        <f t="shared" si="18"/>
        <v>6494</v>
      </c>
      <c r="M363" s="154" t="str">
        <f t="shared" si="19"/>
        <v>FRAIS PROFESSIONNEL-SERVICE</v>
      </c>
      <c r="N363" s="155">
        <f>+IF(OR($Q363=Parametres!$G$2,$Q363=Parametres!$G$3),I363,C363)</f>
        <v>0</v>
      </c>
      <c r="O363" s="155">
        <f>+IF(OR($Q363=Parametres!$G$2,$Q363=Parametres!$G$3),J363,D363)</f>
        <v>1926</v>
      </c>
      <c r="P363" s="155">
        <f>+IF(OR($Q363=Parametres!$G$2,$Q363=Parametres!$G$3),K363,E363)</f>
        <v>1926</v>
      </c>
      <c r="Q363" s="154" t="str">
        <f t="shared" si="26"/>
        <v>7-Dépenses</v>
      </c>
      <c r="R363" s="153" t="str">
        <f t="shared" si="26"/>
        <v>6194</v>
      </c>
      <c r="S363" s="154">
        <f t="shared" si="26"/>
        <v>0</v>
      </c>
      <c r="T363" s="156" t="str">
        <f>+VLOOKUP($L363,Data_Validation!$A:$D,1,0)</f>
        <v>6494</v>
      </c>
      <c r="U363" s="156" t="str">
        <f>+VLOOKUP($L363,Data_Validation!$A:$D,3,0)</f>
        <v>Service</v>
      </c>
      <c r="V363" s="156" t="str">
        <f>+VLOOKUP($L363,Data_Validation!$A:$D,4,0)</f>
        <v>Honoraires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72" t="s">
        <v>399</v>
      </c>
      <c r="B364" s="1072" t="s">
        <v>2627</v>
      </c>
      <c r="C364" s="1074">
        <v>0</v>
      </c>
      <c r="D364" s="1074">
        <v>30</v>
      </c>
      <c r="E364" s="1074">
        <v>30</v>
      </c>
      <c r="F364" s="1072" t="s">
        <v>401</v>
      </c>
      <c r="G364" s="1072" t="s">
        <v>2467</v>
      </c>
      <c r="H364" s="1075"/>
      <c r="I364" s="1078"/>
      <c r="J364" s="1078"/>
      <c r="K364" s="1078"/>
      <c r="L364" s="153" t="str">
        <f t="shared" si="18"/>
        <v>6503</v>
      </c>
      <c r="M364" s="154" t="str">
        <f t="shared" si="19"/>
        <v>RELAT. A LA CLIENTELE &amp; AJUST.</v>
      </c>
      <c r="N364" s="155">
        <f>+IF(OR($Q364=Parametres!$G$2,$Q364=Parametres!$G$3),I364,C364)</f>
        <v>0</v>
      </c>
      <c r="O364" s="155">
        <f>+IF(OR($Q364=Parametres!$G$2,$Q364=Parametres!$G$3),J364,D364)</f>
        <v>30</v>
      </c>
      <c r="P364" s="155">
        <f>+IF(OR($Q364=Parametres!$G$2,$Q364=Parametres!$G$3),K364,E364)</f>
        <v>30</v>
      </c>
      <c r="Q364" s="154" t="str">
        <f t="shared" si="26"/>
        <v>7-Dépenses</v>
      </c>
      <c r="R364" s="153" t="str">
        <f t="shared" si="26"/>
        <v>6112</v>
      </c>
      <c r="S364" s="154">
        <f t="shared" si="26"/>
        <v>0</v>
      </c>
      <c r="T364" s="156" t="str">
        <f>+VLOOKUP($L364,Data_Validation!$A:$D,1,0)</f>
        <v>6503</v>
      </c>
      <c r="U364" s="156" t="str">
        <f>+VLOOKUP($L364,Data_Validation!$A:$D,3,0)</f>
        <v>Carrosserie</v>
      </c>
      <c r="V364" s="156" t="str">
        <f>+VLOOKUP($L364,Data_Validation!$A:$D,4,0)</f>
        <v>Service gratuit 2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72" t="s">
        <v>1259</v>
      </c>
      <c r="B365" s="1072" t="s">
        <v>2647</v>
      </c>
      <c r="C365" s="1074">
        <v>0</v>
      </c>
      <c r="D365" s="1074">
        <v>2858.25</v>
      </c>
      <c r="E365" s="1074">
        <v>2858.25</v>
      </c>
      <c r="F365" s="1072" t="s">
        <v>401</v>
      </c>
      <c r="G365" s="1072" t="s">
        <v>2648</v>
      </c>
      <c r="H365" s="1075"/>
      <c r="I365" s="1078"/>
      <c r="J365" s="1078"/>
      <c r="K365" s="1078"/>
      <c r="L365" s="153" t="str">
        <f t="shared" si="18"/>
        <v>6521</v>
      </c>
      <c r="M365" s="154" t="str">
        <f t="shared" si="19"/>
        <v>SALAIRES - PROPRIETAIRES</v>
      </c>
      <c r="N365" s="155">
        <f>+IF(OR($Q365=Parametres!$G$2,$Q365=Parametres!$G$3),I365,C365)</f>
        <v>0</v>
      </c>
      <c r="O365" s="155">
        <f>+IF(OR($Q365=Parametres!$G$2,$Q365=Parametres!$G$3),J365,D365)</f>
        <v>2858.25</v>
      </c>
      <c r="P365" s="155">
        <f>+IF(OR($Q365=Parametres!$G$2,$Q365=Parametres!$G$3),K365,E365)</f>
        <v>2858.25</v>
      </c>
      <c r="Q365" s="154" t="str">
        <f t="shared" si="26"/>
        <v>7-Dépenses</v>
      </c>
      <c r="R365" s="153" t="str">
        <f t="shared" si="26"/>
        <v>6121</v>
      </c>
      <c r="S365" s="154">
        <f t="shared" si="26"/>
        <v>0</v>
      </c>
      <c r="T365" s="156" t="str">
        <f>+VLOOKUP($L365,Data_Validation!$A:$D,1,0)</f>
        <v>6521</v>
      </c>
      <c r="U365" s="156" t="str">
        <f>+VLOOKUP($L365,Data_Validation!$A:$D,3,0)</f>
        <v>Carrosserie</v>
      </c>
      <c r="V365" s="156" t="str">
        <f>+VLOOKUP($L365,Data_Validation!$A:$D,4,0)</f>
        <v>Salaires propriétaire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72" t="s">
        <v>2624</v>
      </c>
      <c r="B366" s="1072" t="s">
        <v>2625</v>
      </c>
      <c r="C366" s="1074">
        <v>0</v>
      </c>
      <c r="D366" s="1074">
        <v>584.14</v>
      </c>
      <c r="E366" s="1074">
        <v>584.14</v>
      </c>
      <c r="F366" s="1072" t="s">
        <v>401</v>
      </c>
      <c r="G366" s="1072" t="s">
        <v>2626</v>
      </c>
      <c r="H366" s="1075"/>
      <c r="I366" s="1078"/>
      <c r="J366" s="1078"/>
      <c r="K366" s="1078"/>
      <c r="L366" s="153" t="str">
        <f t="shared" si="18"/>
        <v>6522</v>
      </c>
      <c r="M366" s="154" t="str">
        <f t="shared" si="19"/>
        <v>SAL SUPERVISION / GERANT</v>
      </c>
      <c r="N366" s="155">
        <f>+IF(OR($Q366=Parametres!$G$2,$Q366=Parametres!$G$3),I366,C366)</f>
        <v>0</v>
      </c>
      <c r="O366" s="155">
        <f>+IF(OR($Q366=Parametres!$G$2,$Q366=Parametres!$G$3),J366,D366)</f>
        <v>584.14</v>
      </c>
      <c r="P366" s="155">
        <f>+IF(OR($Q366=Parametres!$G$2,$Q366=Parametres!$G$3),K366,E366)</f>
        <v>584.14</v>
      </c>
      <c r="Q366" s="154" t="str">
        <f t="shared" si="26"/>
        <v>7-Dépenses</v>
      </c>
      <c r="R366" s="153" t="str">
        <f t="shared" si="26"/>
        <v>6122</v>
      </c>
      <c r="S366" s="154">
        <f t="shared" si="26"/>
        <v>0</v>
      </c>
      <c r="T366" s="156" t="str">
        <f>+VLOOKUP($L366,Data_Validation!$A:$D,1,0)</f>
        <v>6522</v>
      </c>
      <c r="U366" s="156" t="str">
        <f>+VLOOKUP($L366,Data_Validation!$A:$D,3,0)</f>
        <v>Carrosserie</v>
      </c>
      <c r="V366" s="156" t="str">
        <f>+VLOOKUP($L366,Data_Validation!$A:$D,4,0)</f>
        <v>Salaires cadres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72" t="s">
        <v>1266</v>
      </c>
      <c r="B367" s="1072" t="s">
        <v>2678</v>
      </c>
      <c r="C367" s="1074">
        <v>0</v>
      </c>
      <c r="D367" s="1074">
        <v>1136.44</v>
      </c>
      <c r="E367" s="1074">
        <v>1136.44</v>
      </c>
      <c r="F367" s="1072" t="s">
        <v>401</v>
      </c>
      <c r="G367" s="1072" t="s">
        <v>2679</v>
      </c>
      <c r="H367" s="1075"/>
      <c r="I367" s="1078"/>
      <c r="J367" s="1078"/>
      <c r="K367" s="1078"/>
      <c r="L367" s="153" t="str">
        <f t="shared" si="18"/>
        <v>6523</v>
      </c>
      <c r="M367" s="154" t="str">
        <f t="shared" si="19"/>
        <v>SAL. &amp; RENUM. CLERICAL</v>
      </c>
      <c r="N367" s="155">
        <f>+IF(OR($Q367=Parametres!$G$2,$Q367=Parametres!$G$3),I367,C367)</f>
        <v>0</v>
      </c>
      <c r="O367" s="155">
        <f>+IF(OR($Q367=Parametres!$G$2,$Q367=Parametres!$G$3),J367,D367)</f>
        <v>1136.44</v>
      </c>
      <c r="P367" s="155">
        <f>+IF(OR($Q367=Parametres!$G$2,$Q367=Parametres!$G$3),K367,E367)</f>
        <v>1136.44</v>
      </c>
      <c r="Q367" s="154" t="str">
        <f t="shared" si="26"/>
        <v>7-Dépenses</v>
      </c>
      <c r="R367" s="153" t="str">
        <f t="shared" si="26"/>
        <v>6123</v>
      </c>
      <c r="S367" s="154">
        <f t="shared" si="26"/>
        <v>0</v>
      </c>
      <c r="T367" s="156" t="str">
        <f>+VLOOKUP($L367,Data_Validation!$A:$D,1,0)</f>
        <v>6523</v>
      </c>
      <c r="U367" s="156" t="str">
        <f>+VLOOKUP($L367,Data_Validation!$A:$D,3,0)</f>
        <v>Carrosserie</v>
      </c>
      <c r="V367" s="156" t="str">
        <f>+VLOOKUP($L367,Data_Validation!$A:$D,4,0)</f>
        <v>Salaires commis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72" t="s">
        <v>1249</v>
      </c>
      <c r="B368" s="1072" t="s">
        <v>2734</v>
      </c>
      <c r="C368" s="1074">
        <v>0</v>
      </c>
      <c r="D368" s="1074">
        <v>3344.8</v>
      </c>
      <c r="E368" s="1074">
        <v>3344.8</v>
      </c>
      <c r="F368" s="1072" t="s">
        <v>401</v>
      </c>
      <c r="G368" s="1072" t="s">
        <v>2735</v>
      </c>
      <c r="H368" s="1075"/>
      <c r="I368" s="1078"/>
      <c r="J368" s="1078"/>
      <c r="K368" s="1078"/>
      <c r="L368" s="153" t="str">
        <f t="shared" si="18"/>
        <v>6524</v>
      </c>
      <c r="M368" s="154" t="str">
        <f t="shared" si="19"/>
        <v>SALAIRES &amp; RENUM. - AUTRES</v>
      </c>
      <c r="N368" s="155">
        <f>+IF(OR($Q368=Parametres!$G$2,$Q368=Parametres!$G$3),I368,C368)</f>
        <v>0</v>
      </c>
      <c r="O368" s="155">
        <f>+IF(OR($Q368=Parametres!$G$2,$Q368=Parametres!$G$3),J368,D368)</f>
        <v>3344.8</v>
      </c>
      <c r="P368" s="155">
        <f>+IF(OR($Q368=Parametres!$G$2,$Q368=Parametres!$G$3),K368,E368)</f>
        <v>3344.8</v>
      </c>
      <c r="Q368" s="154" t="str">
        <f t="shared" si="26"/>
        <v>7-Dépenses</v>
      </c>
      <c r="R368" s="153" t="str">
        <f t="shared" si="26"/>
        <v>6124</v>
      </c>
      <c r="S368" s="154">
        <f t="shared" si="26"/>
        <v>0</v>
      </c>
      <c r="T368" s="156" t="str">
        <f>+VLOOKUP($L368,Data_Validation!$A:$D,1,0)</f>
        <v>6524</v>
      </c>
      <c r="U368" s="156" t="str">
        <f>+VLOOKUP($L368,Data_Validation!$A:$D,3,0)</f>
        <v>Carrosserie</v>
      </c>
      <c r="V368" s="156" t="str">
        <f>+VLOOKUP($L368,Data_Validation!$A:$D,4,0)</f>
        <v>Salaires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72" t="s">
        <v>1330</v>
      </c>
      <c r="B369" s="1072" t="s">
        <v>2720</v>
      </c>
      <c r="C369" s="1074">
        <v>0</v>
      </c>
      <c r="D369" s="1074">
        <v>3065.11</v>
      </c>
      <c r="E369" s="1074">
        <v>3065.11</v>
      </c>
      <c r="F369" s="1072" t="s">
        <v>401</v>
      </c>
      <c r="G369" s="1072" t="s">
        <v>2721</v>
      </c>
      <c r="H369" s="1075"/>
      <c r="I369" s="1078"/>
      <c r="J369" s="1078"/>
      <c r="K369" s="1078"/>
      <c r="L369" s="153" t="str">
        <f t="shared" si="18"/>
        <v>6525</v>
      </c>
      <c r="M369" s="154" t="str">
        <f t="shared" si="19"/>
        <v>SALAIRE SPECIALISTES</v>
      </c>
      <c r="N369" s="155">
        <f>+IF(OR($Q369=Parametres!$G$2,$Q369=Parametres!$G$3),I369,C369)</f>
        <v>0</v>
      </c>
      <c r="O369" s="155">
        <f>+IF(OR($Q369=Parametres!$G$2,$Q369=Parametres!$G$3),J369,D369)</f>
        <v>3065.11</v>
      </c>
      <c r="P369" s="155">
        <f>+IF(OR($Q369=Parametres!$G$2,$Q369=Parametres!$G$3),K369,E369)</f>
        <v>3065.11</v>
      </c>
      <c r="Q369" s="154" t="str">
        <f t="shared" si="26"/>
        <v>7-Dépenses</v>
      </c>
      <c r="R369" s="153" t="str">
        <f t="shared" si="26"/>
        <v>6125</v>
      </c>
      <c r="S369" s="154">
        <f t="shared" si="26"/>
        <v>0</v>
      </c>
      <c r="T369" s="156" t="str">
        <f>+VLOOKUP($L369,Data_Validation!$A:$D,1,0)</f>
        <v>6525</v>
      </c>
      <c r="U369" s="156" t="str">
        <f>+VLOOKUP($L369,Data_Validation!$A:$D,3,0)</f>
        <v>Carrosserie</v>
      </c>
      <c r="V369" s="156" t="str">
        <f>+VLOOKUP($L369,Data_Validation!$A:$D,4,0)</f>
        <v>Salaires spécialistes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72" t="s">
        <v>1211</v>
      </c>
      <c r="B370" s="1072" t="s">
        <v>2640</v>
      </c>
      <c r="C370" s="1074">
        <v>0</v>
      </c>
      <c r="D370" s="1074">
        <v>1241.49</v>
      </c>
      <c r="E370" s="1074">
        <v>1241.49</v>
      </c>
      <c r="F370" s="1072" t="s">
        <v>401</v>
      </c>
      <c r="G370" s="1072" t="s">
        <v>2641</v>
      </c>
      <c r="H370" s="1075"/>
      <c r="I370" s="1078"/>
      <c r="J370" s="1078"/>
      <c r="K370" s="1078"/>
      <c r="L370" s="153" t="str">
        <f t="shared" si="18"/>
        <v>6529</v>
      </c>
      <c r="M370" s="154" t="str">
        <f t="shared" si="19"/>
        <v>ABS.,VACANCES &amp; SAL. JOURS FER</v>
      </c>
      <c r="N370" s="155">
        <f>+IF(OR($Q370=Parametres!$G$2,$Q370=Parametres!$G$3),I370,C370)</f>
        <v>0</v>
      </c>
      <c r="O370" s="155">
        <f>+IF(OR($Q370=Parametres!$G$2,$Q370=Parametres!$G$3),J370,D370)</f>
        <v>1241.49</v>
      </c>
      <c r="P370" s="155">
        <f>+IF(OR($Q370=Parametres!$G$2,$Q370=Parametres!$G$3),K370,E370)</f>
        <v>1241.49</v>
      </c>
      <c r="Q370" s="154" t="str">
        <f t="shared" ref="Q370:S385" si="27">+F370</f>
        <v>7-Dépenses</v>
      </c>
      <c r="R370" s="153" t="str">
        <f t="shared" si="27"/>
        <v>6129</v>
      </c>
      <c r="S370" s="154">
        <f t="shared" si="27"/>
        <v>0</v>
      </c>
      <c r="T370" s="156" t="str">
        <f>+VLOOKUP($L370,Data_Validation!$A:$D,1,0)</f>
        <v>6529</v>
      </c>
      <c r="U370" s="156" t="str">
        <f>+VLOOKUP($L370,Data_Validation!$A:$D,3,0)</f>
        <v>Carrosserie</v>
      </c>
      <c r="V370" s="156" t="str">
        <f>+VLOOKUP($L370,Data_Validation!$A:$D,4,0)</f>
        <v>Salaires en absences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72" t="s">
        <v>1252</v>
      </c>
      <c r="B371" s="1072" t="s">
        <v>2585</v>
      </c>
      <c r="C371" s="1074">
        <v>0</v>
      </c>
      <c r="D371" s="1074">
        <v>327.96</v>
      </c>
      <c r="E371" s="1074">
        <v>327.96</v>
      </c>
      <c r="F371" s="1072" t="s">
        <v>401</v>
      </c>
      <c r="G371" s="1072" t="s">
        <v>2586</v>
      </c>
      <c r="H371" s="1075"/>
      <c r="I371" s="1078"/>
      <c r="J371" s="1078"/>
      <c r="K371" s="1078"/>
      <c r="L371" s="153" t="str">
        <f t="shared" si="18"/>
        <v>6531</v>
      </c>
      <c r="M371" s="154" t="str">
        <f t="shared" si="19"/>
        <v>CSST</v>
      </c>
      <c r="N371" s="155">
        <f>+IF(OR($Q371=Parametres!$G$2,$Q371=Parametres!$G$3),I371,C371)</f>
        <v>0</v>
      </c>
      <c r="O371" s="155">
        <f>+IF(OR($Q371=Parametres!$G$2,$Q371=Parametres!$G$3),J371,D371)</f>
        <v>327.96</v>
      </c>
      <c r="P371" s="155">
        <f>+IF(OR($Q371=Parametres!$G$2,$Q371=Parametres!$G$3),K371,E371)</f>
        <v>327.96</v>
      </c>
      <c r="Q371" s="154" t="str">
        <f t="shared" si="27"/>
        <v>7-Dépenses</v>
      </c>
      <c r="R371" s="153" t="str">
        <f t="shared" si="27"/>
        <v>6131</v>
      </c>
      <c r="S371" s="154">
        <f t="shared" si="27"/>
        <v>0</v>
      </c>
      <c r="T371" s="156" t="str">
        <f>+VLOOKUP($L371,Data_Validation!$A:$D,1,0)</f>
        <v>6531</v>
      </c>
      <c r="U371" s="156" t="str">
        <f>+VLOOKUP($L371,Data_Validation!$A:$D,3,0)</f>
        <v>Carrosserie</v>
      </c>
      <c r="V371" s="156" t="str">
        <f>+VLOOKUP($L371,Data_Validation!$A:$D,4,0)</f>
        <v>Csst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72" t="s">
        <v>1283</v>
      </c>
      <c r="B372" s="1072" t="s">
        <v>2684</v>
      </c>
      <c r="C372" s="1074">
        <v>0</v>
      </c>
      <c r="D372" s="1074">
        <v>1233.98</v>
      </c>
      <c r="E372" s="1074">
        <v>1233.98</v>
      </c>
      <c r="F372" s="1072" t="s">
        <v>401</v>
      </c>
      <c r="G372" s="1072" t="s">
        <v>2685</v>
      </c>
      <c r="H372" s="1075"/>
      <c r="I372" s="1078"/>
      <c r="J372" s="1078"/>
      <c r="K372" s="1078"/>
      <c r="L372" s="153" t="str">
        <f t="shared" si="18"/>
        <v>6532</v>
      </c>
      <c r="M372" s="154" t="str">
        <f t="shared" si="19"/>
        <v>RRQ RAMQ AC</v>
      </c>
      <c r="N372" s="155">
        <f>+IF(OR($Q372=Parametres!$G$2,$Q372=Parametres!$G$3),I372,C372)</f>
        <v>0</v>
      </c>
      <c r="O372" s="155">
        <f>+IF(OR($Q372=Parametres!$G$2,$Q372=Parametres!$G$3),J372,D372)</f>
        <v>1233.98</v>
      </c>
      <c r="P372" s="155">
        <f>+IF(OR($Q372=Parametres!$G$2,$Q372=Parametres!$G$3),K372,E372)</f>
        <v>1233.98</v>
      </c>
      <c r="Q372" s="154" t="str">
        <f t="shared" si="27"/>
        <v>7-Dépenses</v>
      </c>
      <c r="R372" s="153" t="str">
        <f t="shared" si="27"/>
        <v>6132</v>
      </c>
      <c r="S372" s="154">
        <f t="shared" si="27"/>
        <v>0</v>
      </c>
      <c r="T372" s="156" t="str">
        <f>+VLOOKUP($L372,Data_Validation!$A:$D,1,0)</f>
        <v>6532</v>
      </c>
      <c r="U372" s="156" t="str">
        <f>+VLOOKUP($L372,Data_Validation!$A:$D,3,0)</f>
        <v>Carrosserie</v>
      </c>
      <c r="V372" s="156" t="str">
        <f>+VLOOKUP($L372,Data_Validation!$A:$D,4,0)</f>
        <v>Déduction à la source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72" t="s">
        <v>1305</v>
      </c>
      <c r="B373" s="1072" t="s">
        <v>2693</v>
      </c>
      <c r="C373" s="1074">
        <v>0</v>
      </c>
      <c r="D373" s="1074">
        <v>532.33000000000004</v>
      </c>
      <c r="E373" s="1074">
        <v>532.33000000000004</v>
      </c>
      <c r="F373" s="1072" t="s">
        <v>401</v>
      </c>
      <c r="G373" s="1072" t="s">
        <v>2694</v>
      </c>
      <c r="H373" s="1075"/>
      <c r="I373" s="1078"/>
      <c r="J373" s="1078"/>
      <c r="K373" s="1078"/>
      <c r="L373" s="153" t="str">
        <f t="shared" si="18"/>
        <v>6539</v>
      </c>
      <c r="M373" s="154" t="str">
        <f t="shared" si="19"/>
        <v>ASSURANCE GROUPE</v>
      </c>
      <c r="N373" s="155">
        <f>+IF(OR($Q373=Parametres!$G$2,$Q373=Parametres!$G$3),I373,C373)</f>
        <v>0</v>
      </c>
      <c r="O373" s="155">
        <f>+IF(OR($Q373=Parametres!$G$2,$Q373=Parametres!$G$3),J373,D373)</f>
        <v>532.33000000000004</v>
      </c>
      <c r="P373" s="155">
        <f>+IF(OR($Q373=Parametres!$G$2,$Q373=Parametres!$G$3),K373,E373)</f>
        <v>532.33000000000004</v>
      </c>
      <c r="Q373" s="154" t="str">
        <f t="shared" si="27"/>
        <v>7-Dépenses</v>
      </c>
      <c r="R373" s="153" t="str">
        <f t="shared" si="27"/>
        <v>6139</v>
      </c>
      <c r="S373" s="154">
        <f t="shared" si="27"/>
        <v>0</v>
      </c>
      <c r="T373" s="156" t="str">
        <f>+VLOOKUP($L373,Data_Validation!$A:$D,1,0)</f>
        <v>6539</v>
      </c>
      <c r="U373" s="156" t="str">
        <f>+VLOOKUP($L373,Data_Validation!$A:$D,3,0)</f>
        <v>Carrosserie</v>
      </c>
      <c r="V373" s="156" t="str">
        <f>+VLOOKUP($L373,Data_Validation!$A:$D,4,0)</f>
        <v>Bénéfices marginaux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72" t="s">
        <v>934</v>
      </c>
      <c r="B374" s="1072" t="s">
        <v>2560</v>
      </c>
      <c r="C374" s="1074">
        <v>0</v>
      </c>
      <c r="D374" s="1074">
        <v>35</v>
      </c>
      <c r="E374" s="1074">
        <v>35</v>
      </c>
      <c r="F374" s="1072" t="s">
        <v>401</v>
      </c>
      <c r="G374" s="1072" t="s">
        <v>2561</v>
      </c>
      <c r="H374" s="1075"/>
      <c r="I374" s="1078"/>
      <c r="J374" s="1078"/>
      <c r="K374" s="1078"/>
      <c r="L374" s="153" t="str">
        <f t="shared" si="18"/>
        <v>6544</v>
      </c>
      <c r="M374" s="154" t="str">
        <f t="shared" si="19"/>
        <v>FORMATION</v>
      </c>
      <c r="N374" s="155">
        <f>+IF(OR($Q374=Parametres!$G$2,$Q374=Parametres!$G$3),I374,C374)</f>
        <v>0</v>
      </c>
      <c r="O374" s="155">
        <f>+IF(OR($Q374=Parametres!$G$2,$Q374=Parametres!$G$3),J374,D374)</f>
        <v>35</v>
      </c>
      <c r="P374" s="155">
        <f>+IF(OR($Q374=Parametres!$G$2,$Q374=Parametres!$G$3),K374,E374)</f>
        <v>35</v>
      </c>
      <c r="Q374" s="154" t="str">
        <f t="shared" si="27"/>
        <v>7-Dépenses</v>
      </c>
      <c r="R374" s="153" t="str">
        <f t="shared" si="27"/>
        <v>6144</v>
      </c>
      <c r="S374" s="154">
        <f t="shared" si="27"/>
        <v>0</v>
      </c>
      <c r="T374" s="156" t="str">
        <f>+VLOOKUP($L374,Data_Validation!$A:$D,1,0)</f>
        <v>6544</v>
      </c>
      <c r="U374" s="156" t="str">
        <f>+VLOOKUP($L374,Data_Validation!$A:$D,3,0)</f>
        <v>Carrosserie</v>
      </c>
      <c r="V374" s="156" t="str">
        <f>+VLOOKUP($L374,Data_Validation!$A:$D,4,0)</f>
        <v>Formation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72" t="s">
        <v>1186</v>
      </c>
      <c r="B375" s="1072" t="s">
        <v>2654</v>
      </c>
      <c r="C375" s="1074">
        <v>0</v>
      </c>
      <c r="D375" s="1074">
        <v>2149.3200000000002</v>
      </c>
      <c r="E375" s="1074">
        <v>2149.3200000000002</v>
      </c>
      <c r="F375" s="1072" t="s">
        <v>401</v>
      </c>
      <c r="G375" s="1072" t="s">
        <v>2632</v>
      </c>
      <c r="H375" s="1075"/>
      <c r="I375" s="1078"/>
      <c r="J375" s="1078"/>
      <c r="K375" s="1078"/>
      <c r="L375" s="153" t="str">
        <f t="shared" si="18"/>
        <v>6545</v>
      </c>
      <c r="M375" s="154" t="str">
        <f t="shared" si="19"/>
        <v>VEHICULE DE COMPAGNIE - DEPENS</v>
      </c>
      <c r="N375" s="155">
        <f>+IF(OR($Q375=Parametres!$G$2,$Q375=Parametres!$G$3),I375,C375)</f>
        <v>0</v>
      </c>
      <c r="O375" s="155">
        <f>+IF(OR($Q375=Parametres!$G$2,$Q375=Parametres!$G$3),J375,D375)</f>
        <v>2149.3200000000002</v>
      </c>
      <c r="P375" s="155">
        <f>+IF(OR($Q375=Parametres!$G$2,$Q375=Parametres!$G$3),K375,E375)</f>
        <v>2149.3200000000002</v>
      </c>
      <c r="Q375" s="154" t="str">
        <f t="shared" si="27"/>
        <v>7-Dépenses</v>
      </c>
      <c r="R375" s="153" t="str">
        <f t="shared" si="27"/>
        <v>6145</v>
      </c>
      <c r="S375" s="154">
        <f t="shared" si="27"/>
        <v>0</v>
      </c>
      <c r="T375" s="156" t="str">
        <f>+VLOOKUP($L375,Data_Validation!$A:$D,1,0)</f>
        <v>6545</v>
      </c>
      <c r="U375" s="156" t="str">
        <f>+VLOOKUP($L375,Data_Validation!$A:$D,3,0)</f>
        <v>Carrosserie</v>
      </c>
      <c r="V375" s="156" t="str">
        <f>+VLOOKUP($L375,Data_Validation!$A:$D,4,0)</f>
        <v>Frais véhicules de cie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72" t="s">
        <v>1180</v>
      </c>
      <c r="B376" s="1072" t="s">
        <v>2580</v>
      </c>
      <c r="C376" s="1074">
        <v>0</v>
      </c>
      <c r="D376" s="1074">
        <v>45.95</v>
      </c>
      <c r="E376" s="1074">
        <v>45.95</v>
      </c>
      <c r="F376" s="1072" t="s">
        <v>401</v>
      </c>
      <c r="G376" s="1072" t="s">
        <v>2581</v>
      </c>
      <c r="H376" s="1075"/>
      <c r="I376" s="1078"/>
      <c r="J376" s="1078"/>
      <c r="K376" s="1078"/>
      <c r="L376" s="153" t="str">
        <f t="shared" si="18"/>
        <v>6547</v>
      </c>
      <c r="M376" s="154" t="str">
        <f t="shared" si="19"/>
        <v>FRET/EXPRESS/TRANS. PAR CAMION</v>
      </c>
      <c r="N376" s="155">
        <f>+IF(OR($Q376=Parametres!$G$2,$Q376=Parametres!$G$3),I376,C376)</f>
        <v>0</v>
      </c>
      <c r="O376" s="155">
        <f>+IF(OR($Q376=Parametres!$G$2,$Q376=Parametres!$G$3),J376,D376)</f>
        <v>45.95</v>
      </c>
      <c r="P376" s="155">
        <f>+IF(OR($Q376=Parametres!$G$2,$Q376=Parametres!$G$3),K376,E376)</f>
        <v>45.95</v>
      </c>
      <c r="Q376" s="154" t="str">
        <f t="shared" si="27"/>
        <v>7-Dépenses</v>
      </c>
      <c r="R376" s="153" t="str">
        <f t="shared" si="27"/>
        <v>6147</v>
      </c>
      <c r="S376" s="154">
        <f t="shared" si="27"/>
        <v>0</v>
      </c>
      <c r="T376" s="156" t="str">
        <f>+VLOOKUP($L376,Data_Validation!$A:$D,1,0)</f>
        <v>6547</v>
      </c>
      <c r="U376" s="156" t="str">
        <f>+VLOOKUP($L376,Data_Validation!$A:$D,3,0)</f>
        <v>Carrosserie</v>
      </c>
      <c r="V376" s="156" t="str">
        <f>+VLOOKUP($L376,Data_Validation!$A:$D,4,0)</f>
        <v>Frais postaux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72" t="s">
        <v>1286</v>
      </c>
      <c r="B377" s="1072" t="s">
        <v>2701</v>
      </c>
      <c r="C377" s="1074">
        <v>0</v>
      </c>
      <c r="D377" s="1074">
        <v>1362.14</v>
      </c>
      <c r="E377" s="1074">
        <v>1362.14</v>
      </c>
      <c r="F377" s="1072" t="s">
        <v>401</v>
      </c>
      <c r="G377" s="1072" t="s">
        <v>2702</v>
      </c>
      <c r="H377" s="1075"/>
      <c r="I377" s="1078"/>
      <c r="J377" s="1078"/>
      <c r="K377" s="1078"/>
      <c r="L377" s="153" t="str">
        <f t="shared" si="18"/>
        <v>6551</v>
      </c>
      <c r="M377" s="154" t="str">
        <f t="shared" si="19"/>
        <v>DEP. DU TRAITEMENT DES DONNEES</v>
      </c>
      <c r="N377" s="155">
        <f>+IF(OR($Q377=Parametres!$G$2,$Q377=Parametres!$G$3),I377,C377)</f>
        <v>0</v>
      </c>
      <c r="O377" s="155">
        <f>+IF(OR($Q377=Parametres!$G$2,$Q377=Parametres!$G$3),J377,D377)</f>
        <v>1362.14</v>
      </c>
      <c r="P377" s="155">
        <f>+IF(OR($Q377=Parametres!$G$2,$Q377=Parametres!$G$3),K377,E377)</f>
        <v>1362.14</v>
      </c>
      <c r="Q377" s="154" t="str">
        <f t="shared" si="27"/>
        <v>7-Dépenses</v>
      </c>
      <c r="R377" s="153" t="str">
        <f t="shared" si="27"/>
        <v>6151</v>
      </c>
      <c r="S377" s="154">
        <f t="shared" si="27"/>
        <v>0</v>
      </c>
      <c r="T377" s="156" t="str">
        <f>+VLOOKUP($L377,Data_Validation!$A:$D,1,0)</f>
        <v>6551</v>
      </c>
      <c r="U377" s="156" t="str">
        <f>+VLOOKUP($L377,Data_Validation!$A:$D,3,0)</f>
        <v>Carrosserie</v>
      </c>
      <c r="V377" s="156" t="str">
        <f>+VLOOKUP($L377,Data_Validation!$A:$D,4,0)</f>
        <v>Informatique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72" t="s">
        <v>1206</v>
      </c>
      <c r="B378" s="1072" t="s">
        <v>2587</v>
      </c>
      <c r="C378" s="1074">
        <v>0</v>
      </c>
      <c r="D378" s="1074">
        <v>129.5</v>
      </c>
      <c r="E378" s="1074">
        <v>129.5</v>
      </c>
      <c r="F378" s="1072" t="s">
        <v>401</v>
      </c>
      <c r="G378" s="1072" t="s">
        <v>2588</v>
      </c>
      <c r="H378" s="1075"/>
      <c r="I378" s="1078"/>
      <c r="J378" s="1078"/>
      <c r="K378" s="1078"/>
      <c r="L378" s="153" t="str">
        <f t="shared" si="18"/>
        <v>6552</v>
      </c>
      <c r="M378" s="154" t="str">
        <f t="shared" si="19"/>
        <v>PAPETERIE</v>
      </c>
      <c r="N378" s="155">
        <f>+IF(OR($Q378=Parametres!$G$2,$Q378=Parametres!$G$3),I378,C378)</f>
        <v>0</v>
      </c>
      <c r="O378" s="155">
        <f>+IF(OR($Q378=Parametres!$G$2,$Q378=Parametres!$G$3),J378,D378)</f>
        <v>129.5</v>
      </c>
      <c r="P378" s="155">
        <f>+IF(OR($Q378=Parametres!$G$2,$Q378=Parametres!$G$3),K378,E378)</f>
        <v>129.5</v>
      </c>
      <c r="Q378" s="154" t="str">
        <f t="shared" si="27"/>
        <v>7-Dépenses</v>
      </c>
      <c r="R378" s="153" t="str">
        <f t="shared" si="27"/>
        <v>6152</v>
      </c>
      <c r="S378" s="154">
        <f t="shared" si="27"/>
        <v>0</v>
      </c>
      <c r="T378" s="156" t="str">
        <f>+VLOOKUP($L378,Data_Validation!$A:$D,1,0)</f>
        <v>6552</v>
      </c>
      <c r="U378" s="156" t="str">
        <f>+VLOOKUP($L378,Data_Validation!$A:$D,3,0)</f>
        <v>Carrosserie</v>
      </c>
      <c r="V378" s="156" t="str">
        <f>+VLOOKUP($L378,Data_Validation!$A:$D,4,0)</f>
        <v>Papeterie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72" t="s">
        <v>1154</v>
      </c>
      <c r="B379" s="1072" t="s">
        <v>2591</v>
      </c>
      <c r="C379" s="1074">
        <v>0</v>
      </c>
      <c r="D379" s="1074">
        <v>83.33</v>
      </c>
      <c r="E379" s="1074">
        <v>83.33</v>
      </c>
      <c r="F379" s="1072" t="s">
        <v>401</v>
      </c>
      <c r="G379" s="1072" t="s">
        <v>2592</v>
      </c>
      <c r="H379" s="1075"/>
      <c r="I379" s="1078"/>
      <c r="J379" s="1078"/>
      <c r="K379" s="1078"/>
      <c r="L379" s="153" t="str">
        <f t="shared" si="18"/>
        <v>6553</v>
      </c>
      <c r="M379" s="154" t="str">
        <f t="shared" si="19"/>
        <v>TELEPHONE ET TELEX</v>
      </c>
      <c r="N379" s="155">
        <f>+IF(OR($Q379=Parametres!$G$2,$Q379=Parametres!$G$3),I379,C379)</f>
        <v>0</v>
      </c>
      <c r="O379" s="155">
        <f>+IF(OR($Q379=Parametres!$G$2,$Q379=Parametres!$G$3),J379,D379)</f>
        <v>83.33</v>
      </c>
      <c r="P379" s="155">
        <f>+IF(OR($Q379=Parametres!$G$2,$Q379=Parametres!$G$3),K379,E379)</f>
        <v>83.33</v>
      </c>
      <c r="Q379" s="154" t="str">
        <f t="shared" si="27"/>
        <v>7-Dépenses</v>
      </c>
      <c r="R379" s="153" t="str">
        <f t="shared" si="27"/>
        <v>6153</v>
      </c>
      <c r="S379" s="154">
        <f t="shared" si="27"/>
        <v>0</v>
      </c>
      <c r="T379" s="156" t="str">
        <f>+VLOOKUP($L379,Data_Validation!$A:$D,1,0)</f>
        <v>6553</v>
      </c>
      <c r="U379" s="156" t="str">
        <f>+VLOOKUP($L379,Data_Validation!$A:$D,3,0)</f>
        <v>Carrosserie</v>
      </c>
      <c r="V379" s="156" t="str">
        <f>+VLOOKUP($L379,Data_Validation!$A:$D,4,0)</f>
        <v>Téléphone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72" t="s">
        <v>1237</v>
      </c>
      <c r="B380" s="1072" t="s">
        <v>2636</v>
      </c>
      <c r="C380" s="1074">
        <v>0</v>
      </c>
      <c r="D380" s="1074">
        <v>373.03</v>
      </c>
      <c r="E380" s="1074">
        <v>373.03</v>
      </c>
      <c r="F380" s="1072" t="s">
        <v>401</v>
      </c>
      <c r="G380" s="1072" t="s">
        <v>2637</v>
      </c>
      <c r="H380" s="1075"/>
      <c r="I380" s="1078"/>
      <c r="J380" s="1078"/>
      <c r="K380" s="1078"/>
      <c r="L380" s="153" t="str">
        <f t="shared" si="18"/>
        <v>6555</v>
      </c>
      <c r="M380" s="154" t="str">
        <f t="shared" si="19"/>
        <v>DEPENSES DIVERS</v>
      </c>
      <c r="N380" s="155">
        <f>+IF(OR($Q380=Parametres!$G$2,$Q380=Parametres!$G$3),I380,C380)</f>
        <v>0</v>
      </c>
      <c r="O380" s="155">
        <f>+IF(OR($Q380=Parametres!$G$2,$Q380=Parametres!$G$3),J380,D380)</f>
        <v>373.03</v>
      </c>
      <c r="P380" s="155">
        <f>+IF(OR($Q380=Parametres!$G$2,$Q380=Parametres!$G$3),K380,E380)</f>
        <v>373.03</v>
      </c>
      <c r="Q380" s="154" t="str">
        <f t="shared" si="27"/>
        <v>7-Dépenses</v>
      </c>
      <c r="R380" s="153" t="str">
        <f t="shared" si="27"/>
        <v>6155</v>
      </c>
      <c r="S380" s="154">
        <f t="shared" si="27"/>
        <v>0</v>
      </c>
      <c r="T380" s="156" t="str">
        <f>+VLOOKUP($L380,Data_Validation!$A:$D,1,0)</f>
        <v>6555</v>
      </c>
      <c r="U380" s="156" t="str">
        <f>+VLOOKUP($L380,Data_Validation!$A:$D,3,0)</f>
        <v>Carrosserie</v>
      </c>
      <c r="V380" s="156" t="str">
        <f>+VLOOKUP($L380,Data_Validation!$A:$D,4,0)</f>
        <v>Divers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72" t="s">
        <v>1217</v>
      </c>
      <c r="B381" s="1072" t="s">
        <v>2469</v>
      </c>
      <c r="C381" s="1074">
        <v>0</v>
      </c>
      <c r="D381" s="1074">
        <v>425.39</v>
      </c>
      <c r="E381" s="1074">
        <v>425.39</v>
      </c>
      <c r="F381" s="1072" t="s">
        <v>401</v>
      </c>
      <c r="G381" s="1072" t="s">
        <v>2470</v>
      </c>
      <c r="H381" s="1075"/>
      <c r="I381" s="1078"/>
      <c r="J381" s="1078"/>
      <c r="K381" s="1078"/>
      <c r="L381" s="153" t="str">
        <f t="shared" si="18"/>
        <v>6556</v>
      </c>
      <c r="M381" s="154" t="str">
        <f t="shared" si="19"/>
        <v>FRAIS REPRESENTATION</v>
      </c>
      <c r="N381" s="155">
        <f>+IF(OR($Q381=Parametres!$G$2,$Q381=Parametres!$G$3),I381,C381)</f>
        <v>0</v>
      </c>
      <c r="O381" s="155">
        <f>+IF(OR($Q381=Parametres!$G$2,$Q381=Parametres!$G$3),J381,D381)</f>
        <v>425.39</v>
      </c>
      <c r="P381" s="155">
        <f>+IF(OR($Q381=Parametres!$G$2,$Q381=Parametres!$G$3),K381,E381)</f>
        <v>425.39</v>
      </c>
      <c r="Q381" s="154" t="str">
        <f t="shared" si="27"/>
        <v>7-Dépenses</v>
      </c>
      <c r="R381" s="153" t="str">
        <f t="shared" si="27"/>
        <v>6156</v>
      </c>
      <c r="S381" s="154">
        <f t="shared" si="27"/>
        <v>0</v>
      </c>
      <c r="T381" s="156" t="str">
        <f>+VLOOKUP($L381,Data_Validation!$A:$D,1,0)</f>
        <v>6556</v>
      </c>
      <c r="U381" s="156" t="str">
        <f>+VLOOKUP($L381,Data_Validation!$A:$D,3,0)</f>
        <v>Carrosserie</v>
      </c>
      <c r="V381" s="156" t="str">
        <f>+VLOOKUP($L381,Data_Validation!$A:$D,4,0)</f>
        <v>Frais de déplacement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72" t="s">
        <v>1308</v>
      </c>
      <c r="B382" s="1072" t="s">
        <v>2661</v>
      </c>
      <c r="C382" s="1074">
        <v>0</v>
      </c>
      <c r="D382" s="1074">
        <v>988.34</v>
      </c>
      <c r="E382" s="1074">
        <v>988.34</v>
      </c>
      <c r="F382" s="1072" t="s">
        <v>401</v>
      </c>
      <c r="G382" s="1072" t="s">
        <v>2662</v>
      </c>
      <c r="H382" s="1075"/>
      <c r="I382" s="1078"/>
      <c r="J382" s="1078"/>
      <c r="K382" s="1078"/>
      <c r="L382" s="153" t="str">
        <f t="shared" si="18"/>
        <v>6559</v>
      </c>
      <c r="M382" s="154" t="str">
        <f t="shared" si="19"/>
        <v>SERVICE EXTERIEUR</v>
      </c>
      <c r="N382" s="155">
        <f>+IF(OR($Q382=Parametres!$G$2,$Q382=Parametres!$G$3),I382,C382)</f>
        <v>0</v>
      </c>
      <c r="O382" s="155">
        <f>+IF(OR($Q382=Parametres!$G$2,$Q382=Parametres!$G$3),J382,D382)</f>
        <v>988.34</v>
      </c>
      <c r="P382" s="155">
        <f>+IF(OR($Q382=Parametres!$G$2,$Q382=Parametres!$G$3),K382,E382)</f>
        <v>988.34</v>
      </c>
      <c r="Q382" s="154" t="str">
        <f t="shared" si="27"/>
        <v>7-Dépenses</v>
      </c>
      <c r="R382" s="153" t="str">
        <f t="shared" si="27"/>
        <v>6159</v>
      </c>
      <c r="S382" s="154">
        <f t="shared" si="27"/>
        <v>0</v>
      </c>
      <c r="T382" s="156" t="str">
        <f>+VLOOKUP($L382,Data_Validation!$A:$D,1,0)</f>
        <v>6559</v>
      </c>
      <c r="U382" s="156" t="str">
        <f>+VLOOKUP($L382,Data_Validation!$A:$D,3,0)</f>
        <v>Carrosserie</v>
      </c>
      <c r="V382" s="156" t="str">
        <f>+VLOOKUP($L382,Data_Validation!$A:$D,4,0)</f>
        <v>Services extérieurs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72" t="s">
        <v>1333</v>
      </c>
      <c r="B383" s="1072" t="s">
        <v>2652</v>
      </c>
      <c r="C383" s="1074">
        <v>0</v>
      </c>
      <c r="D383" s="1074">
        <v>630</v>
      </c>
      <c r="E383" s="1074">
        <v>630</v>
      </c>
      <c r="F383" s="1072" t="s">
        <v>401</v>
      </c>
      <c r="G383" s="1072" t="s">
        <v>2653</v>
      </c>
      <c r="H383" s="1075"/>
      <c r="I383" s="1078"/>
      <c r="J383" s="1078"/>
      <c r="K383" s="1078"/>
      <c r="L383" s="153" t="str">
        <f t="shared" si="18"/>
        <v>6561</v>
      </c>
      <c r="M383" s="154" t="str">
        <f t="shared" si="19"/>
        <v>DEPRECIATION EQUIP. &amp; FIXTURES</v>
      </c>
      <c r="N383" s="155">
        <f>+IF(OR($Q383=Parametres!$G$2,$Q383=Parametres!$G$3),I383,C383)</f>
        <v>0</v>
      </c>
      <c r="O383" s="155">
        <f>+IF(OR($Q383=Parametres!$G$2,$Q383=Parametres!$G$3),J383,D383)</f>
        <v>630</v>
      </c>
      <c r="P383" s="155">
        <f>+IF(OR($Q383=Parametres!$G$2,$Q383=Parametres!$G$3),K383,E383)</f>
        <v>630</v>
      </c>
      <c r="Q383" s="154" t="str">
        <f t="shared" si="27"/>
        <v>7-Dépenses</v>
      </c>
      <c r="R383" s="153" t="str">
        <f t="shared" si="27"/>
        <v>6161</v>
      </c>
      <c r="S383" s="154">
        <f t="shared" si="27"/>
        <v>0</v>
      </c>
      <c r="T383" s="156" t="str">
        <f>+VLOOKUP($L383,Data_Validation!$A:$D,1,0)</f>
        <v>6561</v>
      </c>
      <c r="U383" s="156" t="str">
        <f>+VLOOKUP($L383,Data_Validation!$A:$D,3,0)</f>
        <v>Carrosserie</v>
      </c>
      <c r="V383" s="156" t="str">
        <f>+VLOOKUP($L383,Data_Validation!$A:$D,4,0)</f>
        <v>Amortissement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72" t="s">
        <v>936</v>
      </c>
      <c r="B384" s="1072" t="s">
        <v>2471</v>
      </c>
      <c r="C384" s="1074">
        <v>0</v>
      </c>
      <c r="D384" s="1074">
        <v>28</v>
      </c>
      <c r="E384" s="1074">
        <v>28</v>
      </c>
      <c r="F384" s="1072" t="s">
        <v>401</v>
      </c>
      <c r="G384" s="1072" t="s">
        <v>2463</v>
      </c>
      <c r="H384" s="1075"/>
      <c r="I384" s="1078"/>
      <c r="J384" s="1078"/>
      <c r="K384" s="1078"/>
      <c r="L384" s="153" t="str">
        <f t="shared" si="18"/>
        <v>6562</v>
      </c>
      <c r="M384" s="154" t="str">
        <f t="shared" si="19"/>
        <v>LOCATION D'EQUIPEMENTS</v>
      </c>
      <c r="N384" s="155">
        <f>+IF(OR($Q384=Parametres!$G$2,$Q384=Parametres!$G$3),I384,C384)</f>
        <v>0</v>
      </c>
      <c r="O384" s="155">
        <f>+IF(OR($Q384=Parametres!$G$2,$Q384=Parametres!$G$3),J384,D384)</f>
        <v>28</v>
      </c>
      <c r="P384" s="155">
        <f>+IF(OR($Q384=Parametres!$G$2,$Q384=Parametres!$G$3),K384,E384)</f>
        <v>28</v>
      </c>
      <c r="Q384" s="154" t="str">
        <f t="shared" si="27"/>
        <v>7-Dépenses</v>
      </c>
      <c r="R384" s="153" t="str">
        <f t="shared" si="27"/>
        <v>6162</v>
      </c>
      <c r="S384" s="154">
        <f t="shared" si="27"/>
        <v>0</v>
      </c>
      <c r="T384" s="156" t="str">
        <f>+VLOOKUP($L384,Data_Validation!$A:$D,1,0)</f>
        <v>6562</v>
      </c>
      <c r="U384" s="156" t="str">
        <f>+VLOOKUP($L384,Data_Validation!$A:$D,3,0)</f>
        <v>Carrosserie</v>
      </c>
      <c r="V384" s="156" t="str">
        <f>+VLOOKUP($L384,Data_Validation!$A:$D,4,0)</f>
        <v>Location équipement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72" t="s">
        <v>1244</v>
      </c>
      <c r="B385" s="1072" t="s">
        <v>2603</v>
      </c>
      <c r="C385" s="1074">
        <v>0</v>
      </c>
      <c r="D385" s="1074">
        <v>256.89999999999998</v>
      </c>
      <c r="E385" s="1074">
        <v>256.89999999999998</v>
      </c>
      <c r="F385" s="1072" t="s">
        <v>401</v>
      </c>
      <c r="G385" s="1072" t="s">
        <v>2604</v>
      </c>
      <c r="H385" s="1075"/>
      <c r="I385" s="1078"/>
      <c r="J385" s="1078"/>
      <c r="K385" s="1078"/>
      <c r="L385" s="153" t="str">
        <f t="shared" si="18"/>
        <v>6581</v>
      </c>
      <c r="M385" s="154" t="str">
        <f t="shared" si="19"/>
        <v>CHAUFFAGE,ELECTRICITE,EAU-CARROS.</v>
      </c>
      <c r="N385" s="155">
        <f>+IF(OR($Q385=Parametres!$G$2,$Q385=Parametres!$G$3),I385,C385)</f>
        <v>0</v>
      </c>
      <c r="O385" s="155">
        <f>+IF(OR($Q385=Parametres!$G$2,$Q385=Parametres!$G$3),J385,D385)</f>
        <v>256.89999999999998</v>
      </c>
      <c r="P385" s="155">
        <f>+IF(OR($Q385=Parametres!$G$2,$Q385=Parametres!$G$3),K385,E385)</f>
        <v>256.89999999999998</v>
      </c>
      <c r="Q385" s="154" t="str">
        <f t="shared" si="27"/>
        <v>7-Dépenses</v>
      </c>
      <c r="R385" s="153" t="str">
        <f t="shared" si="27"/>
        <v>6181</v>
      </c>
      <c r="S385" s="154">
        <f t="shared" si="27"/>
        <v>0</v>
      </c>
      <c r="T385" s="156" t="str">
        <f>+VLOOKUP($L385,Data_Validation!$A:$D,1,0)</f>
        <v>6581</v>
      </c>
      <c r="U385" s="156" t="str">
        <f>+VLOOKUP($L385,Data_Validation!$A:$D,3,0)</f>
        <v>Carrosserie</v>
      </c>
      <c r="V385" s="156" t="str">
        <f>+VLOOKUP($L385,Data_Validation!$A:$D,4,0)</f>
        <v>Chauffage, éclairage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72" t="s">
        <v>1398</v>
      </c>
      <c r="B386" s="1072" t="s">
        <v>2708</v>
      </c>
      <c r="C386" s="1074">
        <v>0</v>
      </c>
      <c r="D386" s="1074">
        <v>1820.01</v>
      </c>
      <c r="E386" s="1074">
        <v>1820.01</v>
      </c>
      <c r="F386" s="1072" t="s">
        <v>401</v>
      </c>
      <c r="G386" s="1072" t="s">
        <v>2709</v>
      </c>
      <c r="H386" s="1075"/>
      <c r="I386" s="1078"/>
      <c r="J386" s="1078"/>
      <c r="K386" s="1078"/>
      <c r="L386" s="153" t="str">
        <f t="shared" si="18"/>
        <v>6582</v>
      </c>
      <c r="M386" s="154" t="str">
        <f t="shared" si="19"/>
        <v>LOYER - CARROSSERIE</v>
      </c>
      <c r="N386" s="155">
        <f>+IF(OR($Q386=Parametres!$G$2,$Q386=Parametres!$G$3),I386,C386)</f>
        <v>0</v>
      </c>
      <c r="O386" s="155">
        <f>+IF(OR($Q386=Parametres!$G$2,$Q386=Parametres!$G$3),J386,D386)</f>
        <v>1820.01</v>
      </c>
      <c r="P386" s="155">
        <f>+IF(OR($Q386=Parametres!$G$2,$Q386=Parametres!$G$3),K386,E386)</f>
        <v>1820.01</v>
      </c>
      <c r="Q386" s="154" t="str">
        <f t="shared" ref="Q386:S401" si="28">+F386</f>
        <v>7-Dépenses</v>
      </c>
      <c r="R386" s="153" t="str">
        <f t="shared" si="28"/>
        <v>6182</v>
      </c>
      <c r="S386" s="154">
        <f t="shared" si="28"/>
        <v>0</v>
      </c>
      <c r="T386" s="156" t="str">
        <f>+VLOOKUP($L386,Data_Validation!$A:$D,1,0)</f>
        <v>6582</v>
      </c>
      <c r="U386" s="156" t="str">
        <f>+VLOOKUP($L386,Data_Validation!$A:$D,3,0)</f>
        <v>Carrosserie</v>
      </c>
      <c r="V386" s="156" t="str">
        <f>+VLOOKUP($L386,Data_Validation!$A:$D,4,0)</f>
        <v>Loyer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72" t="s">
        <v>1255</v>
      </c>
      <c r="B387" s="1072" t="s">
        <v>2593</v>
      </c>
      <c r="C387" s="1074">
        <v>0</v>
      </c>
      <c r="D387" s="1074">
        <v>105</v>
      </c>
      <c r="E387" s="1074">
        <v>105</v>
      </c>
      <c r="F387" s="1072" t="s">
        <v>401</v>
      </c>
      <c r="G387" s="1072" t="s">
        <v>2594</v>
      </c>
      <c r="H387" s="1075"/>
      <c r="I387" s="1078"/>
      <c r="J387" s="1078"/>
      <c r="K387" s="1078"/>
      <c r="L387" s="153" t="str">
        <f t="shared" si="18"/>
        <v>6586</v>
      </c>
      <c r="M387" s="154" t="str">
        <f t="shared" si="19"/>
        <v>ASSURANCE BATISSE &amp; AMEL.-CARROS.</v>
      </c>
      <c r="N387" s="155">
        <f>+IF(OR($Q387=Parametres!$G$2,$Q387=Parametres!$G$3),I387,C387)</f>
        <v>0</v>
      </c>
      <c r="O387" s="155">
        <f>+IF(OR($Q387=Parametres!$G$2,$Q387=Parametres!$G$3),J387,D387)</f>
        <v>105</v>
      </c>
      <c r="P387" s="155">
        <f>+IF(OR($Q387=Parametres!$G$2,$Q387=Parametres!$G$3),K387,E387)</f>
        <v>105</v>
      </c>
      <c r="Q387" s="154" t="str">
        <f t="shared" si="28"/>
        <v>7-Dépenses</v>
      </c>
      <c r="R387" s="153" t="str">
        <f t="shared" si="28"/>
        <v>6186</v>
      </c>
      <c r="S387" s="154">
        <f t="shared" si="28"/>
        <v>0</v>
      </c>
      <c r="T387" s="156" t="str">
        <f>+VLOOKUP($L387,Data_Validation!$A:$D,1,0)</f>
        <v>6586</v>
      </c>
      <c r="U387" s="156" t="str">
        <f>+VLOOKUP($L387,Data_Validation!$A:$D,3,0)</f>
        <v>Carrosserie</v>
      </c>
      <c r="V387" s="156" t="str">
        <f>+VLOOKUP($L387,Data_Validation!$A:$D,4,0)</f>
        <v>Assurances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72" t="s">
        <v>1264</v>
      </c>
      <c r="B388" s="1072" t="s">
        <v>2613</v>
      </c>
      <c r="C388" s="1074">
        <v>0</v>
      </c>
      <c r="D388" s="1074">
        <v>329</v>
      </c>
      <c r="E388" s="1074">
        <v>329</v>
      </c>
      <c r="F388" s="1072" t="s">
        <v>401</v>
      </c>
      <c r="G388" s="1072" t="s">
        <v>2614</v>
      </c>
      <c r="H388" s="1075"/>
      <c r="I388" s="1078"/>
      <c r="J388" s="1078"/>
      <c r="K388" s="1078"/>
      <c r="L388" s="153" t="str">
        <f t="shared" si="18"/>
        <v>6587</v>
      </c>
      <c r="M388" s="154" t="str">
        <f t="shared" si="19"/>
        <v>TAXES FONCIERES - CAROSSERIE</v>
      </c>
      <c r="N388" s="155">
        <f>+IF(OR($Q388=Parametres!$G$2,$Q388=Parametres!$G$3),I388,C388)</f>
        <v>0</v>
      </c>
      <c r="O388" s="155">
        <f>+IF(OR($Q388=Parametres!$G$2,$Q388=Parametres!$G$3),J388,D388)</f>
        <v>329</v>
      </c>
      <c r="P388" s="155">
        <f>+IF(OR($Q388=Parametres!$G$2,$Q388=Parametres!$G$3),K388,E388)</f>
        <v>329</v>
      </c>
      <c r="Q388" s="154" t="str">
        <f t="shared" si="28"/>
        <v>7-Dépenses</v>
      </c>
      <c r="R388" s="153" t="str">
        <f t="shared" si="28"/>
        <v>6187</v>
      </c>
      <c r="S388" s="154">
        <f t="shared" si="28"/>
        <v>0</v>
      </c>
      <c r="T388" s="156" t="str">
        <f>+VLOOKUP($L388,Data_Validation!$A:$D,1,0)</f>
        <v>6587</v>
      </c>
      <c r="U388" s="156" t="str">
        <f>+VLOOKUP($L388,Data_Validation!$A:$D,3,0)</f>
        <v>Carrosserie</v>
      </c>
      <c r="V388" s="156" t="str">
        <f>+VLOOKUP($L388,Data_Validation!$A:$D,4,0)</f>
        <v>Taxes foncières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72" t="s">
        <v>1225</v>
      </c>
      <c r="B389" s="1072" t="s">
        <v>2596</v>
      </c>
      <c r="C389" s="1074">
        <v>0</v>
      </c>
      <c r="D389" s="1074">
        <v>220.5</v>
      </c>
      <c r="E389" s="1074">
        <v>220.5</v>
      </c>
      <c r="F389" s="1072" t="s">
        <v>401</v>
      </c>
      <c r="G389" s="1072" t="s">
        <v>2597</v>
      </c>
      <c r="H389" s="1075"/>
      <c r="I389" s="1078"/>
      <c r="J389" s="1078"/>
      <c r="K389" s="1078"/>
      <c r="L389" s="153" t="str">
        <f t="shared" si="18"/>
        <v>6593</v>
      </c>
      <c r="M389" s="154" t="str">
        <f t="shared" si="19"/>
        <v>AUTRES TAXES -CARROSSERIE</v>
      </c>
      <c r="N389" s="155">
        <f>+IF(OR($Q389=Parametres!$G$2,$Q389=Parametres!$G$3),I389,C389)</f>
        <v>0</v>
      </c>
      <c r="O389" s="155">
        <f>+IF(OR($Q389=Parametres!$G$2,$Q389=Parametres!$G$3),J389,D389)</f>
        <v>220.5</v>
      </c>
      <c r="P389" s="155">
        <f>+IF(OR($Q389=Parametres!$G$2,$Q389=Parametres!$G$3),K389,E389)</f>
        <v>220.5</v>
      </c>
      <c r="Q389" s="154" t="str">
        <f t="shared" si="28"/>
        <v>7-Dépenses</v>
      </c>
      <c r="R389" s="153" t="str">
        <f t="shared" si="28"/>
        <v>6193</v>
      </c>
      <c r="S389" s="154">
        <f t="shared" si="28"/>
        <v>0</v>
      </c>
      <c r="T389" s="156" t="str">
        <f>+VLOOKUP($L389,Data_Validation!$A:$D,1,0)</f>
        <v>6593</v>
      </c>
      <c r="U389" s="156" t="str">
        <f>+VLOOKUP($L389,Data_Validation!$A:$D,3,0)</f>
        <v>Carrosserie</v>
      </c>
      <c r="V389" s="156" t="str">
        <f>+VLOOKUP($L389,Data_Validation!$A:$D,4,0)</f>
        <v>Taxes d`affaires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72" t="s">
        <v>1271</v>
      </c>
      <c r="B390" s="1072" t="s">
        <v>2634</v>
      </c>
      <c r="C390" s="1074">
        <v>0</v>
      </c>
      <c r="D390" s="1074">
        <v>561.75</v>
      </c>
      <c r="E390" s="1074">
        <v>561.75</v>
      </c>
      <c r="F390" s="1072" t="s">
        <v>401</v>
      </c>
      <c r="G390" s="1072" t="s">
        <v>2635</v>
      </c>
      <c r="H390" s="1075"/>
      <c r="I390" s="1078"/>
      <c r="J390" s="1078"/>
      <c r="K390" s="1078"/>
      <c r="L390" s="153" t="str">
        <f t="shared" si="18"/>
        <v>6594</v>
      </c>
      <c r="M390" s="154" t="str">
        <f t="shared" si="19"/>
        <v>FRAIS PROFESSIONNEL-CARROS.</v>
      </c>
      <c r="N390" s="155">
        <f>+IF(OR($Q390=Parametres!$G$2,$Q390=Parametres!$G$3),I390,C390)</f>
        <v>0</v>
      </c>
      <c r="O390" s="155">
        <f>+IF(OR($Q390=Parametres!$G$2,$Q390=Parametres!$G$3),J390,D390)</f>
        <v>561.75</v>
      </c>
      <c r="P390" s="155">
        <f>+IF(OR($Q390=Parametres!$G$2,$Q390=Parametres!$G$3),K390,E390)</f>
        <v>561.75</v>
      </c>
      <c r="Q390" s="154" t="str">
        <f t="shared" si="28"/>
        <v>7-Dépenses</v>
      </c>
      <c r="R390" s="153" t="str">
        <f t="shared" si="28"/>
        <v>6194</v>
      </c>
      <c r="S390" s="154">
        <f t="shared" si="28"/>
        <v>0</v>
      </c>
      <c r="T390" s="156" t="str">
        <f>+VLOOKUP($L390,Data_Validation!$A:$D,1,0)</f>
        <v>6594</v>
      </c>
      <c r="U390" s="156" t="str">
        <f>+VLOOKUP($L390,Data_Validation!$A:$D,3,0)</f>
        <v>Carrosserie</v>
      </c>
      <c r="V390" s="156" t="str">
        <f>+VLOOKUP($L390,Data_Validation!$A:$D,4,0)</f>
        <v>Honoraires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72" t="s">
        <v>1374</v>
      </c>
      <c r="B391" s="1072" t="s">
        <v>2675</v>
      </c>
      <c r="C391" s="1074">
        <v>0</v>
      </c>
      <c r="D391" s="1074">
        <v>6086.65</v>
      </c>
      <c r="E391" s="1074">
        <v>6086.65</v>
      </c>
      <c r="F391" s="1072" t="s">
        <v>401</v>
      </c>
      <c r="G391" s="1072" t="s">
        <v>2113</v>
      </c>
      <c r="H391" s="1075"/>
      <c r="I391" s="1078"/>
      <c r="J391" s="1078"/>
      <c r="K391" s="1078"/>
      <c r="L391" s="153" t="str">
        <f t="shared" si="18"/>
        <v>6714</v>
      </c>
      <c r="M391" s="154" t="str">
        <f t="shared" si="19"/>
        <v>PUBLICITE</v>
      </c>
      <c r="N391" s="155">
        <f>+IF(OR($Q391=Parametres!$G$2,$Q391=Parametres!$G$3),I391,C391)</f>
        <v>0</v>
      </c>
      <c r="O391" s="155">
        <f>+IF(OR($Q391=Parametres!$G$2,$Q391=Parametres!$G$3),J391,D391)</f>
        <v>6086.65</v>
      </c>
      <c r="P391" s="155">
        <f>+IF(OR($Q391=Parametres!$G$2,$Q391=Parametres!$G$3),K391,E391)</f>
        <v>6086.65</v>
      </c>
      <c r="Q391" s="154" t="str">
        <f t="shared" si="28"/>
        <v>7-Dépenses</v>
      </c>
      <c r="R391" s="153" t="str">
        <f t="shared" si="28"/>
        <v>6114</v>
      </c>
      <c r="S391" s="154">
        <f t="shared" si="28"/>
        <v>0</v>
      </c>
      <c r="T391" s="156" t="str">
        <f>+VLOOKUP($L391,Data_Validation!$A:$D,1,0)</f>
        <v>6714</v>
      </c>
      <c r="U391" s="156" t="str">
        <f>+VLOOKUP($L391,Data_Validation!$A:$D,3,0)</f>
        <v>Pièces</v>
      </c>
      <c r="V391" s="156" t="str">
        <f>+VLOOKUP($L391,Data_Validation!$A:$D,4,0)</f>
        <v>Publicité 2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72" t="s">
        <v>1357</v>
      </c>
      <c r="B392" s="1072" t="s">
        <v>2715</v>
      </c>
      <c r="C392" s="1074">
        <v>0</v>
      </c>
      <c r="D392" s="1074">
        <v>7310.76</v>
      </c>
      <c r="E392" s="1074">
        <v>7310.76</v>
      </c>
      <c r="F392" s="1072" t="s">
        <v>401</v>
      </c>
      <c r="G392" s="1072" t="s">
        <v>2648</v>
      </c>
      <c r="H392" s="1075"/>
      <c r="I392" s="1078"/>
      <c r="J392" s="1078"/>
      <c r="K392" s="1078"/>
      <c r="L392" s="153" t="str">
        <f t="shared" si="18"/>
        <v>6721</v>
      </c>
      <c r="M392" s="154" t="str">
        <f t="shared" si="19"/>
        <v>SALAIRES - PROPRIEATIRES</v>
      </c>
      <c r="N392" s="155">
        <f>+IF(OR($Q392=Parametres!$G$2,$Q392=Parametres!$G$3),I392,C392)</f>
        <v>0</v>
      </c>
      <c r="O392" s="155">
        <f>+IF(OR($Q392=Parametres!$G$2,$Q392=Parametres!$G$3),J392,D392)</f>
        <v>7310.76</v>
      </c>
      <c r="P392" s="155">
        <f>+IF(OR($Q392=Parametres!$G$2,$Q392=Parametres!$G$3),K392,E392)</f>
        <v>7310.76</v>
      </c>
      <c r="Q392" s="154" t="str">
        <f t="shared" si="28"/>
        <v>7-Dépenses</v>
      </c>
      <c r="R392" s="153" t="str">
        <f t="shared" si="28"/>
        <v>6121</v>
      </c>
      <c r="S392" s="154">
        <f t="shared" si="28"/>
        <v>0</v>
      </c>
      <c r="T392" s="156" t="str">
        <f>+VLOOKUP($L392,Data_Validation!$A:$D,1,0)</f>
        <v>6721</v>
      </c>
      <c r="U392" s="156" t="str">
        <f>+VLOOKUP($L392,Data_Validation!$A:$D,3,0)</f>
        <v>Pièces</v>
      </c>
      <c r="V392" s="156" t="str">
        <f>+VLOOKUP($L392,Data_Validation!$A:$D,4,0)</f>
        <v>Salaires propriétaire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72" t="s">
        <v>2624</v>
      </c>
      <c r="B393" s="1072" t="s">
        <v>2765</v>
      </c>
      <c r="C393" s="1074">
        <v>0</v>
      </c>
      <c r="D393" s="1074">
        <v>11779.79</v>
      </c>
      <c r="E393" s="1074">
        <v>11779.79</v>
      </c>
      <c r="F393" s="1072" t="s">
        <v>401</v>
      </c>
      <c r="G393" s="1072" t="s">
        <v>2626</v>
      </c>
      <c r="H393" s="1075"/>
      <c r="I393" s="1078"/>
      <c r="J393" s="1078"/>
      <c r="K393" s="1078"/>
      <c r="L393" s="153" t="str">
        <f t="shared" si="18"/>
        <v>6722</v>
      </c>
      <c r="M393" s="154" t="str">
        <f t="shared" si="19"/>
        <v>SAL SUPERVISION / GERANT</v>
      </c>
      <c r="N393" s="155">
        <f>+IF(OR($Q393=Parametres!$G$2,$Q393=Parametres!$G$3),I393,C393)</f>
        <v>0</v>
      </c>
      <c r="O393" s="155">
        <f>+IF(OR($Q393=Parametres!$G$2,$Q393=Parametres!$G$3),J393,D393)</f>
        <v>11779.79</v>
      </c>
      <c r="P393" s="155">
        <f>+IF(OR($Q393=Parametres!$G$2,$Q393=Parametres!$G$3),K393,E393)</f>
        <v>11779.79</v>
      </c>
      <c r="Q393" s="154" t="str">
        <f t="shared" si="28"/>
        <v>7-Dépenses</v>
      </c>
      <c r="R393" s="153" t="str">
        <f t="shared" si="28"/>
        <v>6122</v>
      </c>
      <c r="S393" s="154">
        <f t="shared" si="28"/>
        <v>0</v>
      </c>
      <c r="T393" s="156" t="str">
        <f>+VLOOKUP($L393,Data_Validation!$A:$D,1,0)</f>
        <v>6722</v>
      </c>
      <c r="U393" s="156" t="str">
        <f>+VLOOKUP($L393,Data_Validation!$A:$D,3,0)</f>
        <v>Pièces</v>
      </c>
      <c r="V393" s="156" t="str">
        <f>+VLOOKUP($L393,Data_Validation!$A:$D,4,0)</f>
        <v>Salaires cadres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72" t="s">
        <v>1342</v>
      </c>
      <c r="B394" s="1072" t="s">
        <v>2731</v>
      </c>
      <c r="C394" s="1074">
        <v>0</v>
      </c>
      <c r="D394" s="1074">
        <v>4025.74</v>
      </c>
      <c r="E394" s="1074">
        <v>4025.74</v>
      </c>
      <c r="F394" s="1072" t="s">
        <v>401</v>
      </c>
      <c r="G394" s="1072" t="s">
        <v>2679</v>
      </c>
      <c r="H394" s="1075"/>
      <c r="I394" s="1078"/>
      <c r="J394" s="1078"/>
      <c r="K394" s="1078"/>
      <c r="L394" s="153" t="str">
        <f t="shared" si="18"/>
        <v>6723</v>
      </c>
      <c r="M394" s="154" t="str">
        <f t="shared" si="19"/>
        <v>SAL. &amp; RENUM. - CLERICAL</v>
      </c>
      <c r="N394" s="155">
        <f>+IF(OR($Q394=Parametres!$G$2,$Q394=Parametres!$G$3),I394,C394)</f>
        <v>0</v>
      </c>
      <c r="O394" s="155">
        <f>+IF(OR($Q394=Parametres!$G$2,$Q394=Parametres!$G$3),J394,D394)</f>
        <v>4025.74</v>
      </c>
      <c r="P394" s="155">
        <f>+IF(OR($Q394=Parametres!$G$2,$Q394=Parametres!$G$3),K394,E394)</f>
        <v>4025.74</v>
      </c>
      <c r="Q394" s="154" t="str">
        <f t="shared" si="28"/>
        <v>7-Dépenses</v>
      </c>
      <c r="R394" s="153" t="str">
        <f t="shared" si="28"/>
        <v>6123</v>
      </c>
      <c r="S394" s="154">
        <f t="shared" si="28"/>
        <v>0</v>
      </c>
      <c r="T394" s="156" t="str">
        <f>+VLOOKUP($L394,Data_Validation!$A:$D,1,0)</f>
        <v>6723</v>
      </c>
      <c r="U394" s="156" t="str">
        <f>+VLOOKUP($L394,Data_Validation!$A:$D,3,0)</f>
        <v>Pièces</v>
      </c>
      <c r="V394" s="156" t="str">
        <f>+VLOOKUP($L394,Data_Validation!$A:$D,4,0)</f>
        <v>Salaires commis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72" t="s">
        <v>1249</v>
      </c>
      <c r="B395" s="1072" t="s">
        <v>2800</v>
      </c>
      <c r="C395" s="1074">
        <v>0</v>
      </c>
      <c r="D395" s="1074">
        <v>14802.97</v>
      </c>
      <c r="E395" s="1074">
        <v>14802.97</v>
      </c>
      <c r="F395" s="1072" t="s">
        <v>401</v>
      </c>
      <c r="G395" s="1072" t="s">
        <v>2735</v>
      </c>
      <c r="H395" s="1075"/>
      <c r="I395" s="1078"/>
      <c r="J395" s="1078"/>
      <c r="K395" s="1078"/>
      <c r="L395" s="153" t="str">
        <f t="shared" si="18"/>
        <v>6724</v>
      </c>
      <c r="M395" s="154" t="str">
        <f t="shared" si="19"/>
        <v>SALAIRES &amp; RENUM. - AUTRES</v>
      </c>
      <c r="N395" s="155">
        <f>+IF(OR($Q395=Parametres!$G$2,$Q395=Parametres!$G$3),I395,C395)</f>
        <v>0</v>
      </c>
      <c r="O395" s="155">
        <f>+IF(OR($Q395=Parametres!$G$2,$Q395=Parametres!$G$3),J395,D395)</f>
        <v>14802.97</v>
      </c>
      <c r="P395" s="155">
        <f>+IF(OR($Q395=Parametres!$G$2,$Q395=Parametres!$G$3),K395,E395)</f>
        <v>14802.97</v>
      </c>
      <c r="Q395" s="154" t="str">
        <f t="shared" si="28"/>
        <v>7-Dépenses</v>
      </c>
      <c r="R395" s="153" t="str">
        <f t="shared" si="28"/>
        <v>6124</v>
      </c>
      <c r="S395" s="154">
        <f t="shared" si="28"/>
        <v>0</v>
      </c>
      <c r="T395" s="156" t="str">
        <f>+VLOOKUP($L395,Data_Validation!$A:$D,1,0)</f>
        <v>6724</v>
      </c>
      <c r="U395" s="156" t="str">
        <f>+VLOOKUP($L395,Data_Validation!$A:$D,3,0)</f>
        <v>Pièces</v>
      </c>
      <c r="V395" s="156" t="str">
        <f>+VLOOKUP($L395,Data_Validation!$A:$D,4,0)</f>
        <v>Salaires autres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72" t="s">
        <v>1328</v>
      </c>
      <c r="B396" s="1072" t="s">
        <v>2722</v>
      </c>
      <c r="C396" s="1074">
        <v>0</v>
      </c>
      <c r="D396" s="1074">
        <v>3761.83</v>
      </c>
      <c r="E396" s="1074">
        <v>3761.83</v>
      </c>
      <c r="F396" s="1072" t="s">
        <v>401</v>
      </c>
      <c r="G396" s="1072" t="s">
        <v>2641</v>
      </c>
      <c r="H396" s="1075"/>
      <c r="I396" s="1078"/>
      <c r="J396" s="1078"/>
      <c r="K396" s="1078"/>
      <c r="L396" s="153" t="str">
        <f t="shared" si="18"/>
        <v>6729</v>
      </c>
      <c r="M396" s="154" t="str">
        <f t="shared" si="19"/>
        <v>ABSENCES, VACANCES, ETC</v>
      </c>
      <c r="N396" s="155">
        <f>+IF(OR($Q396=Parametres!$G$2,$Q396=Parametres!$G$3),I396,C396)</f>
        <v>0</v>
      </c>
      <c r="O396" s="155">
        <f>+IF(OR($Q396=Parametres!$G$2,$Q396=Parametres!$G$3),J396,D396)</f>
        <v>3761.83</v>
      </c>
      <c r="P396" s="155">
        <f>+IF(OR($Q396=Parametres!$G$2,$Q396=Parametres!$G$3),K396,E396)</f>
        <v>3761.83</v>
      </c>
      <c r="Q396" s="154" t="str">
        <f t="shared" si="28"/>
        <v>7-Dépenses</v>
      </c>
      <c r="R396" s="153" t="str">
        <f t="shared" si="28"/>
        <v>6129</v>
      </c>
      <c r="S396" s="154">
        <f t="shared" si="28"/>
        <v>0</v>
      </c>
      <c r="T396" s="156" t="str">
        <f>+VLOOKUP($L396,Data_Validation!$A:$D,1,0)</f>
        <v>6729</v>
      </c>
      <c r="U396" s="156" t="str">
        <f>+VLOOKUP($L396,Data_Validation!$A:$D,3,0)</f>
        <v>Pièces</v>
      </c>
      <c r="V396" s="156" t="str">
        <f>+VLOOKUP($L396,Data_Validation!$A:$D,4,0)</f>
        <v>Salaires en absences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72" t="s">
        <v>1252</v>
      </c>
      <c r="B397" s="1072" t="s">
        <v>2667</v>
      </c>
      <c r="C397" s="1074">
        <v>0</v>
      </c>
      <c r="D397" s="1074">
        <v>987.92</v>
      </c>
      <c r="E397" s="1074">
        <v>987.92</v>
      </c>
      <c r="F397" s="1072" t="s">
        <v>401</v>
      </c>
      <c r="G397" s="1072" t="s">
        <v>2586</v>
      </c>
      <c r="H397" s="1075"/>
      <c r="I397" s="1078"/>
      <c r="J397" s="1078"/>
      <c r="K397" s="1078"/>
      <c r="L397" s="153" t="str">
        <f t="shared" si="18"/>
        <v>6731</v>
      </c>
      <c r="M397" s="154" t="str">
        <f t="shared" si="19"/>
        <v>CSST</v>
      </c>
      <c r="N397" s="155">
        <f>+IF(OR($Q397=Parametres!$G$2,$Q397=Parametres!$G$3),I397,C397)</f>
        <v>0</v>
      </c>
      <c r="O397" s="155">
        <f>+IF(OR($Q397=Parametres!$G$2,$Q397=Parametres!$G$3),J397,D397)</f>
        <v>987.92</v>
      </c>
      <c r="P397" s="155">
        <f>+IF(OR($Q397=Parametres!$G$2,$Q397=Parametres!$G$3),K397,E397)</f>
        <v>987.92</v>
      </c>
      <c r="Q397" s="154" t="str">
        <f t="shared" si="28"/>
        <v>7-Dépenses</v>
      </c>
      <c r="R397" s="153" t="str">
        <f t="shared" si="28"/>
        <v>6131</v>
      </c>
      <c r="S397" s="154">
        <f t="shared" si="28"/>
        <v>0</v>
      </c>
      <c r="T397" s="156" t="str">
        <f>+VLOOKUP($L397,Data_Validation!$A:$D,1,0)</f>
        <v>6731</v>
      </c>
      <c r="U397" s="156" t="str">
        <f>+VLOOKUP($L397,Data_Validation!$A:$D,3,0)</f>
        <v>Pièces</v>
      </c>
      <c r="V397" s="156" t="str">
        <f>+VLOOKUP($L397,Data_Validation!$A:$D,4,0)</f>
        <v>Salaires en absences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72" t="s">
        <v>1283</v>
      </c>
      <c r="B398" s="1072" t="s">
        <v>2733</v>
      </c>
      <c r="C398" s="1074">
        <v>0</v>
      </c>
      <c r="D398" s="1074">
        <v>3740.63</v>
      </c>
      <c r="E398" s="1074">
        <v>3740.63</v>
      </c>
      <c r="F398" s="1072" t="s">
        <v>401</v>
      </c>
      <c r="G398" s="1072" t="s">
        <v>2685</v>
      </c>
      <c r="H398" s="1075"/>
      <c r="I398" s="1078"/>
      <c r="J398" s="1078"/>
      <c r="K398" s="1078"/>
      <c r="L398" s="153" t="str">
        <f t="shared" si="18"/>
        <v>6732</v>
      </c>
      <c r="M398" s="154" t="str">
        <f t="shared" si="19"/>
        <v>RRQ RAMQ AC</v>
      </c>
      <c r="N398" s="155">
        <f>+IF(OR($Q398=Parametres!$G$2,$Q398=Parametres!$G$3),I398,C398)</f>
        <v>0</v>
      </c>
      <c r="O398" s="155">
        <f>+IF(OR($Q398=Parametres!$G$2,$Q398=Parametres!$G$3),J398,D398)</f>
        <v>3740.63</v>
      </c>
      <c r="P398" s="155">
        <f>+IF(OR($Q398=Parametres!$G$2,$Q398=Parametres!$G$3),K398,E398)</f>
        <v>3740.63</v>
      </c>
      <c r="Q398" s="154" t="str">
        <f t="shared" si="28"/>
        <v>7-Dépenses</v>
      </c>
      <c r="R398" s="153" t="str">
        <f t="shared" si="28"/>
        <v>6132</v>
      </c>
      <c r="S398" s="154">
        <f t="shared" si="28"/>
        <v>0</v>
      </c>
      <c r="T398" s="156" t="str">
        <f>+VLOOKUP($L398,Data_Validation!$A:$D,1,0)</f>
        <v>6732</v>
      </c>
      <c r="U398" s="156" t="str">
        <f>+VLOOKUP($L398,Data_Validation!$A:$D,3,0)</f>
        <v>Pièces</v>
      </c>
      <c r="V398" s="156" t="str">
        <f>+VLOOKUP($L398,Data_Validation!$A:$D,4,0)</f>
        <v>Csst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72" t="s">
        <v>1305</v>
      </c>
      <c r="B399" s="1072" t="s">
        <v>2744</v>
      </c>
      <c r="C399" s="1074">
        <v>0</v>
      </c>
      <c r="D399" s="1074">
        <v>4200.24</v>
      </c>
      <c r="E399" s="1074">
        <v>4200.24</v>
      </c>
      <c r="F399" s="1072" t="s">
        <v>401</v>
      </c>
      <c r="G399" s="1072" t="s">
        <v>2694</v>
      </c>
      <c r="H399" s="1075"/>
      <c r="I399" s="1078"/>
      <c r="J399" s="1078"/>
      <c r="K399" s="1078"/>
      <c r="L399" s="153" t="str">
        <f t="shared" si="18"/>
        <v>6739</v>
      </c>
      <c r="M399" s="154" t="str">
        <f t="shared" si="19"/>
        <v>ASSURANCE GROUPE</v>
      </c>
      <c r="N399" s="155">
        <f>+IF(OR($Q399=Parametres!$G$2,$Q399=Parametres!$G$3),I399,C399)</f>
        <v>0</v>
      </c>
      <c r="O399" s="155">
        <f>+IF(OR($Q399=Parametres!$G$2,$Q399=Parametres!$G$3),J399,D399)</f>
        <v>4200.24</v>
      </c>
      <c r="P399" s="155">
        <f>+IF(OR($Q399=Parametres!$G$2,$Q399=Parametres!$G$3),K399,E399)</f>
        <v>4200.24</v>
      </c>
      <c r="Q399" s="154" t="str">
        <f t="shared" si="28"/>
        <v>7-Dépenses</v>
      </c>
      <c r="R399" s="153" t="str">
        <f t="shared" si="28"/>
        <v>6139</v>
      </c>
      <c r="S399" s="154">
        <f t="shared" si="28"/>
        <v>0</v>
      </c>
      <c r="T399" s="156" t="str">
        <f>+VLOOKUP($L399,Data_Validation!$A:$D,1,0)</f>
        <v>6739</v>
      </c>
      <c r="U399" s="156" t="str">
        <f>+VLOOKUP($L399,Data_Validation!$A:$D,3,0)</f>
        <v>Pièces</v>
      </c>
      <c r="V399" s="156" t="str">
        <f>+VLOOKUP($L399,Data_Validation!$A:$D,4,0)</f>
        <v>Bénéfices marginaux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72" t="s">
        <v>1157</v>
      </c>
      <c r="B400" s="1072" t="s">
        <v>2598</v>
      </c>
      <c r="C400" s="1074">
        <v>0</v>
      </c>
      <c r="D400" s="1074">
        <v>105</v>
      </c>
      <c r="E400" s="1074">
        <v>105</v>
      </c>
      <c r="F400" s="1072" t="s">
        <v>401</v>
      </c>
      <c r="G400" s="1072" t="s">
        <v>2563</v>
      </c>
      <c r="H400" s="1075"/>
      <c r="I400" s="1078"/>
      <c r="J400" s="1078"/>
      <c r="K400" s="1078"/>
      <c r="L400" s="153" t="str">
        <f t="shared" si="18"/>
        <v>6742</v>
      </c>
      <c r="M400" s="154" t="str">
        <f t="shared" si="19"/>
        <v>FOURNITURES &amp; PETITS OUTILS</v>
      </c>
      <c r="N400" s="155">
        <f>+IF(OR($Q400=Parametres!$G$2,$Q400=Parametres!$G$3),I400,C400)</f>
        <v>0</v>
      </c>
      <c r="O400" s="155">
        <f>+IF(OR($Q400=Parametres!$G$2,$Q400=Parametres!$G$3),J400,D400)</f>
        <v>105</v>
      </c>
      <c r="P400" s="155">
        <f>+IF(OR($Q400=Parametres!$G$2,$Q400=Parametres!$G$3),K400,E400)</f>
        <v>105</v>
      </c>
      <c r="Q400" s="154" t="str">
        <f t="shared" si="28"/>
        <v>7-Dépenses</v>
      </c>
      <c r="R400" s="153" t="str">
        <f t="shared" si="28"/>
        <v>6142</v>
      </c>
      <c r="S400" s="154">
        <f t="shared" si="28"/>
        <v>0</v>
      </c>
      <c r="T400" s="156" t="str">
        <f>+VLOOKUP($L400,Data_Validation!$A:$D,1,0)</f>
        <v>6742</v>
      </c>
      <c r="U400" s="156" t="str">
        <f>+VLOOKUP($L400,Data_Validation!$A:$D,3,0)</f>
        <v>Pièces</v>
      </c>
      <c r="V400" s="156" t="str">
        <f>+VLOOKUP($L400,Data_Validation!$A:$D,4,0)</f>
        <v>Fournitures autres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72" t="s">
        <v>932</v>
      </c>
      <c r="B401" s="1072" t="s">
        <v>2474</v>
      </c>
      <c r="C401" s="1074">
        <v>0</v>
      </c>
      <c r="D401" s="1074">
        <v>170</v>
      </c>
      <c r="E401" s="1074">
        <v>170</v>
      </c>
      <c r="F401" s="1072" t="s">
        <v>401</v>
      </c>
      <c r="G401" s="1072" t="s">
        <v>2159</v>
      </c>
      <c r="H401" s="1075"/>
      <c r="I401" s="1078"/>
      <c r="J401" s="1078"/>
      <c r="K401" s="1078"/>
      <c r="L401" s="153" t="str">
        <f t="shared" si="18"/>
        <v>6743</v>
      </c>
      <c r="M401" s="154" t="str">
        <f t="shared" si="19"/>
        <v>UNIFORMES &amp; LESSIVE</v>
      </c>
      <c r="N401" s="155">
        <f>+IF(OR($Q401=Parametres!$G$2,$Q401=Parametres!$G$3),I401,C401)</f>
        <v>0</v>
      </c>
      <c r="O401" s="155">
        <f>+IF(OR($Q401=Parametres!$G$2,$Q401=Parametres!$G$3),J401,D401)</f>
        <v>170</v>
      </c>
      <c r="P401" s="155">
        <f>+IF(OR($Q401=Parametres!$G$2,$Q401=Parametres!$G$3),K401,E401)</f>
        <v>170</v>
      </c>
      <c r="Q401" s="154" t="str">
        <f t="shared" si="28"/>
        <v>7-Dépenses</v>
      </c>
      <c r="R401" s="153" t="str">
        <f t="shared" si="28"/>
        <v>6143</v>
      </c>
      <c r="S401" s="154">
        <f t="shared" si="28"/>
        <v>0</v>
      </c>
      <c r="T401" s="156" t="str">
        <f>+VLOOKUP($L401,Data_Validation!$A:$D,1,0)</f>
        <v>6743</v>
      </c>
      <c r="U401" s="156" t="str">
        <f>+VLOOKUP($L401,Data_Validation!$A:$D,3,0)</f>
        <v>Pièces</v>
      </c>
      <c r="V401" s="156" t="str">
        <f>+VLOOKUP($L401,Data_Validation!$A:$D,4,0)</f>
        <v>Uniformes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72" t="s">
        <v>934</v>
      </c>
      <c r="B402" s="1072" t="s">
        <v>2573</v>
      </c>
      <c r="C402" s="1074">
        <v>0</v>
      </c>
      <c r="D402" s="1074">
        <v>325</v>
      </c>
      <c r="E402" s="1074">
        <v>325</v>
      </c>
      <c r="F402" s="1072" t="s">
        <v>401</v>
      </c>
      <c r="G402" s="1072" t="s">
        <v>2561</v>
      </c>
      <c r="H402" s="1075"/>
      <c r="I402" s="1078"/>
      <c r="J402" s="1078"/>
      <c r="K402" s="1078"/>
      <c r="L402" s="153" t="str">
        <f t="shared" si="18"/>
        <v>6744</v>
      </c>
      <c r="M402" s="154" t="str">
        <f t="shared" si="19"/>
        <v>FORMATION</v>
      </c>
      <c r="N402" s="155">
        <f>+IF(OR($Q402=Parametres!$G$2,$Q402=Parametres!$G$3),I402,C402)</f>
        <v>0</v>
      </c>
      <c r="O402" s="155">
        <f>+IF(OR($Q402=Parametres!$G$2,$Q402=Parametres!$G$3),J402,D402)</f>
        <v>325</v>
      </c>
      <c r="P402" s="155">
        <f>+IF(OR($Q402=Parametres!$G$2,$Q402=Parametres!$G$3),K402,E402)</f>
        <v>325</v>
      </c>
      <c r="Q402" s="154" t="str">
        <f t="shared" ref="Q402:S417" si="29">+F402</f>
        <v>7-Dépenses</v>
      </c>
      <c r="R402" s="153" t="str">
        <f t="shared" si="29"/>
        <v>6144</v>
      </c>
      <c r="S402" s="154">
        <f t="shared" si="29"/>
        <v>0</v>
      </c>
      <c r="T402" s="156" t="str">
        <f>+VLOOKUP($L402,Data_Validation!$A:$D,1,0)</f>
        <v>6744</v>
      </c>
      <c r="U402" s="156" t="str">
        <f>+VLOOKUP($L402,Data_Validation!$A:$D,3,0)</f>
        <v>Pièces</v>
      </c>
      <c r="V402" s="156" t="str">
        <f>+VLOOKUP($L402,Data_Validation!$A:$D,4,0)</f>
        <v>Formation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72" t="s">
        <v>1186</v>
      </c>
      <c r="B403" s="1072" t="s">
        <v>2631</v>
      </c>
      <c r="C403" s="1074">
        <v>0</v>
      </c>
      <c r="D403" s="1074">
        <v>1234.4100000000001</v>
      </c>
      <c r="E403" s="1074">
        <v>1234.4100000000001</v>
      </c>
      <c r="F403" s="1072" t="s">
        <v>401</v>
      </c>
      <c r="G403" s="1072" t="s">
        <v>2632</v>
      </c>
      <c r="H403" s="1075"/>
      <c r="I403" s="1078"/>
      <c r="J403" s="1078"/>
      <c r="K403" s="1078"/>
      <c r="L403" s="153" t="str">
        <f t="shared" si="18"/>
        <v>6745</v>
      </c>
      <c r="M403" s="154" t="str">
        <f t="shared" si="19"/>
        <v>VEHICULE DE COMPAGNIE - DEPENS</v>
      </c>
      <c r="N403" s="155">
        <f>+IF(OR($Q403=Parametres!$G$2,$Q403=Parametres!$G$3),I403,C403)</f>
        <v>0</v>
      </c>
      <c r="O403" s="155">
        <f>+IF(OR($Q403=Parametres!$G$2,$Q403=Parametres!$G$3),J403,D403)</f>
        <v>1234.4100000000001</v>
      </c>
      <c r="P403" s="155">
        <f>+IF(OR($Q403=Parametres!$G$2,$Q403=Parametres!$G$3),K403,E403)</f>
        <v>1234.4100000000001</v>
      </c>
      <c r="Q403" s="154" t="str">
        <f t="shared" si="29"/>
        <v>7-Dépenses</v>
      </c>
      <c r="R403" s="153" t="str">
        <f t="shared" si="29"/>
        <v>6145</v>
      </c>
      <c r="S403" s="154">
        <f t="shared" si="29"/>
        <v>0</v>
      </c>
      <c r="T403" s="156" t="str">
        <f>+VLOOKUP($L403,Data_Validation!$A:$D,1,0)</f>
        <v>6745</v>
      </c>
      <c r="U403" s="156" t="str">
        <f>+VLOOKUP($L403,Data_Validation!$A:$D,3,0)</f>
        <v>Pièces</v>
      </c>
      <c r="V403" s="156" t="str">
        <f>+VLOOKUP($L403,Data_Validation!$A:$D,4,0)</f>
        <v>Frais véhicules de cie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72" t="s">
        <v>1180</v>
      </c>
      <c r="B404" s="1072" t="s">
        <v>2610</v>
      </c>
      <c r="C404" s="1074">
        <v>0</v>
      </c>
      <c r="D404" s="1074">
        <v>170</v>
      </c>
      <c r="E404" s="1074">
        <v>170</v>
      </c>
      <c r="F404" s="1072" t="s">
        <v>401</v>
      </c>
      <c r="G404" s="1072" t="s">
        <v>2581</v>
      </c>
      <c r="H404" s="1075"/>
      <c r="I404" s="1078"/>
      <c r="J404" s="1078"/>
      <c r="K404" s="1078"/>
      <c r="L404" s="153" t="str">
        <f t="shared" si="18"/>
        <v>6747</v>
      </c>
      <c r="M404" s="154" t="str">
        <f t="shared" si="19"/>
        <v>FRET/EXPRESS/TRANS. PAR CAMION</v>
      </c>
      <c r="N404" s="155">
        <f>+IF(OR($Q404=Parametres!$G$2,$Q404=Parametres!$G$3),I404,C404)</f>
        <v>0</v>
      </c>
      <c r="O404" s="155">
        <f>+IF(OR($Q404=Parametres!$G$2,$Q404=Parametres!$G$3),J404,D404)</f>
        <v>170</v>
      </c>
      <c r="P404" s="155">
        <f>+IF(OR($Q404=Parametres!$G$2,$Q404=Parametres!$G$3),K404,E404)</f>
        <v>170</v>
      </c>
      <c r="Q404" s="154" t="str">
        <f t="shared" si="29"/>
        <v>7-Dépenses</v>
      </c>
      <c r="R404" s="153" t="str">
        <f t="shared" si="29"/>
        <v>6147</v>
      </c>
      <c r="S404" s="154">
        <f t="shared" si="29"/>
        <v>0</v>
      </c>
      <c r="T404" s="156" t="str">
        <f>+VLOOKUP($L404,Data_Validation!$A:$D,1,0)</f>
        <v>6747</v>
      </c>
      <c r="U404" s="156" t="str">
        <f>+VLOOKUP($L404,Data_Validation!$A:$D,3,0)</f>
        <v>Pièces</v>
      </c>
      <c r="V404" s="156" t="str">
        <f>+VLOOKUP($L404,Data_Validation!$A:$D,4,0)</f>
        <v>Frais postaux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72" t="s">
        <v>1286</v>
      </c>
      <c r="B405" s="1072" t="s">
        <v>2739</v>
      </c>
      <c r="C405" s="1074">
        <v>0</v>
      </c>
      <c r="D405" s="1074">
        <v>3520.33</v>
      </c>
      <c r="E405" s="1074">
        <v>3520.33</v>
      </c>
      <c r="F405" s="1072" t="s">
        <v>401</v>
      </c>
      <c r="G405" s="1072" t="s">
        <v>2702</v>
      </c>
      <c r="H405" s="1075"/>
      <c r="I405" s="1078"/>
      <c r="J405" s="1078"/>
      <c r="K405" s="1078"/>
      <c r="L405" s="153" t="str">
        <f t="shared" si="18"/>
        <v>6751</v>
      </c>
      <c r="M405" s="154" t="str">
        <f t="shared" si="19"/>
        <v>DEP. DU TRAITEMENT DES DONNEES</v>
      </c>
      <c r="N405" s="155">
        <f>+IF(OR($Q405=Parametres!$G$2,$Q405=Parametres!$G$3),I405,C405)</f>
        <v>0</v>
      </c>
      <c r="O405" s="155">
        <f>+IF(OR($Q405=Parametres!$G$2,$Q405=Parametres!$G$3),J405,D405)</f>
        <v>3520.33</v>
      </c>
      <c r="P405" s="155">
        <f>+IF(OR($Q405=Parametres!$G$2,$Q405=Parametres!$G$3),K405,E405)</f>
        <v>3520.33</v>
      </c>
      <c r="Q405" s="154" t="str">
        <f t="shared" si="29"/>
        <v>7-Dépenses</v>
      </c>
      <c r="R405" s="153" t="str">
        <f t="shared" si="29"/>
        <v>6151</v>
      </c>
      <c r="S405" s="154">
        <f t="shared" si="29"/>
        <v>0</v>
      </c>
      <c r="T405" s="156" t="str">
        <f>+VLOOKUP($L405,Data_Validation!$A:$D,1,0)</f>
        <v>6751</v>
      </c>
      <c r="U405" s="156" t="str">
        <f>+VLOOKUP($L405,Data_Validation!$A:$D,3,0)</f>
        <v>Pièces</v>
      </c>
      <c r="V405" s="156" t="str">
        <f>+VLOOKUP($L405,Data_Validation!$A:$D,4,0)</f>
        <v>Informatique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072" t="s">
        <v>1206</v>
      </c>
      <c r="B406" s="1072" t="s">
        <v>2646</v>
      </c>
      <c r="C406" s="1074">
        <v>0</v>
      </c>
      <c r="D406" s="1074">
        <v>462.5</v>
      </c>
      <c r="E406" s="1074">
        <v>462.5</v>
      </c>
      <c r="F406" s="1072" t="s">
        <v>401</v>
      </c>
      <c r="G406" s="1072" t="s">
        <v>2588</v>
      </c>
      <c r="H406" s="1075"/>
      <c r="I406" s="1078"/>
      <c r="J406" s="1078"/>
      <c r="K406" s="1078"/>
      <c r="L406" s="153" t="str">
        <f t="shared" si="18"/>
        <v>6752</v>
      </c>
      <c r="M406" s="154" t="str">
        <f t="shared" si="19"/>
        <v>PAPETERIE</v>
      </c>
      <c r="N406" s="155">
        <f>+IF(OR($Q406=Parametres!$G$2,$Q406=Parametres!$G$3),I406,C406)</f>
        <v>0</v>
      </c>
      <c r="O406" s="155">
        <f>+IF(OR($Q406=Parametres!$G$2,$Q406=Parametres!$G$3),J406,D406)</f>
        <v>462.5</v>
      </c>
      <c r="P406" s="155">
        <f>+IF(OR($Q406=Parametres!$G$2,$Q406=Parametres!$G$3),K406,E406)</f>
        <v>462.5</v>
      </c>
      <c r="Q406" s="154" t="str">
        <f t="shared" si="29"/>
        <v>7-Dépenses</v>
      </c>
      <c r="R406" s="153" t="str">
        <f t="shared" si="29"/>
        <v>6152</v>
      </c>
      <c r="S406" s="154">
        <f t="shared" si="29"/>
        <v>0</v>
      </c>
      <c r="T406" s="156" t="str">
        <f>+VLOOKUP($L406,Data_Validation!$A:$D,1,0)</f>
        <v>6752</v>
      </c>
      <c r="U406" s="156" t="str">
        <f>+VLOOKUP($L406,Data_Validation!$A:$D,3,0)</f>
        <v>Pièces</v>
      </c>
      <c r="V406" s="156" t="str">
        <f>+VLOOKUP($L406,Data_Validation!$A:$D,4,0)</f>
        <v>Papeterie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072" t="s">
        <v>1154</v>
      </c>
      <c r="B407" s="1072" t="s">
        <v>2630</v>
      </c>
      <c r="C407" s="1074">
        <v>0</v>
      </c>
      <c r="D407" s="1074">
        <v>297.57</v>
      </c>
      <c r="E407" s="1074">
        <v>297.57</v>
      </c>
      <c r="F407" s="1072" t="s">
        <v>401</v>
      </c>
      <c r="G407" s="1072" t="s">
        <v>2592</v>
      </c>
      <c r="H407" s="1075"/>
      <c r="I407" s="1078"/>
      <c r="J407" s="1078"/>
      <c r="K407" s="1078"/>
      <c r="L407" s="153" t="str">
        <f t="shared" si="18"/>
        <v>6753</v>
      </c>
      <c r="M407" s="154" t="str">
        <f t="shared" si="19"/>
        <v>TELEPHONE ET TELEX</v>
      </c>
      <c r="N407" s="155">
        <f>+IF(OR($Q407=Parametres!$G$2,$Q407=Parametres!$G$3),I407,C407)</f>
        <v>0</v>
      </c>
      <c r="O407" s="155">
        <f>+IF(OR($Q407=Parametres!$G$2,$Q407=Parametres!$G$3),J407,D407)</f>
        <v>297.57</v>
      </c>
      <c r="P407" s="155">
        <f>+IF(OR($Q407=Parametres!$G$2,$Q407=Parametres!$G$3),K407,E407)</f>
        <v>297.57</v>
      </c>
      <c r="Q407" s="154" t="str">
        <f t="shared" si="29"/>
        <v>7-Dépenses</v>
      </c>
      <c r="R407" s="153" t="str">
        <f t="shared" si="29"/>
        <v>6153</v>
      </c>
      <c r="S407" s="154">
        <f t="shared" si="29"/>
        <v>0</v>
      </c>
      <c r="T407" s="156" t="str">
        <f>+VLOOKUP($L407,Data_Validation!$A:$D,1,0)</f>
        <v>6753</v>
      </c>
      <c r="U407" s="156" t="str">
        <f>+VLOOKUP($L407,Data_Validation!$A:$D,3,0)</f>
        <v>Pièces</v>
      </c>
      <c r="V407" s="156" t="str">
        <f>+VLOOKUP($L407,Data_Validation!$A:$D,4,0)</f>
        <v>Téléphone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072" t="s">
        <v>1237</v>
      </c>
      <c r="B408" s="1072" t="s">
        <v>2704</v>
      </c>
      <c r="C408" s="1074">
        <v>0</v>
      </c>
      <c r="D408" s="1074">
        <v>1332.25</v>
      </c>
      <c r="E408" s="1074">
        <v>1332.25</v>
      </c>
      <c r="F408" s="1072" t="s">
        <v>401</v>
      </c>
      <c r="G408" s="1072" t="s">
        <v>2637</v>
      </c>
      <c r="H408" s="1075"/>
      <c r="I408" s="1078"/>
      <c r="J408" s="1078"/>
      <c r="K408" s="1078"/>
      <c r="L408" s="153" t="str">
        <f t="shared" si="18"/>
        <v>6755</v>
      </c>
      <c r="M408" s="154" t="str">
        <f t="shared" si="19"/>
        <v>DEPENSES DIVERS</v>
      </c>
      <c r="N408" s="155">
        <f>+IF(OR($Q408=Parametres!$G$2,$Q408=Parametres!$G$3),I408,C408)</f>
        <v>0</v>
      </c>
      <c r="O408" s="155">
        <f>+IF(OR($Q408=Parametres!$G$2,$Q408=Parametres!$G$3),J408,D408)</f>
        <v>1332.25</v>
      </c>
      <c r="P408" s="155">
        <f>+IF(OR($Q408=Parametres!$G$2,$Q408=Parametres!$G$3),K408,E408)</f>
        <v>1332.25</v>
      </c>
      <c r="Q408" s="154" t="str">
        <f t="shared" si="29"/>
        <v>7-Dépenses</v>
      </c>
      <c r="R408" s="153" t="str">
        <f t="shared" si="29"/>
        <v>6155</v>
      </c>
      <c r="S408" s="154">
        <f t="shared" si="29"/>
        <v>0</v>
      </c>
      <c r="T408" s="156" t="str">
        <f>+VLOOKUP($L408,Data_Validation!$A:$D,1,0)</f>
        <v>6755</v>
      </c>
      <c r="U408" s="156" t="str">
        <f>+VLOOKUP($L408,Data_Validation!$A:$D,3,0)</f>
        <v>Pièces</v>
      </c>
      <c r="V408" s="156" t="str">
        <f>+VLOOKUP($L408,Data_Validation!$A:$D,4,0)</f>
        <v>Divers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072" t="s">
        <v>1294</v>
      </c>
      <c r="B409" s="1072" t="s">
        <v>2475</v>
      </c>
      <c r="C409" s="1074">
        <v>0</v>
      </c>
      <c r="D409" s="1074">
        <v>1519.25</v>
      </c>
      <c r="E409" s="1074">
        <v>1519.25</v>
      </c>
      <c r="F409" s="1072" t="s">
        <v>401</v>
      </c>
      <c r="G409" s="1072" t="s">
        <v>2470</v>
      </c>
      <c r="H409" s="1075"/>
      <c r="I409" s="1078"/>
      <c r="J409" s="1078"/>
      <c r="K409" s="1078"/>
      <c r="L409" s="153" t="str">
        <f t="shared" si="18"/>
        <v>6756</v>
      </c>
      <c r="M409" s="154" t="str">
        <f t="shared" si="19"/>
        <v>FRAIS REPRESENTATION - PIECES</v>
      </c>
      <c r="N409" s="155">
        <f>+IF(OR($Q409=Parametres!$G$2,$Q409=Parametres!$G$3),I409,C409)</f>
        <v>0</v>
      </c>
      <c r="O409" s="155">
        <f>+IF(OR($Q409=Parametres!$G$2,$Q409=Parametres!$G$3),J409,D409)</f>
        <v>1519.25</v>
      </c>
      <c r="P409" s="155">
        <f>+IF(OR($Q409=Parametres!$G$2,$Q409=Parametres!$G$3),K409,E409)</f>
        <v>1519.25</v>
      </c>
      <c r="Q409" s="154" t="str">
        <f t="shared" si="29"/>
        <v>7-Dépenses</v>
      </c>
      <c r="R409" s="153" t="str">
        <f t="shared" si="29"/>
        <v>6156</v>
      </c>
      <c r="S409" s="154">
        <f t="shared" si="29"/>
        <v>0</v>
      </c>
      <c r="T409" s="156" t="str">
        <f>+VLOOKUP($L409,Data_Validation!$A:$D,1,0)</f>
        <v>6756</v>
      </c>
      <c r="U409" s="156" t="str">
        <f>+VLOOKUP($L409,Data_Validation!$A:$D,3,0)</f>
        <v>Pièces</v>
      </c>
      <c r="V409" s="156" t="str">
        <f>+VLOOKUP($L409,Data_Validation!$A:$D,4,0)</f>
        <v>Frais de déplacement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072" t="s">
        <v>1308</v>
      </c>
      <c r="B410" s="1072" t="s">
        <v>2775</v>
      </c>
      <c r="C410" s="1074">
        <v>0</v>
      </c>
      <c r="D410" s="1074">
        <v>9959.93</v>
      </c>
      <c r="E410" s="1074">
        <v>9959.93</v>
      </c>
      <c r="F410" s="1072" t="s">
        <v>401</v>
      </c>
      <c r="G410" s="1072" t="s">
        <v>2662</v>
      </c>
      <c r="H410" s="1075"/>
      <c r="I410" s="1078"/>
      <c r="J410" s="1078"/>
      <c r="K410" s="1078"/>
      <c r="L410" s="153" t="str">
        <f t="shared" si="18"/>
        <v>6759</v>
      </c>
      <c r="M410" s="154" t="str">
        <f t="shared" si="19"/>
        <v>SERVICE EXTERIEUR</v>
      </c>
      <c r="N410" s="155">
        <f>+IF(OR($Q410=Parametres!$G$2,$Q410=Parametres!$G$3),I410,C410)</f>
        <v>0</v>
      </c>
      <c r="O410" s="155">
        <f>+IF(OR($Q410=Parametres!$G$2,$Q410=Parametres!$G$3),J410,D410)</f>
        <v>9959.93</v>
      </c>
      <c r="P410" s="155">
        <f>+IF(OR($Q410=Parametres!$G$2,$Q410=Parametres!$G$3),K410,E410)</f>
        <v>9959.93</v>
      </c>
      <c r="Q410" s="154" t="str">
        <f t="shared" si="29"/>
        <v>7-Dépenses</v>
      </c>
      <c r="R410" s="153" t="str">
        <f t="shared" si="29"/>
        <v>6159</v>
      </c>
      <c r="S410" s="154">
        <f t="shared" si="29"/>
        <v>0</v>
      </c>
      <c r="T410" s="156" t="str">
        <f>+VLOOKUP($L410,Data_Validation!$A:$D,1,0)</f>
        <v>6759</v>
      </c>
      <c r="U410" s="156" t="str">
        <f>+VLOOKUP($L410,Data_Validation!$A:$D,3,0)</f>
        <v>Pièces</v>
      </c>
      <c r="V410" s="156" t="str">
        <f>+VLOOKUP($L410,Data_Validation!$A:$D,4,0)</f>
        <v>Services extérieurs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072" t="s">
        <v>1333</v>
      </c>
      <c r="B411" s="1072" t="s">
        <v>2718</v>
      </c>
      <c r="C411" s="1074">
        <v>0</v>
      </c>
      <c r="D411" s="1074">
        <v>2250</v>
      </c>
      <c r="E411" s="1074">
        <v>2250</v>
      </c>
      <c r="F411" s="1072" t="s">
        <v>401</v>
      </c>
      <c r="G411" s="1072" t="s">
        <v>2653</v>
      </c>
      <c r="H411" s="1075"/>
      <c r="I411" s="1078"/>
      <c r="J411" s="1078"/>
      <c r="K411" s="1078"/>
      <c r="L411" s="153" t="str">
        <f t="shared" si="18"/>
        <v>6761</v>
      </c>
      <c r="M411" s="154" t="str">
        <f t="shared" si="19"/>
        <v>DEPRECIATION EQUIP. &amp; FIXTURES</v>
      </c>
      <c r="N411" s="155">
        <f>+IF(OR($Q411=Parametres!$G$2,$Q411=Parametres!$G$3),I411,C411)</f>
        <v>0</v>
      </c>
      <c r="O411" s="155">
        <f>+IF(OR($Q411=Parametres!$G$2,$Q411=Parametres!$G$3),J411,D411)</f>
        <v>2250</v>
      </c>
      <c r="P411" s="155">
        <f>+IF(OR($Q411=Parametres!$G$2,$Q411=Parametres!$G$3),K411,E411)</f>
        <v>2250</v>
      </c>
      <c r="Q411" s="154" t="str">
        <f t="shared" si="29"/>
        <v>7-Dépenses</v>
      </c>
      <c r="R411" s="153" t="str">
        <f t="shared" si="29"/>
        <v>6161</v>
      </c>
      <c r="S411" s="154">
        <f t="shared" si="29"/>
        <v>0</v>
      </c>
      <c r="T411" s="156" t="str">
        <f>+VLOOKUP($L411,Data_Validation!$A:$D,1,0)</f>
        <v>6761</v>
      </c>
      <c r="U411" s="156" t="str">
        <f>+VLOOKUP($L411,Data_Validation!$A:$D,3,0)</f>
        <v>Pièces</v>
      </c>
      <c r="V411" s="156" t="str">
        <f>+VLOOKUP($L411,Data_Validation!$A:$D,4,0)</f>
        <v>Amortissement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072" t="s">
        <v>936</v>
      </c>
      <c r="B412" s="1072" t="s">
        <v>2476</v>
      </c>
      <c r="C412" s="1074">
        <v>0</v>
      </c>
      <c r="D412" s="1074">
        <v>400</v>
      </c>
      <c r="E412" s="1074">
        <v>400</v>
      </c>
      <c r="F412" s="1072" t="s">
        <v>401</v>
      </c>
      <c r="G412" s="1072" t="s">
        <v>2463</v>
      </c>
      <c r="H412" s="1075"/>
      <c r="I412" s="1078"/>
      <c r="J412" s="1078"/>
      <c r="K412" s="1078"/>
      <c r="L412" s="153" t="str">
        <f t="shared" si="18"/>
        <v>6762</v>
      </c>
      <c r="M412" s="154" t="str">
        <f t="shared" si="19"/>
        <v>LOCATION D'EQUIPEMENTS</v>
      </c>
      <c r="N412" s="155">
        <f>+IF(OR($Q412=Parametres!$G$2,$Q412=Parametres!$G$3),I412,C412)</f>
        <v>0</v>
      </c>
      <c r="O412" s="155">
        <f>+IF(OR($Q412=Parametres!$G$2,$Q412=Parametres!$G$3),J412,D412)</f>
        <v>400</v>
      </c>
      <c r="P412" s="155">
        <f>+IF(OR($Q412=Parametres!$G$2,$Q412=Parametres!$G$3),K412,E412)</f>
        <v>400</v>
      </c>
      <c r="Q412" s="154" t="str">
        <f t="shared" si="29"/>
        <v>7-Dépenses</v>
      </c>
      <c r="R412" s="153" t="str">
        <f t="shared" si="29"/>
        <v>6162</v>
      </c>
      <c r="S412" s="154">
        <f t="shared" si="29"/>
        <v>0</v>
      </c>
      <c r="T412" s="156" t="str">
        <f>+VLOOKUP($L412,Data_Validation!$A:$D,1,0)</f>
        <v>6762</v>
      </c>
      <c r="U412" s="156" t="str">
        <f>+VLOOKUP($L412,Data_Validation!$A:$D,3,0)</f>
        <v>Pièces</v>
      </c>
      <c r="V412" s="156" t="str">
        <f>+VLOOKUP($L412,Data_Validation!$A:$D,4,0)</f>
        <v>Location équipement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072" t="s">
        <v>1316</v>
      </c>
      <c r="B413" s="1072" t="s">
        <v>2671</v>
      </c>
      <c r="C413" s="1074">
        <v>0</v>
      </c>
      <c r="D413" s="1074">
        <v>917.5</v>
      </c>
      <c r="E413" s="1074">
        <v>917.5</v>
      </c>
      <c r="F413" s="1072" t="s">
        <v>401</v>
      </c>
      <c r="G413" s="1072" t="s">
        <v>2604</v>
      </c>
      <c r="H413" s="1075"/>
      <c r="I413" s="1078"/>
      <c r="J413" s="1078"/>
      <c r="K413" s="1078"/>
      <c r="L413" s="153" t="str">
        <f t="shared" si="18"/>
        <v>6781</v>
      </c>
      <c r="M413" s="154" t="str">
        <f t="shared" si="19"/>
        <v>CHAUFFAGE,ELECTRICITE,EAU-PIECES</v>
      </c>
      <c r="N413" s="155">
        <f>+IF(OR($Q413=Parametres!$G$2,$Q413=Parametres!$G$3),I413,C413)</f>
        <v>0</v>
      </c>
      <c r="O413" s="155">
        <f>+IF(OR($Q413=Parametres!$G$2,$Q413=Parametres!$G$3),J413,D413)</f>
        <v>917.5</v>
      </c>
      <c r="P413" s="155">
        <f>+IF(OR($Q413=Parametres!$G$2,$Q413=Parametres!$G$3),K413,E413)</f>
        <v>917.5</v>
      </c>
      <c r="Q413" s="154" t="str">
        <f t="shared" si="29"/>
        <v>7-Dépenses</v>
      </c>
      <c r="R413" s="153" t="str">
        <f t="shared" si="29"/>
        <v>6181</v>
      </c>
      <c r="S413" s="154">
        <f t="shared" si="29"/>
        <v>0</v>
      </c>
      <c r="T413" s="156" t="str">
        <f>+VLOOKUP($L413,Data_Validation!$A:$D,1,0)</f>
        <v>6781</v>
      </c>
      <c r="U413" s="156" t="str">
        <f>+VLOOKUP($L413,Data_Validation!$A:$D,3,0)</f>
        <v>Pièces</v>
      </c>
      <c r="V413" s="156" t="str">
        <f>+VLOOKUP($L413,Data_Validation!$A:$D,4,0)</f>
        <v>Chauffage, éclairage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072" t="s">
        <v>1457</v>
      </c>
      <c r="B414" s="1072" t="s">
        <v>2760</v>
      </c>
      <c r="C414" s="1074">
        <v>0</v>
      </c>
      <c r="D414" s="1074">
        <v>6500.03</v>
      </c>
      <c r="E414" s="1074">
        <v>6500.03</v>
      </c>
      <c r="F414" s="1072" t="s">
        <v>401</v>
      </c>
      <c r="G414" s="1072" t="s">
        <v>2709</v>
      </c>
      <c r="H414" s="1075"/>
      <c r="I414" s="1078"/>
      <c r="J414" s="1078"/>
      <c r="K414" s="1078"/>
      <c r="L414" s="153" t="str">
        <f t="shared" si="18"/>
        <v>6782</v>
      </c>
      <c r="M414" s="154" t="str">
        <f t="shared" si="19"/>
        <v>LOYER - PIECES</v>
      </c>
      <c r="N414" s="155">
        <f>+IF(OR($Q414=Parametres!$G$2,$Q414=Parametres!$G$3),I414,C414)</f>
        <v>0</v>
      </c>
      <c r="O414" s="155">
        <f>+IF(OR($Q414=Parametres!$G$2,$Q414=Parametres!$G$3),J414,D414)</f>
        <v>6500.03</v>
      </c>
      <c r="P414" s="155">
        <f>+IF(OR($Q414=Parametres!$G$2,$Q414=Parametres!$G$3),K414,E414)</f>
        <v>6500.03</v>
      </c>
      <c r="Q414" s="154" t="str">
        <f t="shared" si="29"/>
        <v>7-Dépenses</v>
      </c>
      <c r="R414" s="153" t="str">
        <f t="shared" si="29"/>
        <v>6182</v>
      </c>
      <c r="S414" s="154">
        <f t="shared" si="29"/>
        <v>0</v>
      </c>
      <c r="T414" s="156" t="str">
        <f>+VLOOKUP($L414,Data_Validation!$A:$D,1,0)</f>
        <v>6782</v>
      </c>
      <c r="U414" s="156" t="str">
        <f>+VLOOKUP($L414,Data_Validation!$A:$D,3,0)</f>
        <v>Pièces</v>
      </c>
      <c r="V414" s="156" t="str">
        <f>+VLOOKUP($L414,Data_Validation!$A:$D,4,0)</f>
        <v>Loyer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072" t="s">
        <v>1352</v>
      </c>
      <c r="B415" s="1072" t="s">
        <v>2660</v>
      </c>
      <c r="C415" s="1074">
        <v>0</v>
      </c>
      <c r="D415" s="1074">
        <v>375</v>
      </c>
      <c r="E415" s="1074">
        <v>375</v>
      </c>
      <c r="F415" s="1072" t="s">
        <v>401</v>
      </c>
      <c r="G415" s="1072" t="s">
        <v>2594</v>
      </c>
      <c r="H415" s="1075"/>
      <c r="I415" s="1078"/>
      <c r="J415" s="1078"/>
      <c r="K415" s="1078"/>
      <c r="L415" s="153" t="str">
        <f t="shared" si="18"/>
        <v>6786</v>
      </c>
      <c r="M415" s="154" t="str">
        <f t="shared" si="19"/>
        <v>ASSURANCE BATISSE &amp; AMEL.-PIECES</v>
      </c>
      <c r="N415" s="155">
        <f>+IF(OR($Q415=Parametres!$G$2,$Q415=Parametres!$G$3),I415,C415)</f>
        <v>0</v>
      </c>
      <c r="O415" s="155">
        <f>+IF(OR($Q415=Parametres!$G$2,$Q415=Parametres!$G$3),J415,D415)</f>
        <v>375</v>
      </c>
      <c r="P415" s="155">
        <f>+IF(OR($Q415=Parametres!$G$2,$Q415=Parametres!$G$3),K415,E415)</f>
        <v>375</v>
      </c>
      <c r="Q415" s="154" t="str">
        <f t="shared" si="29"/>
        <v>7-Dépenses</v>
      </c>
      <c r="R415" s="153" t="str">
        <f t="shared" si="29"/>
        <v>6186</v>
      </c>
      <c r="S415" s="154">
        <f t="shared" si="29"/>
        <v>0</v>
      </c>
      <c r="T415" s="156" t="str">
        <f>+VLOOKUP($L415,Data_Validation!$A:$D,1,0)</f>
        <v>6786</v>
      </c>
      <c r="U415" s="156" t="str">
        <f>+VLOOKUP($L415,Data_Validation!$A:$D,3,0)</f>
        <v>Pièces</v>
      </c>
      <c r="V415" s="156" t="str">
        <f>+VLOOKUP($L415,Data_Validation!$A:$D,4,0)</f>
        <v>Assurances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072" t="s">
        <v>1344</v>
      </c>
      <c r="B416" s="1072" t="s">
        <v>2686</v>
      </c>
      <c r="C416" s="1074">
        <v>0</v>
      </c>
      <c r="D416" s="1074">
        <v>1175</v>
      </c>
      <c r="E416" s="1074">
        <v>1175</v>
      </c>
      <c r="F416" s="1072" t="s">
        <v>401</v>
      </c>
      <c r="G416" s="1072" t="s">
        <v>2614</v>
      </c>
      <c r="H416" s="1075"/>
      <c r="I416" s="1078"/>
      <c r="J416" s="1078"/>
      <c r="K416" s="1078"/>
      <c r="L416" s="153" t="str">
        <f t="shared" si="18"/>
        <v>6787</v>
      </c>
      <c r="M416" s="154" t="str">
        <f t="shared" si="19"/>
        <v>TAXES FONCIERES - PIECES</v>
      </c>
      <c r="N416" s="155">
        <f>+IF(OR($Q416=Parametres!$G$2,$Q416=Parametres!$G$3),I416,C416)</f>
        <v>0</v>
      </c>
      <c r="O416" s="155">
        <f>+IF(OR($Q416=Parametres!$G$2,$Q416=Parametres!$G$3),J416,D416)</f>
        <v>1175</v>
      </c>
      <c r="P416" s="155">
        <f>+IF(OR($Q416=Parametres!$G$2,$Q416=Parametres!$G$3),K416,E416)</f>
        <v>1175</v>
      </c>
      <c r="Q416" s="154" t="str">
        <f t="shared" si="29"/>
        <v>7-Dépenses</v>
      </c>
      <c r="R416" s="153" t="str">
        <f t="shared" si="29"/>
        <v>6187</v>
      </c>
      <c r="S416" s="154">
        <f t="shared" si="29"/>
        <v>0</v>
      </c>
      <c r="T416" s="156" t="str">
        <f>+VLOOKUP($L416,Data_Validation!$A:$D,1,0)</f>
        <v>6787</v>
      </c>
      <c r="U416" s="156" t="str">
        <f>+VLOOKUP($L416,Data_Validation!$A:$D,3,0)</f>
        <v>Pièces</v>
      </c>
      <c r="V416" s="156" t="str">
        <f>+VLOOKUP($L416,Data_Validation!$A:$D,4,0)</f>
        <v>Taxes foncières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072" t="s">
        <v>1278</v>
      </c>
      <c r="B417" s="1072" t="s">
        <v>2665</v>
      </c>
      <c r="C417" s="1074">
        <v>0</v>
      </c>
      <c r="D417" s="1074">
        <v>787.5</v>
      </c>
      <c r="E417" s="1074">
        <v>787.5</v>
      </c>
      <c r="F417" s="1072" t="s">
        <v>401</v>
      </c>
      <c r="G417" s="1072" t="s">
        <v>2597</v>
      </c>
      <c r="H417" s="1075"/>
      <c r="I417" s="1078"/>
      <c r="J417" s="1078"/>
      <c r="K417" s="1078"/>
      <c r="L417" s="153" t="str">
        <f t="shared" si="18"/>
        <v>6793</v>
      </c>
      <c r="M417" s="154" t="str">
        <f t="shared" si="19"/>
        <v>AUTRES TAXES - PIECES</v>
      </c>
      <c r="N417" s="155">
        <f>+IF(OR($Q417=Parametres!$G$2,$Q417=Parametres!$G$3),I417,C417)</f>
        <v>0</v>
      </c>
      <c r="O417" s="155">
        <f>+IF(OR($Q417=Parametres!$G$2,$Q417=Parametres!$G$3),J417,D417)</f>
        <v>787.5</v>
      </c>
      <c r="P417" s="155">
        <f>+IF(OR($Q417=Parametres!$G$2,$Q417=Parametres!$G$3),K417,E417)</f>
        <v>787.5</v>
      </c>
      <c r="Q417" s="154" t="str">
        <f t="shared" si="29"/>
        <v>7-Dépenses</v>
      </c>
      <c r="R417" s="153" t="str">
        <f t="shared" si="29"/>
        <v>6193</v>
      </c>
      <c r="S417" s="154">
        <f t="shared" si="29"/>
        <v>0</v>
      </c>
      <c r="T417" s="156" t="str">
        <f>+VLOOKUP($L417,Data_Validation!$A:$D,1,0)</f>
        <v>6793</v>
      </c>
      <c r="U417" s="156" t="str">
        <f>+VLOOKUP($L417,Data_Validation!$A:$D,3,0)</f>
        <v>Pièces</v>
      </c>
      <c r="V417" s="156" t="str">
        <f>+VLOOKUP($L417,Data_Validation!$A:$D,4,0)</f>
        <v>Taxes d`affaires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072" t="s">
        <v>1371</v>
      </c>
      <c r="B418" s="1072" t="s">
        <v>2703</v>
      </c>
      <c r="C418" s="1074">
        <v>0</v>
      </c>
      <c r="D418" s="1074">
        <v>2006.25</v>
      </c>
      <c r="E418" s="1074">
        <v>2006.25</v>
      </c>
      <c r="F418" s="1072" t="s">
        <v>401</v>
      </c>
      <c r="G418" s="1072" t="s">
        <v>2635</v>
      </c>
      <c r="H418" s="1075"/>
      <c r="I418" s="1078"/>
      <c r="J418" s="1078"/>
      <c r="K418" s="1078"/>
      <c r="L418" s="153" t="str">
        <f t="shared" si="18"/>
        <v>6794</v>
      </c>
      <c r="M418" s="154" t="str">
        <f t="shared" si="19"/>
        <v>FRAIS PROFESSIONNEL-PIECES</v>
      </c>
      <c r="N418" s="155">
        <f>+IF(OR($Q418=Parametres!$G$2,$Q418=Parametres!$G$3),I418,C418)</f>
        <v>0</v>
      </c>
      <c r="O418" s="155">
        <f>+IF(OR($Q418=Parametres!$G$2,$Q418=Parametres!$G$3),J418,D418)</f>
        <v>2006.25</v>
      </c>
      <c r="P418" s="155">
        <f>+IF(OR($Q418=Parametres!$G$2,$Q418=Parametres!$G$3),K418,E418)</f>
        <v>2006.25</v>
      </c>
      <c r="Q418" s="154" t="str">
        <f t="shared" ref="Q418:S433" si="30">+F418</f>
        <v>7-Dépenses</v>
      </c>
      <c r="R418" s="153" t="str">
        <f t="shared" si="30"/>
        <v>6194</v>
      </c>
      <c r="S418" s="154">
        <f t="shared" si="30"/>
        <v>0</v>
      </c>
      <c r="T418" s="156" t="str">
        <f>+VLOOKUP($L418,Data_Validation!$A:$D,1,0)</f>
        <v>6794</v>
      </c>
      <c r="U418" s="156" t="str">
        <f>+VLOOKUP($L418,Data_Validation!$A:$D,3,0)</f>
        <v>Pièces</v>
      </c>
      <c r="V418" s="156" t="str">
        <f>+VLOOKUP($L418,Data_Validation!$A:$D,4,0)</f>
        <v>Honoraires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072" t="s">
        <v>2053</v>
      </c>
      <c r="B419" s="1072" t="s">
        <v>2054</v>
      </c>
      <c r="C419" s="1074">
        <v>0</v>
      </c>
      <c r="D419" s="1074">
        <v>-73636.100000000006</v>
      </c>
      <c r="E419" s="1074">
        <v>-73636.100000000006</v>
      </c>
      <c r="F419" s="1072" t="s">
        <v>304</v>
      </c>
      <c r="G419" s="1072" t="s">
        <v>2055</v>
      </c>
      <c r="H419" s="1075"/>
      <c r="I419" s="1078"/>
      <c r="J419" s="1078"/>
      <c r="K419" s="1078"/>
      <c r="L419" s="153" t="str">
        <f t="shared" si="18"/>
        <v>9149</v>
      </c>
      <c r="M419" s="154" t="str">
        <f t="shared" si="19"/>
        <v>REVENU RESERVE VOLKS</v>
      </c>
      <c r="N419" s="155">
        <f>+IF(OR($Q419=Parametres!$G$2,$Q419=Parametres!$G$3),I419,C419)</f>
        <v>0</v>
      </c>
      <c r="O419" s="155">
        <f>+IF(OR($Q419=Parametres!$G$2,$Q419=Parametres!$G$3),J419,D419)</f>
        <v>-73636.100000000006</v>
      </c>
      <c r="P419" s="155">
        <f>+IF(OR($Q419=Parametres!$G$2,$Q419=Parametres!$G$3),K419,E419)</f>
        <v>-73636.100000000006</v>
      </c>
      <c r="Q419" s="154" t="str">
        <f t="shared" si="30"/>
        <v>8-Autres revenus</v>
      </c>
      <c r="R419" s="153" t="str">
        <f t="shared" si="30"/>
        <v>9101</v>
      </c>
      <c r="S419" s="154">
        <f t="shared" si="30"/>
        <v>0</v>
      </c>
      <c r="T419" s="156" t="str">
        <f>+VLOOKUP($L419,Data_Validation!$A:$D,1,0)</f>
        <v>9149</v>
      </c>
      <c r="U419" s="156" t="str">
        <f>+VLOOKUP($L419,Data_Validation!$A:$D,3,0)</f>
        <v>Véhicules neufs</v>
      </c>
      <c r="V419" s="156" t="str">
        <f>+VLOOKUP($L419,Data_Validation!$A:$D,4,0)</f>
        <v>Holdbacks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072" t="s">
        <v>2138</v>
      </c>
      <c r="B420" s="1072" t="s">
        <v>2139</v>
      </c>
      <c r="C420" s="1074">
        <v>0</v>
      </c>
      <c r="D420" s="1074">
        <v>-4522.63</v>
      </c>
      <c r="E420" s="1074">
        <v>-4522.63</v>
      </c>
      <c r="F420" s="1072" t="s">
        <v>304</v>
      </c>
      <c r="G420" s="1072" t="s">
        <v>2139</v>
      </c>
      <c r="H420" s="1075"/>
      <c r="I420" s="1078"/>
      <c r="J420" s="1078"/>
      <c r="K420" s="1078"/>
      <c r="L420" s="153" t="str">
        <f t="shared" si="18"/>
        <v>9152</v>
      </c>
      <c r="M420" s="154" t="str">
        <f t="shared" si="19"/>
        <v>ESCOMPTES SUR ACHAT PIECES</v>
      </c>
      <c r="N420" s="155">
        <f>+IF(OR($Q420=Parametres!$G$2,$Q420=Parametres!$G$3),I420,C420)</f>
        <v>0</v>
      </c>
      <c r="O420" s="155">
        <f>+IF(OR($Q420=Parametres!$G$2,$Q420=Parametres!$G$3),J420,D420)</f>
        <v>-4522.63</v>
      </c>
      <c r="P420" s="155">
        <f>+IF(OR($Q420=Parametres!$G$2,$Q420=Parametres!$G$3),K420,E420)</f>
        <v>-4522.63</v>
      </c>
      <c r="Q420" s="154" t="str">
        <f t="shared" si="30"/>
        <v>8-Autres revenus</v>
      </c>
      <c r="R420" s="153" t="str">
        <f t="shared" si="30"/>
        <v>9152</v>
      </c>
      <c r="S420" s="154">
        <f t="shared" si="30"/>
        <v>0</v>
      </c>
      <c r="T420" s="156" t="str">
        <f>+VLOOKUP($L420,Data_Validation!$A:$D,1,0)</f>
        <v>9152</v>
      </c>
      <c r="U420" s="156" t="str">
        <f>+VLOOKUP($L420,Data_Validation!$A:$D,3,0)</f>
        <v>Pièces</v>
      </c>
      <c r="V420" s="156" t="str">
        <f>+VLOOKUP($L420,Data_Validation!$A:$D,4,0)</f>
        <v>Escomptes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072" t="s">
        <v>2077</v>
      </c>
      <c r="B421" s="1072" t="s">
        <v>2078</v>
      </c>
      <c r="C421" s="1074">
        <v>0</v>
      </c>
      <c r="D421" s="1074">
        <v>-7920</v>
      </c>
      <c r="E421" s="1074">
        <v>-7920</v>
      </c>
      <c r="F421" s="1072" t="s">
        <v>304</v>
      </c>
      <c r="G421" s="1072" t="s">
        <v>2079</v>
      </c>
      <c r="H421" s="1075"/>
      <c r="I421" s="1078"/>
      <c r="J421" s="1078"/>
      <c r="K421" s="1078"/>
      <c r="L421" s="153" t="str">
        <f t="shared" si="18"/>
        <v>9157</v>
      </c>
      <c r="M421" s="154" t="str">
        <f t="shared" si="19"/>
        <v>PRIMES DE RENDEMENT (ToT)- BONUS EXPERIENCE +</v>
      </c>
      <c r="N421" s="155">
        <f>+IF(OR($Q421=Parametres!$G$2,$Q421=Parametres!$G$3),I421,C421)</f>
        <v>0</v>
      </c>
      <c r="O421" s="155">
        <f>+IF(OR($Q421=Parametres!$G$2,$Q421=Parametres!$G$3),J421,D421)</f>
        <v>-7920</v>
      </c>
      <c r="P421" s="155">
        <f>+IF(OR($Q421=Parametres!$G$2,$Q421=Parametres!$G$3),K421,E421)</f>
        <v>-7920</v>
      </c>
      <c r="Q421" s="154" t="str">
        <f t="shared" si="30"/>
        <v>8-Autres revenus</v>
      </c>
      <c r="R421" s="153" t="str">
        <f t="shared" si="30"/>
        <v>915</v>
      </c>
      <c r="S421" s="154">
        <f t="shared" si="30"/>
        <v>0</v>
      </c>
      <c r="T421" s="156" t="str">
        <f>+VLOOKUP($L421,Data_Validation!$A:$D,1,0)</f>
        <v>9157</v>
      </c>
      <c r="U421" s="156" t="str">
        <f>+VLOOKUP($L421,Data_Validation!$A:$D,3,0)</f>
        <v>Véhicules neufs</v>
      </c>
      <c r="V421" s="156" t="str">
        <f>+VLOOKUP($L421,Data_Validation!$A:$D,4,0)</f>
        <v>Programme neuf 1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072" t="s">
        <v>2170</v>
      </c>
      <c r="B422" s="1072" t="s">
        <v>2076</v>
      </c>
      <c r="C422" s="1074">
        <v>0</v>
      </c>
      <c r="D422" s="1074">
        <v>-10516.19</v>
      </c>
      <c r="E422" s="1074">
        <v>-10516.19</v>
      </c>
      <c r="F422" s="1072" t="s">
        <v>304</v>
      </c>
      <c r="G422" s="1072" t="s">
        <v>2076</v>
      </c>
      <c r="H422" s="1075"/>
      <c r="I422" s="1078"/>
      <c r="J422" s="1078"/>
      <c r="K422" s="1078"/>
      <c r="L422" s="153" t="str">
        <f t="shared" si="18"/>
        <v>9161</v>
      </c>
      <c r="M422" s="154" t="str">
        <f t="shared" si="19"/>
        <v>REVENU FIN ET ASS NEUF</v>
      </c>
      <c r="N422" s="155">
        <f>+IF(OR($Q422=Parametres!$G$2,$Q422=Parametres!$G$3),I422,C422)</f>
        <v>0</v>
      </c>
      <c r="O422" s="155">
        <f>+IF(OR($Q422=Parametres!$G$2,$Q422=Parametres!$G$3),J422,D422)</f>
        <v>-10516.19</v>
      </c>
      <c r="P422" s="155">
        <f>+IF(OR($Q422=Parametres!$G$2,$Q422=Parametres!$G$3),K422,E422)</f>
        <v>-10516.19</v>
      </c>
      <c r="Q422" s="154" t="str">
        <f t="shared" si="30"/>
        <v>8-Autres revenus</v>
      </c>
      <c r="R422" s="153" t="str">
        <f t="shared" si="30"/>
        <v>9161</v>
      </c>
      <c r="S422" s="154">
        <f t="shared" si="30"/>
        <v>0</v>
      </c>
      <c r="T422" s="156" t="str">
        <f>+VLOOKUP($L422,Data_Validation!$A:$D,1,0)</f>
        <v>9161</v>
      </c>
      <c r="U422" s="156" t="str">
        <f>+VLOOKUP($L422,Data_Validation!$A:$D,3,0)</f>
        <v>Véhicules neufs</v>
      </c>
      <c r="V422" s="156" t="str">
        <f>+VLOOKUP($L422,Data_Validation!$A:$D,4,0)</f>
        <v>Rev. Finances</v>
      </c>
      <c r="W422" s="156" t="str">
        <f>+VLOOKUP($L422,Data_Validation!$A:$E,5,0)</f>
        <v>$</v>
      </c>
      <c r="X422" s="156" t="str">
        <f>+VLOOKUP($L422,Data_Validation!$A:$F,6,0)</f>
        <v>oui</v>
      </c>
    </row>
    <row r="423" spans="1:24" ht="15" hidden="1" customHeight="1">
      <c r="A423" s="1072" t="s">
        <v>2084</v>
      </c>
      <c r="B423" s="1072" t="s">
        <v>2085</v>
      </c>
      <c r="C423" s="1074">
        <v>0</v>
      </c>
      <c r="D423" s="1074">
        <v>-4835.0200000000004</v>
      </c>
      <c r="E423" s="1074">
        <v>-4835.0200000000004</v>
      </c>
      <c r="F423" s="1072" t="s">
        <v>304</v>
      </c>
      <c r="G423" s="1072" t="s">
        <v>2085</v>
      </c>
      <c r="H423" s="1075"/>
      <c r="I423" s="1078"/>
      <c r="J423" s="1078"/>
      <c r="K423" s="1078"/>
      <c r="L423" s="153" t="str">
        <f t="shared" si="18"/>
        <v>9163</v>
      </c>
      <c r="M423" s="154" t="str">
        <f t="shared" si="19"/>
        <v>RESERVE FIN ET ASS VEH OCCASION</v>
      </c>
      <c r="N423" s="155">
        <f>+IF(OR($Q423=Parametres!$G$2,$Q423=Parametres!$G$3),I423,C423)</f>
        <v>0</v>
      </c>
      <c r="O423" s="155">
        <f>+IF(OR($Q423=Parametres!$G$2,$Q423=Parametres!$G$3),J423,D423)</f>
        <v>-4835.0200000000004</v>
      </c>
      <c r="P423" s="155">
        <f>+IF(OR($Q423=Parametres!$G$2,$Q423=Parametres!$G$3),K423,E423)</f>
        <v>-4835.0200000000004</v>
      </c>
      <c r="Q423" s="154" t="str">
        <f t="shared" si="30"/>
        <v>8-Autres revenus</v>
      </c>
      <c r="R423" s="153" t="str">
        <f t="shared" si="30"/>
        <v>9163</v>
      </c>
      <c r="S423" s="154">
        <f t="shared" si="30"/>
        <v>0</v>
      </c>
      <c r="T423" s="156" t="str">
        <f>+VLOOKUP($L423,Data_Validation!$A:$D,1,0)</f>
        <v>9163</v>
      </c>
      <c r="U423" s="156" t="str">
        <f>+VLOOKUP($L423,Data_Validation!$A:$D,3,0)</f>
        <v>Véhicules usagés</v>
      </c>
      <c r="V423" s="156" t="str">
        <f>+VLOOKUP($L423,Data_Validation!$A:$D,4,0)</f>
        <v>Rev. Finances</v>
      </c>
      <c r="W423" s="156" t="str">
        <f>+VLOOKUP($L423,Data_Validation!$A:$E,5,0)</f>
        <v>$</v>
      </c>
      <c r="X423" s="156" t="str">
        <f>+VLOOKUP($L423,Data_Validation!$A:$F,6,0)</f>
        <v>oui</v>
      </c>
    </row>
    <row r="424" spans="1:24" ht="15" hidden="1" customHeight="1">
      <c r="A424" s="1072" t="s">
        <v>2171</v>
      </c>
      <c r="B424" s="1072" t="s">
        <v>2172</v>
      </c>
      <c r="C424" s="1074">
        <v>0</v>
      </c>
      <c r="D424" s="1074">
        <v>-4550.05</v>
      </c>
      <c r="E424" s="1074">
        <v>-4550.05</v>
      </c>
      <c r="F424" s="1072" t="s">
        <v>304</v>
      </c>
      <c r="G424" s="1072" t="s">
        <v>2076</v>
      </c>
      <c r="H424" s="1075"/>
      <c r="I424" s="1078"/>
      <c r="J424" s="1078"/>
      <c r="K424" s="1078"/>
      <c r="L424" s="153" t="str">
        <f t="shared" si="18"/>
        <v>9165</v>
      </c>
      <c r="M424" s="154" t="str">
        <f t="shared" si="19"/>
        <v>REV. ASSURANCES NEUF</v>
      </c>
      <c r="N424" s="155">
        <f>+IF(OR($Q424=Parametres!$G$2,$Q424=Parametres!$G$3),I424,C424)</f>
        <v>0</v>
      </c>
      <c r="O424" s="155">
        <f>+IF(OR($Q424=Parametres!$G$2,$Q424=Parametres!$G$3),J424,D424)</f>
        <v>-4550.05</v>
      </c>
      <c r="P424" s="155">
        <f>+IF(OR($Q424=Parametres!$G$2,$Q424=Parametres!$G$3),K424,E424)</f>
        <v>-4550.05</v>
      </c>
      <c r="Q424" s="154" t="str">
        <f t="shared" si="30"/>
        <v>8-Autres revenus</v>
      </c>
      <c r="R424" s="153" t="str">
        <f t="shared" si="30"/>
        <v>9161</v>
      </c>
      <c r="S424" s="154">
        <f t="shared" si="30"/>
        <v>0</v>
      </c>
      <c r="T424" s="156" t="str">
        <f>+VLOOKUP($L424,Data_Validation!$A:$D,1,0)</f>
        <v>9165</v>
      </c>
      <c r="U424" s="156" t="str">
        <f>+VLOOKUP($L424,Data_Validation!$A:$D,3,0)</f>
        <v>Véhicules neufs</v>
      </c>
      <c r="V424" s="156" t="str">
        <f>+VLOOKUP($L424,Data_Validation!$A:$D,4,0)</f>
        <v>Rev. Autres</v>
      </c>
      <c r="W424" s="156" t="str">
        <f>+VLOOKUP($L424,Data_Validation!$A:$E,5,0)</f>
        <v>$</v>
      </c>
      <c r="X424" s="156" t="str">
        <f>+VLOOKUP($L424,Data_Validation!$A:$F,6,0)</f>
        <v>oui</v>
      </c>
    </row>
    <row r="425" spans="1:24" ht="15.75" hidden="1" customHeight="1">
      <c r="A425" s="1072" t="s">
        <v>2179</v>
      </c>
      <c r="B425" s="1072" t="s">
        <v>2180</v>
      </c>
      <c r="C425" s="1074">
        <v>0</v>
      </c>
      <c r="D425" s="1074">
        <v>-436.12</v>
      </c>
      <c r="E425" s="1074">
        <v>-436.12</v>
      </c>
      <c r="F425" s="1072" t="s">
        <v>304</v>
      </c>
      <c r="G425" s="1072" t="s">
        <v>2085</v>
      </c>
      <c r="H425" s="1075"/>
      <c r="I425" s="1078"/>
      <c r="J425" s="1078"/>
      <c r="K425" s="1078"/>
      <c r="L425" s="153" t="str">
        <f t="shared" si="18"/>
        <v>9167</v>
      </c>
      <c r="M425" s="154" t="str">
        <f t="shared" si="19"/>
        <v>REV ASSURANCE USAGE</v>
      </c>
      <c r="N425" s="155">
        <f>+IF(OR($Q425=Parametres!$G$2,$Q425=Parametres!$G$3),I425,C425)</f>
        <v>0</v>
      </c>
      <c r="O425" s="155">
        <f>+IF(OR($Q425=Parametres!$G$2,$Q425=Parametres!$G$3),J425,D425)</f>
        <v>-436.12</v>
      </c>
      <c r="P425" s="155">
        <f>+IF(OR($Q425=Parametres!$G$2,$Q425=Parametres!$G$3),K425,E425)</f>
        <v>-436.12</v>
      </c>
      <c r="Q425" s="154" t="str">
        <f t="shared" si="30"/>
        <v>8-Autres revenus</v>
      </c>
      <c r="R425" s="153" t="str">
        <f t="shared" si="30"/>
        <v>9163</v>
      </c>
      <c r="S425" s="154">
        <f t="shared" si="30"/>
        <v>0</v>
      </c>
      <c r="T425" s="156" t="str">
        <f>+VLOOKUP($L425,Data_Validation!$A:$D,1,0)</f>
        <v>9167</v>
      </c>
      <c r="U425" s="156" t="str">
        <f>+VLOOKUP($L425,Data_Validation!$A:$D,3,0)</f>
        <v>Véhicules usagés</v>
      </c>
      <c r="V425" s="156" t="str">
        <f>+VLOOKUP($L425,Data_Validation!$A:$D,4,0)</f>
        <v>Rev.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072" t="s">
        <v>2092</v>
      </c>
      <c r="B426" s="1072" t="s">
        <v>2093</v>
      </c>
      <c r="C426" s="1074">
        <v>0</v>
      </c>
      <c r="D426" s="1074">
        <v>-13810</v>
      </c>
      <c r="E426" s="1074">
        <v>-13810</v>
      </c>
      <c r="F426" s="1072" t="s">
        <v>304</v>
      </c>
      <c r="G426" s="1072" t="s">
        <v>2076</v>
      </c>
      <c r="H426" s="1075"/>
      <c r="I426" s="1078"/>
      <c r="J426" s="1078"/>
      <c r="K426" s="1078"/>
      <c r="L426" s="153" t="str">
        <f t="shared" si="18"/>
        <v>9169</v>
      </c>
      <c r="M426" s="154" t="str">
        <f t="shared" si="19"/>
        <v>REV GARANTIE PROLONGEE NEUF</v>
      </c>
      <c r="N426" s="155">
        <f>+IF(OR($Q426=Parametres!$G$2,$Q426=Parametres!$G$3),I426,C426)</f>
        <v>0</v>
      </c>
      <c r="O426" s="155">
        <f>+IF(OR($Q426=Parametres!$G$2,$Q426=Parametres!$G$3),J426,D426)</f>
        <v>-13810</v>
      </c>
      <c r="P426" s="155">
        <f>+IF(OR($Q426=Parametres!$G$2,$Q426=Parametres!$G$3),K426,E426)</f>
        <v>-13810</v>
      </c>
      <c r="Q426" s="154" t="str">
        <f t="shared" si="30"/>
        <v>8-Autres revenus</v>
      </c>
      <c r="R426" s="153" t="str">
        <f t="shared" si="30"/>
        <v>9161</v>
      </c>
      <c r="S426" s="154">
        <f t="shared" si="30"/>
        <v>0</v>
      </c>
      <c r="T426" s="156" t="str">
        <f>+VLOOKUP($L426,Data_Validation!$A:$D,1,0)</f>
        <v>9169</v>
      </c>
      <c r="U426" s="156" t="str">
        <f>+VLOOKUP($L426,Data_Validation!$A:$D,3,0)</f>
        <v>Véhicules neufs</v>
      </c>
      <c r="V426" s="156" t="str">
        <f>+VLOOKUP($L426,Data_Validation!$A:$D,4,0)</f>
        <v>Rev. Protections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hidden="1" customHeight="1">
      <c r="A427" s="1072" t="s">
        <v>2074</v>
      </c>
      <c r="B427" s="1072" t="s">
        <v>2075</v>
      </c>
      <c r="C427" s="1074">
        <v>0</v>
      </c>
      <c r="D427" s="1074">
        <v>-17078.63</v>
      </c>
      <c r="E427" s="1074">
        <v>-17078.63</v>
      </c>
      <c r="F427" s="1072" t="s">
        <v>304</v>
      </c>
      <c r="G427" s="1072" t="s">
        <v>2076</v>
      </c>
      <c r="H427" s="1075"/>
      <c r="I427" s="1078"/>
      <c r="J427" s="1078"/>
      <c r="K427" s="1078"/>
      <c r="L427" s="153" t="str">
        <f t="shared" si="18"/>
        <v>9170</v>
      </c>
      <c r="M427" s="154" t="str">
        <f t="shared" si="19"/>
        <v>PROFIT PROTECTIONS - NEUFS</v>
      </c>
      <c r="N427" s="155">
        <f>+IF(OR($Q427=Parametres!$G$2,$Q427=Parametres!$G$3),I427,C427)</f>
        <v>0</v>
      </c>
      <c r="O427" s="155">
        <f>+IF(OR($Q427=Parametres!$G$2,$Q427=Parametres!$G$3),J427,D427)</f>
        <v>-17078.63</v>
      </c>
      <c r="P427" s="155">
        <f>+IF(OR($Q427=Parametres!$G$2,$Q427=Parametres!$G$3),K427,E427)</f>
        <v>-17078.63</v>
      </c>
      <c r="Q427" s="154" t="str">
        <f t="shared" si="30"/>
        <v>8-Autres revenus</v>
      </c>
      <c r="R427" s="153" t="str">
        <f t="shared" si="30"/>
        <v>9161</v>
      </c>
      <c r="S427" s="154">
        <f t="shared" si="30"/>
        <v>0</v>
      </c>
      <c r="T427" s="156" t="str">
        <f>+VLOOKUP($L427,Data_Validation!$A:$D,1,0)</f>
        <v>9170</v>
      </c>
      <c r="U427" s="156" t="str">
        <f>+VLOOKUP($L427,Data_Validation!$A:$D,3,0)</f>
        <v>Véhicules neufs</v>
      </c>
      <c r="V427" s="156" t="str">
        <f>+VLOOKUP($L427,Data_Validation!$A:$D,4,0)</f>
        <v>Rev. Protections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hidden="1" customHeight="1">
      <c r="A428" s="1072" t="s">
        <v>2088</v>
      </c>
      <c r="B428" s="1072" t="s">
        <v>2089</v>
      </c>
      <c r="C428" s="1074">
        <v>0</v>
      </c>
      <c r="D428" s="1074">
        <v>-5245.78</v>
      </c>
      <c r="E428" s="1074">
        <v>-5245.78</v>
      </c>
      <c r="F428" s="1072" t="s">
        <v>304</v>
      </c>
      <c r="G428" s="1072" t="s">
        <v>2085</v>
      </c>
      <c r="H428" s="1075"/>
      <c r="I428" s="1078"/>
      <c r="J428" s="1078"/>
      <c r="K428" s="1078"/>
      <c r="L428" s="153" t="str">
        <f t="shared" si="18"/>
        <v>9171</v>
      </c>
      <c r="M428" s="154" t="str">
        <f t="shared" si="19"/>
        <v>REV GARANTIE PROLONGEE USAGE</v>
      </c>
      <c r="N428" s="155">
        <f>+IF(OR($Q428=Parametres!$G$2,$Q428=Parametres!$G$3),I428,C428)</f>
        <v>0</v>
      </c>
      <c r="O428" s="155">
        <f>+IF(OR($Q428=Parametres!$G$2,$Q428=Parametres!$G$3),J428,D428)</f>
        <v>-5245.78</v>
      </c>
      <c r="P428" s="155">
        <f>+IF(OR($Q428=Parametres!$G$2,$Q428=Parametres!$G$3),K428,E428)</f>
        <v>-5245.78</v>
      </c>
      <c r="Q428" s="154" t="str">
        <f t="shared" si="30"/>
        <v>8-Autres revenus</v>
      </c>
      <c r="R428" s="153" t="str">
        <f t="shared" si="30"/>
        <v>9163</v>
      </c>
      <c r="S428" s="154">
        <f t="shared" si="30"/>
        <v>0</v>
      </c>
      <c r="T428" s="156" t="str">
        <f>+VLOOKUP($L428,Data_Validation!$A:$D,1,0)</f>
        <v>9171</v>
      </c>
      <c r="U428" s="156" t="str">
        <f>+VLOOKUP($L428,Data_Validation!$A:$D,3,0)</f>
        <v>Véhicules usagés</v>
      </c>
      <c r="V428" s="156" t="str">
        <f>+VLOOKUP($L428,Data_Validation!$A:$D,4,0)</f>
        <v>Rev. Protections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072" t="s">
        <v>2096</v>
      </c>
      <c r="B429" s="1072" t="s">
        <v>2097</v>
      </c>
      <c r="C429" s="1074">
        <v>0</v>
      </c>
      <c r="D429" s="1074">
        <v>-2630.35</v>
      </c>
      <c r="E429" s="1074">
        <v>-2630.35</v>
      </c>
      <c r="F429" s="1072" t="s">
        <v>304</v>
      </c>
      <c r="G429" s="1072" t="s">
        <v>2085</v>
      </c>
      <c r="H429" s="1075"/>
      <c r="I429" s="1078"/>
      <c r="J429" s="1078"/>
      <c r="K429" s="1078"/>
      <c r="L429" s="153" t="str">
        <f t="shared" si="18"/>
        <v>9172</v>
      </c>
      <c r="M429" s="154" t="str">
        <f t="shared" si="19"/>
        <v>PROFIT PROTECTIONS - USAGES</v>
      </c>
      <c r="N429" s="155">
        <f>+IF(OR($Q429=Parametres!$G$2,$Q429=Parametres!$G$3),I429,C429)</f>
        <v>0</v>
      </c>
      <c r="O429" s="155">
        <f>+IF(OR($Q429=Parametres!$G$2,$Q429=Parametres!$G$3),J429,D429)</f>
        <v>-2630.35</v>
      </c>
      <c r="P429" s="155">
        <f>+IF(OR($Q429=Parametres!$G$2,$Q429=Parametres!$G$3),K429,E429)</f>
        <v>-2630.35</v>
      </c>
      <c r="Q429" s="154" t="str">
        <f t="shared" si="30"/>
        <v>8-Autres revenus</v>
      </c>
      <c r="R429" s="153" t="str">
        <f t="shared" si="30"/>
        <v>9163</v>
      </c>
      <c r="S429" s="154">
        <f t="shared" si="30"/>
        <v>0</v>
      </c>
      <c r="T429" s="156" t="str">
        <f>+VLOOKUP($L429,Data_Validation!$A:$D,1,0)</f>
        <v>9172</v>
      </c>
      <c r="U429" s="156" t="str">
        <f>+VLOOKUP($L429,Data_Validation!$A:$D,3,0)</f>
        <v>Véhicules usagés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072" t="s">
        <v>2080</v>
      </c>
      <c r="B430" s="1072" t="s">
        <v>2081</v>
      </c>
      <c r="C430" s="1074">
        <v>0</v>
      </c>
      <c r="D430" s="1074">
        <v>-23795.25</v>
      </c>
      <c r="E430" s="1074">
        <v>-23795.25</v>
      </c>
      <c r="F430" s="1072" t="s">
        <v>304</v>
      </c>
      <c r="G430" s="1072" t="s">
        <v>2063</v>
      </c>
      <c r="H430" s="1075"/>
      <c r="I430" s="1078"/>
      <c r="J430" s="1078"/>
      <c r="K430" s="1078"/>
      <c r="L430" s="153" t="str">
        <f t="shared" si="18"/>
        <v>9173</v>
      </c>
      <c r="M430" s="154" t="str">
        <f t="shared" si="19"/>
        <v>FRAIS ADMIN. VOLKS</v>
      </c>
      <c r="N430" s="155">
        <f>+IF(OR($Q430=Parametres!$G$2,$Q430=Parametres!$G$3),I430,C430)</f>
        <v>0</v>
      </c>
      <c r="O430" s="155">
        <f>+IF(OR($Q430=Parametres!$G$2,$Q430=Parametres!$G$3),J430,D430)</f>
        <v>-23795.25</v>
      </c>
      <c r="P430" s="155">
        <f>+IF(OR($Q430=Parametres!$G$2,$Q430=Parametres!$G$3),K430,E430)</f>
        <v>-23795.25</v>
      </c>
      <c r="Q430" s="154" t="str">
        <f t="shared" si="30"/>
        <v>8-Autres revenus</v>
      </c>
      <c r="R430" s="153" t="str">
        <f t="shared" si="30"/>
        <v>9191</v>
      </c>
      <c r="S430" s="154">
        <f t="shared" si="30"/>
        <v>0</v>
      </c>
      <c r="T430" s="156" t="str">
        <f>+VLOOKUP($L430,Data_Validation!$A:$D,1,0)</f>
        <v>9173</v>
      </c>
      <c r="U430" s="156" t="str">
        <f>+VLOOKUP($L430,Data_Validation!$A:$D,3,0)</f>
        <v>Véhicules neufs</v>
      </c>
      <c r="V430" s="156" t="str">
        <f>+VLOOKUP($L430,Data_Validation!$A:$D,4,0)</f>
        <v>Frais administration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072" t="s">
        <v>2062</v>
      </c>
      <c r="B431" s="1072" t="s">
        <v>2063</v>
      </c>
      <c r="C431" s="1074">
        <v>0</v>
      </c>
      <c r="D431" s="1074">
        <v>-100717.7</v>
      </c>
      <c r="E431" s="1074">
        <v>-100717.7</v>
      </c>
      <c r="F431" s="1072" t="s">
        <v>304</v>
      </c>
      <c r="G431" s="1072" t="s">
        <v>2063</v>
      </c>
      <c r="H431" s="1075"/>
      <c r="I431" s="1078"/>
      <c r="J431" s="1078"/>
      <c r="K431" s="1078"/>
      <c r="L431" s="153" t="str">
        <f t="shared" si="18"/>
        <v>9191</v>
      </c>
      <c r="M431" s="154" t="str">
        <f t="shared" si="19"/>
        <v>REVENUS DIVERS</v>
      </c>
      <c r="N431" s="155">
        <f>+IF(OR($Q431=Parametres!$G$2,$Q431=Parametres!$G$3),I431,C431)</f>
        <v>0</v>
      </c>
      <c r="O431" s="155">
        <f>+IF(OR($Q431=Parametres!$G$2,$Q431=Parametres!$G$3),J431,D431)</f>
        <v>-100717.7</v>
      </c>
      <c r="P431" s="155">
        <f>+IF(OR($Q431=Parametres!$G$2,$Q431=Parametres!$G$3),K431,E431)</f>
        <v>-100717.7</v>
      </c>
      <c r="Q431" s="154" t="str">
        <f t="shared" si="30"/>
        <v>8-Autres revenus</v>
      </c>
      <c r="R431" s="153" t="str">
        <f t="shared" si="30"/>
        <v>9191</v>
      </c>
      <c r="S431" s="154">
        <f t="shared" si="30"/>
        <v>0</v>
      </c>
      <c r="T431" s="156" t="str">
        <f>+VLOOKUP($L431,Data_Validation!$A:$D,1,0)</f>
        <v>9191</v>
      </c>
      <c r="U431" s="156" t="str">
        <f>+VLOOKUP($L431,Data_Validation!$A:$D,3,0)</f>
        <v>TOTAL  DES  REVENUS  ET  DÉPENSES</v>
      </c>
      <c r="V431" s="156" t="str">
        <f>+VLOOKUP($L431,Data_Validation!$A:$D,4,0)</f>
        <v>Revenus autres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072" t="s">
        <v>2650</v>
      </c>
      <c r="B432" s="1072" t="s">
        <v>2176</v>
      </c>
      <c r="C432" s="1074">
        <v>0</v>
      </c>
      <c r="D432" s="1074">
        <v>3853.95</v>
      </c>
      <c r="E432" s="1074">
        <v>3853.95</v>
      </c>
      <c r="F432" s="1072" t="s">
        <v>1235</v>
      </c>
      <c r="G432" s="1072" t="s">
        <v>2176</v>
      </c>
      <c r="H432" s="1075"/>
      <c r="I432" s="1078"/>
      <c r="J432" s="1078"/>
      <c r="K432" s="1078"/>
      <c r="L432" s="153" t="str">
        <f t="shared" si="18"/>
        <v>9402</v>
      </c>
      <c r="M432" s="154" t="str">
        <f t="shared" si="19"/>
        <v>DEPENSE D'INTERETS</v>
      </c>
      <c r="N432" s="155">
        <f>+IF(OR($Q432=Parametres!$G$2,$Q432=Parametres!$G$3),I432,C432)</f>
        <v>0</v>
      </c>
      <c r="O432" s="155">
        <f>+IF(OR($Q432=Parametres!$G$2,$Q432=Parametres!$G$3),J432,D432)</f>
        <v>3853.95</v>
      </c>
      <c r="P432" s="155">
        <f>+IF(OR($Q432=Parametres!$G$2,$Q432=Parametres!$G$3),K432,E432)</f>
        <v>3853.95</v>
      </c>
      <c r="Q432" s="154" t="str">
        <f t="shared" si="30"/>
        <v>9-Autres déductions</v>
      </c>
      <c r="R432" s="153" t="str">
        <f t="shared" si="30"/>
        <v>9402</v>
      </c>
      <c r="S432" s="154">
        <f t="shared" si="30"/>
        <v>0</v>
      </c>
      <c r="T432" s="156" t="str">
        <f>+VLOOKUP($L432,Data_Validation!$A:$D,1,0)</f>
        <v>9402</v>
      </c>
      <c r="U432" s="156" t="str">
        <f>+VLOOKUP($L432,Data_Validation!$A:$D,3,0)</f>
        <v>TOTAL  DES  REVENUS  ET  DÉPENSES</v>
      </c>
      <c r="V432" s="156" t="str">
        <f>+VLOOKUP($L432,Data_Validation!$A:$D,4,0)</f>
        <v>Intérêts sur prêt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072" t="s">
        <v>1385</v>
      </c>
      <c r="B433" s="1072" t="s">
        <v>2782</v>
      </c>
      <c r="C433" s="1074">
        <v>0</v>
      </c>
      <c r="D433" s="1074">
        <v>5310.96</v>
      </c>
      <c r="E433" s="1074">
        <v>5310.96</v>
      </c>
      <c r="F433" s="1072" t="s">
        <v>1235</v>
      </c>
      <c r="G433" s="1072" t="s">
        <v>2176</v>
      </c>
      <c r="H433" s="1075"/>
      <c r="I433" s="1078"/>
      <c r="J433" s="1078"/>
      <c r="K433" s="1078"/>
      <c r="L433" s="153" t="str">
        <f t="shared" si="18"/>
        <v>9406</v>
      </c>
      <c r="M433" s="154" t="str">
        <f t="shared" si="19"/>
        <v>FRAIS BANCAIRES</v>
      </c>
      <c r="N433" s="155">
        <f>+IF(OR($Q433=Parametres!$G$2,$Q433=Parametres!$G$3),I433,C433)</f>
        <v>0</v>
      </c>
      <c r="O433" s="155">
        <f>+IF(OR($Q433=Parametres!$G$2,$Q433=Parametres!$G$3),J433,D433)</f>
        <v>5310.96</v>
      </c>
      <c r="P433" s="155">
        <f>+IF(OR($Q433=Parametres!$G$2,$Q433=Parametres!$G$3),K433,E433)</f>
        <v>5310.96</v>
      </c>
      <c r="Q433" s="154" t="str">
        <f t="shared" si="30"/>
        <v>9-Autres déductions</v>
      </c>
      <c r="R433" s="153" t="str">
        <f t="shared" si="30"/>
        <v>9402</v>
      </c>
      <c r="S433" s="154">
        <f t="shared" si="30"/>
        <v>0</v>
      </c>
      <c r="T433" s="156" t="str">
        <f>+VLOOKUP($L433,Data_Validation!$A:$D,1,0)</f>
        <v>9406</v>
      </c>
      <c r="U433" s="156" t="str">
        <f>+VLOOKUP($L433,Data_Validation!$A:$D,3,0)</f>
        <v>Véhicules neufs</v>
      </c>
      <c r="V433" s="156" t="str">
        <f>+VLOOKUP($L433,Data_Validation!$A:$D,4,0)</f>
        <v>Frais bancaires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048"/>
      <c r="B434" s="1048"/>
      <c r="C434" s="1049"/>
      <c r="D434" s="1049"/>
      <c r="E434" s="1049"/>
      <c r="F434" s="1048"/>
      <c r="G434" s="1048"/>
      <c r="H434" s="150"/>
      <c r="I434" s="152"/>
      <c r="J434" s="152"/>
      <c r="K434" s="152"/>
      <c r="L434" s="153">
        <f t="shared" si="18"/>
        <v>0</v>
      </c>
      <c r="M434" s="154">
        <f t="shared" si="19"/>
        <v>0</v>
      </c>
      <c r="N434" s="155">
        <f>+IF(OR($Q434=Parametres!$G$2,$Q434=Parametres!$G$3),I434,C434)</f>
        <v>0</v>
      </c>
      <c r="O434" s="155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ref="Q434:S449" si="31">+F434</f>
        <v>0</v>
      </c>
      <c r="R434" s="153">
        <f t="shared" si="31"/>
        <v>0</v>
      </c>
      <c r="S434" s="154">
        <f t="shared" si="31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hidden="1" customHeight="1">
      <c r="A435" s="1048"/>
      <c r="B435" s="1048"/>
      <c r="C435" s="1049"/>
      <c r="D435" s="1049"/>
      <c r="E435" s="1049"/>
      <c r="F435" s="1048"/>
      <c r="G435" s="1048"/>
      <c r="H435" s="150"/>
      <c r="I435" s="152"/>
      <c r="J435" s="152"/>
      <c r="K435" s="152"/>
      <c r="L435" s="153">
        <f t="shared" si="18"/>
        <v>0</v>
      </c>
      <c r="M435" s="154">
        <f t="shared" si="19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1"/>
        <v>0</v>
      </c>
      <c r="R435" s="153">
        <f t="shared" si="31"/>
        <v>0</v>
      </c>
      <c r="S435" s="154">
        <f t="shared" si="31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hidden="1" customHeight="1">
      <c r="A436" s="1048"/>
      <c r="B436" s="1048"/>
      <c r="C436" s="1049"/>
      <c r="D436" s="1049"/>
      <c r="E436" s="1049"/>
      <c r="F436" s="1048"/>
      <c r="G436" s="1048"/>
      <c r="H436" s="150"/>
      <c r="I436" s="152"/>
      <c r="J436" s="152"/>
      <c r="K436" s="152"/>
      <c r="L436" s="153">
        <f t="shared" si="18"/>
        <v>0</v>
      </c>
      <c r="M436" s="154">
        <f t="shared" si="19"/>
        <v>0</v>
      </c>
      <c r="N436" s="155">
        <f>+IF(OR($Q436=Parametres!$G$2,$Q436=Parametres!$G$3),I436,C436)</f>
        <v>0</v>
      </c>
      <c r="O436" s="155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1"/>
        <v>0</v>
      </c>
      <c r="R436" s="153">
        <f t="shared" si="31"/>
        <v>0</v>
      </c>
      <c r="S436" s="154">
        <f t="shared" si="31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hidden="1" customHeight="1">
      <c r="A437" s="1048"/>
      <c r="B437" s="1048"/>
      <c r="C437" s="1049"/>
      <c r="D437" s="1049"/>
      <c r="E437" s="1049"/>
      <c r="F437" s="1048"/>
      <c r="G437" s="1048"/>
      <c r="H437" s="150"/>
      <c r="I437" s="152"/>
      <c r="J437" s="152"/>
      <c r="K437" s="152"/>
      <c r="L437" s="153">
        <f t="shared" si="18"/>
        <v>0</v>
      </c>
      <c r="M437" s="154">
        <f t="shared" si="19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1"/>
        <v>0</v>
      </c>
      <c r="R437" s="153">
        <f t="shared" si="31"/>
        <v>0</v>
      </c>
      <c r="S437" s="154">
        <f t="shared" si="31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hidden="1" customHeight="1">
      <c r="A438" s="1048"/>
      <c r="B438" s="1048"/>
      <c r="C438" s="1049"/>
      <c r="D438" s="1049"/>
      <c r="E438" s="1049"/>
      <c r="F438" s="1048"/>
      <c r="G438" s="1048"/>
      <c r="H438" s="150"/>
      <c r="I438" s="152"/>
      <c r="J438" s="152"/>
      <c r="K438" s="152"/>
      <c r="L438" s="153">
        <f t="shared" si="18"/>
        <v>0</v>
      </c>
      <c r="M438" s="154">
        <f t="shared" si="19"/>
        <v>0</v>
      </c>
      <c r="N438" s="155">
        <f>+IF(OR($Q438=Parametres!$G$2,$Q438=Parametres!$G$3),I438,C438)</f>
        <v>0</v>
      </c>
      <c r="O438" s="610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1"/>
        <v>0</v>
      </c>
      <c r="R438" s="153">
        <f t="shared" si="31"/>
        <v>0</v>
      </c>
      <c r="S438" s="154">
        <f t="shared" si="31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hidden="1" customHeight="1">
      <c r="A439" s="1048"/>
      <c r="B439" s="1048"/>
      <c r="C439" s="1049"/>
      <c r="D439" s="1049"/>
      <c r="E439" s="1049"/>
      <c r="F439" s="1048"/>
      <c r="G439" s="1048"/>
      <c r="H439" s="150"/>
      <c r="I439" s="152"/>
      <c r="J439" s="152"/>
      <c r="K439" s="152"/>
      <c r="L439" s="153">
        <f t="shared" si="18"/>
        <v>0</v>
      </c>
      <c r="M439" s="154">
        <f t="shared" si="19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1"/>
        <v>0</v>
      </c>
      <c r="R439" s="153">
        <f t="shared" si="31"/>
        <v>0</v>
      </c>
      <c r="S439" s="154">
        <f t="shared" si="31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hidden="1" customHeight="1">
      <c r="A440" s="1048"/>
      <c r="B440" s="1048"/>
      <c r="C440" s="1049"/>
      <c r="D440" s="1049"/>
      <c r="E440" s="1049"/>
      <c r="F440" s="1048"/>
      <c r="G440" s="1048"/>
      <c r="H440" s="150"/>
      <c r="I440" s="152"/>
      <c r="J440" s="152"/>
      <c r="K440" s="152"/>
      <c r="L440" s="153">
        <f t="shared" si="18"/>
        <v>0</v>
      </c>
      <c r="M440" s="154">
        <f t="shared" si="19"/>
        <v>0</v>
      </c>
      <c r="N440" s="155">
        <f>+IF(OR($Q440=Parametres!$G$2,$Q440=Parametres!$G$3),I440,C440)</f>
        <v>0</v>
      </c>
      <c r="O440" s="60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1"/>
        <v>0</v>
      </c>
      <c r="R440" s="153">
        <f t="shared" si="31"/>
        <v>0</v>
      </c>
      <c r="S440" s="154">
        <f t="shared" si="31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1048"/>
      <c r="B441" s="1048"/>
      <c r="C441" s="1049"/>
      <c r="D441" s="1049"/>
      <c r="E441" s="1049"/>
      <c r="F441" s="1048"/>
      <c r="G441" s="1048"/>
      <c r="H441" s="150"/>
      <c r="I441" s="152"/>
      <c r="J441" s="152"/>
      <c r="K441" s="152"/>
      <c r="L441" s="153">
        <f t="shared" si="18"/>
        <v>0</v>
      </c>
      <c r="M441" s="154">
        <f t="shared" si="19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1"/>
        <v>0</v>
      </c>
      <c r="R441" s="153">
        <f t="shared" si="31"/>
        <v>0</v>
      </c>
      <c r="S441" s="154">
        <f t="shared" si="31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1048"/>
      <c r="B442" s="1048"/>
      <c r="C442" s="1049"/>
      <c r="D442" s="1049"/>
      <c r="E442" s="1049"/>
      <c r="F442" s="1048"/>
      <c r="G442" s="1048"/>
      <c r="H442" s="150"/>
      <c r="I442" s="152"/>
      <c r="J442" s="152"/>
      <c r="K442" s="152"/>
      <c r="L442" s="153">
        <f t="shared" si="18"/>
        <v>0</v>
      </c>
      <c r="M442" s="154">
        <f t="shared" si="19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1"/>
        <v>0</v>
      </c>
      <c r="R442" s="153">
        <f t="shared" si="31"/>
        <v>0</v>
      </c>
      <c r="S442" s="154">
        <f t="shared" si="31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1048"/>
      <c r="B443" s="1048"/>
      <c r="C443" s="1049"/>
      <c r="D443" s="1049"/>
      <c r="E443" s="1049"/>
      <c r="F443" s="1048"/>
      <c r="G443" s="1048"/>
      <c r="H443" s="150"/>
      <c r="I443" s="152"/>
      <c r="J443" s="152"/>
      <c r="K443" s="152"/>
      <c r="L443" s="153">
        <f t="shared" si="18"/>
        <v>0</v>
      </c>
      <c r="M443" s="154">
        <f t="shared" si="19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1"/>
        <v>0</v>
      </c>
      <c r="R443" s="153">
        <f t="shared" si="31"/>
        <v>0</v>
      </c>
      <c r="S443" s="154">
        <f t="shared" si="31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1048"/>
      <c r="B444" s="1048"/>
      <c r="C444" s="1049"/>
      <c r="D444" s="1049"/>
      <c r="E444" s="1049"/>
      <c r="F444" s="1048"/>
      <c r="G444" s="1048"/>
      <c r="H444" s="150"/>
      <c r="I444" s="152"/>
      <c r="J444" s="152"/>
      <c r="K444" s="152"/>
      <c r="L444" s="153">
        <f t="shared" si="18"/>
        <v>0</v>
      </c>
      <c r="M444" s="154">
        <f t="shared" si="19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1"/>
        <v>0</v>
      </c>
      <c r="R444" s="153">
        <f t="shared" si="31"/>
        <v>0</v>
      </c>
      <c r="S444" s="154">
        <f t="shared" si="31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1048"/>
      <c r="B445" s="1048"/>
      <c r="C445" s="1049"/>
      <c r="D445" s="1049"/>
      <c r="E445" s="1049"/>
      <c r="F445" s="1048"/>
      <c r="G445" s="1048"/>
      <c r="H445" s="150"/>
      <c r="I445" s="152"/>
      <c r="J445" s="152"/>
      <c r="K445" s="152"/>
      <c r="L445" s="153">
        <f t="shared" si="18"/>
        <v>0</v>
      </c>
      <c r="M445" s="154">
        <f t="shared" si="19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1"/>
        <v>0</v>
      </c>
      <c r="R445" s="153">
        <f t="shared" si="31"/>
        <v>0</v>
      </c>
      <c r="S445" s="154">
        <f t="shared" si="31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1048"/>
      <c r="B446" s="1048"/>
      <c r="C446" s="1049"/>
      <c r="D446" s="1049"/>
      <c r="E446" s="1049"/>
      <c r="F446" s="1048"/>
      <c r="G446" s="1048"/>
      <c r="H446" s="150"/>
      <c r="I446" s="152"/>
      <c r="J446" s="152"/>
      <c r="K446" s="152"/>
      <c r="L446" s="153">
        <f t="shared" si="18"/>
        <v>0</v>
      </c>
      <c r="M446" s="154">
        <f t="shared" si="19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1"/>
        <v>0</v>
      </c>
      <c r="R446" s="153">
        <f t="shared" si="31"/>
        <v>0</v>
      </c>
      <c r="S446" s="154">
        <f t="shared" si="31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1048"/>
      <c r="B447" s="1048"/>
      <c r="C447" s="1049"/>
      <c r="D447" s="1049"/>
      <c r="E447" s="1049"/>
      <c r="F447" s="1048"/>
      <c r="G447" s="1048"/>
      <c r="H447" s="150"/>
      <c r="I447" s="152"/>
      <c r="J447" s="152"/>
      <c r="K447" s="152"/>
      <c r="L447" s="153">
        <f t="shared" si="18"/>
        <v>0</v>
      </c>
      <c r="M447" s="154">
        <f t="shared" si="19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1"/>
        <v>0</v>
      </c>
      <c r="R447" s="153">
        <f t="shared" si="31"/>
        <v>0</v>
      </c>
      <c r="S447" s="154">
        <f t="shared" si="31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1048"/>
      <c r="B448" s="1048"/>
      <c r="C448" s="1049"/>
      <c r="D448" s="1049"/>
      <c r="E448" s="1049"/>
      <c r="F448" s="1048"/>
      <c r="G448" s="1048"/>
      <c r="H448" s="150"/>
      <c r="I448" s="152"/>
      <c r="J448" s="152"/>
      <c r="K448" s="152"/>
      <c r="L448" s="153">
        <f t="shared" si="18"/>
        <v>0</v>
      </c>
      <c r="M448" s="154">
        <f t="shared" si="19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1"/>
        <v>0</v>
      </c>
      <c r="R448" s="153">
        <f t="shared" si="31"/>
        <v>0</v>
      </c>
      <c r="S448" s="154">
        <f t="shared" si="31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18"/>
        <v>0</v>
      </c>
      <c r="M449" s="154">
        <f t="shared" si="19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1"/>
        <v>0</v>
      </c>
      <c r="R449" s="153">
        <f t="shared" si="31"/>
        <v>0</v>
      </c>
      <c r="S449" s="154">
        <f t="shared" si="31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1048"/>
      <c r="B450" s="1048"/>
      <c r="C450" s="1049"/>
      <c r="D450" s="1049"/>
      <c r="E450" s="1049"/>
      <c r="F450" s="1048"/>
      <c r="G450" s="1048"/>
      <c r="H450" s="150"/>
      <c r="I450" s="157"/>
      <c r="J450" s="157"/>
      <c r="K450" s="157"/>
      <c r="L450" s="153">
        <f t="shared" si="18"/>
        <v>0</v>
      </c>
      <c r="M450" s="154">
        <f t="shared" si="19"/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S465" si="32">+F450</f>
        <v>0</v>
      </c>
      <c r="R450" s="153">
        <f t="shared" si="32"/>
        <v>0</v>
      </c>
      <c r="S450" s="154">
        <f t="shared" si="32"/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18"/>
        <v>0</v>
      </c>
      <c r="M451" s="154">
        <f t="shared" si="19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2"/>
        <v>0</v>
      </c>
      <c r="R451" s="153">
        <f t="shared" si="32"/>
        <v>0</v>
      </c>
      <c r="S451" s="154">
        <f t="shared" si="32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18"/>
        <v>0</v>
      </c>
      <c r="M452" s="154">
        <f t="shared" si="19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2"/>
        <v>0</v>
      </c>
      <c r="R452" s="153">
        <f t="shared" si="32"/>
        <v>0</v>
      </c>
      <c r="S452" s="154">
        <f t="shared" si="32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18"/>
        <v>0</v>
      </c>
      <c r="M453" s="154">
        <f t="shared" si="19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2"/>
        <v>0</v>
      </c>
      <c r="R453" s="153">
        <f t="shared" si="32"/>
        <v>0</v>
      </c>
      <c r="S453" s="154">
        <f t="shared" si="32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18"/>
        <v>0</v>
      </c>
      <c r="M454" s="154">
        <f t="shared" si="19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2"/>
        <v>0</v>
      </c>
      <c r="R454" s="153">
        <f t="shared" si="32"/>
        <v>0</v>
      </c>
      <c r="S454" s="154">
        <f t="shared" si="32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1048"/>
      <c r="B455" s="1048"/>
      <c r="C455" s="1049"/>
      <c r="D455" s="1049"/>
      <c r="E455" s="1049"/>
      <c r="F455" s="1048"/>
      <c r="G455" s="1048"/>
      <c r="H455" s="150"/>
      <c r="I455" s="157"/>
      <c r="J455" s="157"/>
      <c r="K455" s="157"/>
      <c r="L455" s="153">
        <f t="shared" si="18"/>
        <v>0</v>
      </c>
      <c r="M455" s="154">
        <f t="shared" si="19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2"/>
        <v>0</v>
      </c>
      <c r="R455" s="153">
        <f t="shared" si="32"/>
        <v>0</v>
      </c>
      <c r="S455" s="154">
        <f t="shared" si="32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1048"/>
      <c r="B456" s="1048"/>
      <c r="C456" s="1049"/>
      <c r="D456" s="1049"/>
      <c r="E456" s="1049"/>
      <c r="F456" s="1048"/>
      <c r="G456" s="1048"/>
      <c r="H456" s="150"/>
      <c r="I456" s="157"/>
      <c r="J456" s="157"/>
      <c r="K456" s="157"/>
      <c r="L456" s="153">
        <f t="shared" si="18"/>
        <v>0</v>
      </c>
      <c r="M456" s="154">
        <f t="shared" si="19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2"/>
        <v>0</v>
      </c>
      <c r="R456" s="153">
        <f t="shared" si="32"/>
        <v>0</v>
      </c>
      <c r="S456" s="154">
        <f t="shared" si="32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1048"/>
      <c r="B457" s="1048"/>
      <c r="C457" s="1049"/>
      <c r="D457" s="1049"/>
      <c r="E457" s="1049"/>
      <c r="F457" s="1048"/>
      <c r="G457" s="1048"/>
      <c r="H457" s="150"/>
      <c r="I457" s="157"/>
      <c r="J457" s="157"/>
      <c r="K457" s="157"/>
      <c r="L457" s="153">
        <f t="shared" si="18"/>
        <v>0</v>
      </c>
      <c r="M457" s="154">
        <f t="shared" si="19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2"/>
        <v>0</v>
      </c>
      <c r="R457" s="153">
        <f t="shared" si="32"/>
        <v>0</v>
      </c>
      <c r="S457" s="154">
        <f t="shared" si="32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1048"/>
      <c r="B458" s="1048"/>
      <c r="C458" s="1049"/>
      <c r="D458" s="1049"/>
      <c r="E458" s="1049"/>
      <c r="F458" s="1048"/>
      <c r="G458" s="1048"/>
      <c r="H458" s="150"/>
      <c r="I458" s="157"/>
      <c r="J458" s="157"/>
      <c r="K458" s="157"/>
      <c r="L458" s="153">
        <f t="shared" si="18"/>
        <v>0</v>
      </c>
      <c r="M458" s="154">
        <f t="shared" si="19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2"/>
        <v>0</v>
      </c>
      <c r="R458" s="153">
        <f t="shared" si="32"/>
        <v>0</v>
      </c>
      <c r="S458" s="154">
        <f t="shared" si="32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1048"/>
      <c r="B459" s="1048"/>
      <c r="C459" s="1049"/>
      <c r="D459" s="1049"/>
      <c r="E459" s="1049"/>
      <c r="F459" s="1048"/>
      <c r="G459" s="1048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1048"/>
      <c r="B460" s="1048"/>
      <c r="C460" s="1049"/>
      <c r="D460" s="1049"/>
      <c r="E460" s="1049"/>
      <c r="F460" s="1048"/>
      <c r="G460" s="1048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1048"/>
      <c r="B461" s="1048"/>
      <c r="C461" s="1049"/>
      <c r="D461" s="1049"/>
      <c r="E461" s="1049"/>
      <c r="F461" s="1048"/>
      <c r="G461" s="1048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1048"/>
      <c r="B462" s="1048"/>
      <c r="C462" s="1049"/>
      <c r="D462" s="1049"/>
      <c r="E462" s="1049"/>
      <c r="F462" s="1048"/>
      <c r="G462" s="1048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1048"/>
      <c r="B463" s="1048"/>
      <c r="C463" s="1049"/>
      <c r="D463" s="1049"/>
      <c r="E463" s="1049"/>
      <c r="F463" s="1048"/>
      <c r="G463" s="1048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1048"/>
      <c r="B464" s="1048"/>
      <c r="C464" s="1049"/>
      <c r="D464" s="1049"/>
      <c r="E464" s="1049"/>
      <c r="F464" s="1048"/>
      <c r="G464" s="1048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1048"/>
      <c r="B466" s="1048"/>
      <c r="C466" s="1049"/>
      <c r="D466" s="1049"/>
      <c r="E466" s="1049"/>
      <c r="F466" s="1048"/>
      <c r="G466" s="1048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1048"/>
      <c r="B467" s="1048"/>
      <c r="C467" s="1049"/>
      <c r="D467" s="1049"/>
      <c r="E467" s="1049"/>
      <c r="F467" s="1048"/>
      <c r="G467" s="1048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1048"/>
      <c r="B468" s="1048"/>
      <c r="C468" s="1049"/>
      <c r="D468" s="1049"/>
      <c r="E468" s="1049"/>
      <c r="F468" s="1048"/>
      <c r="G468" s="1048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1048"/>
      <c r="B470" s="1048"/>
      <c r="C470" s="1049"/>
      <c r="D470" s="1049"/>
      <c r="E470" s="1049"/>
      <c r="F470" s="1048"/>
      <c r="G470" s="1048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608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1048"/>
      <c r="B472" s="1048"/>
      <c r="C472" s="1049"/>
      <c r="D472" s="1049"/>
      <c r="E472" s="1049"/>
      <c r="F472" s="1048"/>
      <c r="G472" s="1048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1048"/>
      <c r="B476" s="1048"/>
      <c r="C476" s="1049"/>
      <c r="D476" s="1049"/>
      <c r="E476" s="1049"/>
      <c r="F476" s="1048"/>
      <c r="G476" s="1048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1048"/>
      <c r="B477" s="1048"/>
      <c r="C477" s="1049"/>
      <c r="D477" s="1049"/>
      <c r="E477" s="1049"/>
      <c r="F477" s="1048"/>
      <c r="G477" s="1048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1048"/>
      <c r="B479" s="1048"/>
      <c r="C479" s="1049"/>
      <c r="D479" s="1049"/>
      <c r="E479" s="1049"/>
      <c r="F479" s="1048"/>
      <c r="G479" s="1048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1048"/>
      <c r="B480" s="1048"/>
      <c r="C480" s="1049"/>
      <c r="D480" s="1049"/>
      <c r="E480" s="1049"/>
      <c r="F480" s="1048"/>
      <c r="G480" s="1048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1048"/>
      <c r="B482" s="1048"/>
      <c r="C482" s="1049"/>
      <c r="D482" s="1049"/>
      <c r="E482" s="1049"/>
      <c r="F482" s="1048"/>
      <c r="G482" s="1048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1048"/>
      <c r="B483" s="1048"/>
      <c r="C483" s="1049"/>
      <c r="D483" s="1049"/>
      <c r="E483" s="1049"/>
      <c r="F483" s="1048"/>
      <c r="G483" s="1048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1048"/>
      <c r="B484" s="1048"/>
      <c r="C484" s="1049"/>
      <c r="D484" s="1049"/>
      <c r="E484" s="1049"/>
      <c r="F484" s="1048"/>
      <c r="G484" s="1048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1048"/>
      <c r="B485" s="1048"/>
      <c r="C485" s="1049"/>
      <c r="D485" s="1049"/>
      <c r="E485" s="1049"/>
      <c r="F485" s="1048"/>
      <c r="G485" s="1048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1048"/>
      <c r="B486" s="1048"/>
      <c r="C486" s="1049"/>
      <c r="D486" s="1049"/>
      <c r="E486" s="1049"/>
      <c r="F486" s="1048"/>
      <c r="G486" s="1048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1048"/>
      <c r="B487" s="1048"/>
      <c r="C487" s="1049"/>
      <c r="D487" s="1049"/>
      <c r="E487" s="1049"/>
      <c r="F487" s="1048"/>
      <c r="G487" s="1048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1048"/>
      <c r="B488" s="1048"/>
      <c r="C488" s="1049"/>
      <c r="D488" s="1049"/>
      <c r="E488" s="1049"/>
      <c r="F488" s="1048"/>
      <c r="G488" s="1048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1048"/>
      <c r="B489" s="1048"/>
      <c r="C489" s="1049"/>
      <c r="D489" s="1049"/>
      <c r="E489" s="1049"/>
      <c r="F489" s="1048"/>
      <c r="G489" s="1048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1048"/>
      <c r="B490" s="1048"/>
      <c r="C490" s="1049"/>
      <c r="D490" s="1049"/>
      <c r="E490" s="1049"/>
      <c r="F490" s="1048"/>
      <c r="G490" s="1048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1048"/>
      <c r="B491" s="1048"/>
      <c r="C491" s="1049"/>
      <c r="D491" s="1049"/>
      <c r="E491" s="1049"/>
      <c r="F491" s="1048"/>
      <c r="G491" s="1048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1048"/>
      <c r="B492" s="1048"/>
      <c r="C492" s="1049"/>
      <c r="D492" s="1049"/>
      <c r="E492" s="1049"/>
      <c r="F492" s="1048"/>
      <c r="G492" s="1048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1048"/>
      <c r="B493" s="1048"/>
      <c r="C493" s="1049"/>
      <c r="D493" s="1049"/>
      <c r="E493" s="1049"/>
      <c r="F493" s="1048"/>
      <c r="G493" s="1048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1048"/>
      <c r="B507" s="1048"/>
      <c r="C507" s="1049"/>
      <c r="D507" s="1049"/>
      <c r="E507" s="1049"/>
      <c r="F507" s="1048"/>
      <c r="G507" s="1048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>
    <filterColumn colId="21">
      <filters>
        <filter val="Fournitures d'atelier"/>
      </filters>
    </filterColumn>
  </autoFilter>
  <dataValidations disablePrompts="1" count="1">
    <dataValidation type="list" allowBlank="1" showErrorMessage="1" sqref="U1" xr:uid="{596665C9-A883-4C53-A0C5-A80E5C94E29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3"/>
  <sheetViews>
    <sheetView workbookViewId="0">
      <selection activeCell="D468" sqref="D46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2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161" t="s">
        <v>1637</v>
      </c>
      <c r="B1" s="161" t="s">
        <v>265</v>
      </c>
      <c r="C1" s="161" t="s">
        <v>1640</v>
      </c>
      <c r="D1" s="161" t="s">
        <v>278</v>
      </c>
      <c r="E1" s="162" t="s">
        <v>279</v>
      </c>
      <c r="F1" s="162" t="s">
        <v>1919</v>
      </c>
      <c r="G1" s="162" t="s">
        <v>1927</v>
      </c>
      <c r="I1" s="163" t="s">
        <v>1640</v>
      </c>
      <c r="K1" s="163" t="s">
        <v>278</v>
      </c>
      <c r="N1" s="204"/>
    </row>
    <row r="2" spans="1:14" ht="15" hidden="1" customHeight="1">
      <c r="A2" s="178" t="s">
        <v>2206</v>
      </c>
      <c r="B2" s="179" t="s">
        <v>2205</v>
      </c>
      <c r="C2" s="166"/>
      <c r="D2" s="166"/>
      <c r="E2" s="205"/>
      <c r="F2" s="170"/>
      <c r="G2" s="205" t="e">
        <f>+VLOOKUP(Table_1[[#This Row],[Account]],BV_Data_An_Cour!$L:$Q,6,0)</f>
        <v>#N/A</v>
      </c>
      <c r="H2" s="170"/>
      <c r="I2" s="168" t="s">
        <v>1642</v>
      </c>
      <c r="K2" s="168">
        <f>Print_Mois!C4</f>
        <v>0</v>
      </c>
      <c r="N2" s="204"/>
    </row>
    <row r="3" spans="1:14" ht="15" hidden="1" customHeight="1">
      <c r="A3" s="178" t="s">
        <v>2225</v>
      </c>
      <c r="B3" s="179" t="s">
        <v>2224</v>
      </c>
      <c r="C3" s="166"/>
      <c r="D3" s="166"/>
      <c r="E3" s="205"/>
      <c r="F3" s="170"/>
      <c r="G3" s="205" t="e">
        <f>+VLOOKUP(Table_1[[#This Row],[Account]],BV_Data_An_Cour!$L:$Q,6,0)</f>
        <v>#N/A</v>
      </c>
      <c r="H3" s="205"/>
      <c r="I3" s="168" t="str">
        <f>Print_Mois!K1</f>
        <v>Véhicules neufs</v>
      </c>
      <c r="K3" s="168" t="s">
        <v>66</v>
      </c>
      <c r="N3" s="204"/>
    </row>
    <row r="4" spans="1:14" ht="15" hidden="1" customHeight="1">
      <c r="A4" s="178" t="s">
        <v>2227</v>
      </c>
      <c r="B4" s="179" t="s">
        <v>2226</v>
      </c>
      <c r="C4" s="166"/>
      <c r="D4" s="166"/>
      <c r="E4" s="205"/>
      <c r="F4" s="170"/>
      <c r="G4" s="205" t="e">
        <f>+VLOOKUP(Table_1[[#This Row],[Account]],BV_Data_An_Cour!$L:$Q,6,0)</f>
        <v>#N/A</v>
      </c>
      <c r="H4" s="205"/>
      <c r="I4" s="168" t="str">
        <f>Print_Mois!K89</f>
        <v>Véhicules usagés</v>
      </c>
      <c r="K4" s="168" t="str">
        <f>Print_Mois!C183</f>
        <v>Ajustement M/O</v>
      </c>
      <c r="M4" s="661" t="s">
        <v>1928</v>
      </c>
      <c r="N4" s="204"/>
    </row>
    <row r="5" spans="1:14" ht="15" hidden="1" customHeight="1">
      <c r="A5" s="178" t="s">
        <v>2393</v>
      </c>
      <c r="B5" s="179" t="s">
        <v>2854</v>
      </c>
      <c r="C5" s="166" t="s">
        <v>1642</v>
      </c>
      <c r="D5" s="1057" t="s">
        <v>8</v>
      </c>
      <c r="E5" s="205" t="s">
        <v>1917</v>
      </c>
      <c r="F5" s="170"/>
      <c r="G5" s="205" t="str">
        <f>+VLOOKUP(Table_1[[#This Row],[Account]],BV_Data_An_Cour!$L:$Q,6,0)</f>
        <v>2-Actifs</v>
      </c>
      <c r="H5" s="205"/>
      <c r="I5" s="168" t="str">
        <f>Print_Mois!AF401</f>
        <v>TOTAL  DES  REVENUS  ET  DÉPENSES</v>
      </c>
      <c r="K5" s="168" t="s">
        <v>53</v>
      </c>
      <c r="M5" s="662" t="s">
        <v>1929</v>
      </c>
      <c r="N5" s="204"/>
    </row>
    <row r="6" spans="1:14" ht="15" hidden="1" customHeight="1">
      <c r="A6" s="178" t="s">
        <v>2390</v>
      </c>
      <c r="B6" s="179" t="s">
        <v>2389</v>
      </c>
      <c r="C6" s="166" t="s">
        <v>1642</v>
      </c>
      <c r="D6" s="1057" t="s">
        <v>8</v>
      </c>
      <c r="E6" s="205" t="s">
        <v>1917</v>
      </c>
      <c r="F6" s="170"/>
      <c r="G6" s="205" t="e">
        <f>+VLOOKUP(Table_1[[#This Row],[Account]],BV_Data_An_Cour!$L:$Q,6,0)</f>
        <v>#N/A</v>
      </c>
      <c r="H6" s="205"/>
      <c r="I6" s="168" t="str">
        <f>Print_Mois!K167</f>
        <v>Service</v>
      </c>
      <c r="K6" s="168" t="s">
        <v>55</v>
      </c>
      <c r="M6" s="662" t="s">
        <v>1948</v>
      </c>
    </row>
    <row r="7" spans="1:14" ht="15" hidden="1" customHeight="1">
      <c r="A7" s="178" t="s">
        <v>2392</v>
      </c>
      <c r="B7" s="179" t="s">
        <v>2391</v>
      </c>
      <c r="C7" s="166" t="s">
        <v>1642</v>
      </c>
      <c r="D7" s="1057" t="s">
        <v>8</v>
      </c>
      <c r="E7" s="205" t="s">
        <v>1917</v>
      </c>
      <c r="F7" s="170"/>
      <c r="G7" s="205" t="str">
        <f>+VLOOKUP(Table_1[[#This Row],[Account]],BV_Data_An_Cour!$L:$Q,6,0)</f>
        <v>2-Actifs</v>
      </c>
      <c r="H7" s="205"/>
      <c r="I7" s="168" t="str">
        <f>Print_Mois!K235</f>
        <v>Carrosserie</v>
      </c>
      <c r="K7" s="168" t="str">
        <f>Print_Mois!V490</f>
        <v>Amortissement</v>
      </c>
      <c r="M7" s="662" t="s">
        <v>1949</v>
      </c>
    </row>
    <row r="8" spans="1:14" ht="15" hidden="1" customHeight="1">
      <c r="A8" s="178" t="s">
        <v>2184</v>
      </c>
      <c r="B8" s="179" t="s">
        <v>2183</v>
      </c>
      <c r="C8" s="166" t="s">
        <v>1642</v>
      </c>
      <c r="D8" s="166" t="s">
        <v>12</v>
      </c>
      <c r="E8" s="205" t="s">
        <v>1917</v>
      </c>
      <c r="F8" s="170"/>
      <c r="G8" s="205" t="str">
        <f>+VLOOKUP(Table_1[[#This Row],[Account]],BV_Data_An_Cour!$L:$Q,6,0)</f>
        <v>2-Actifs</v>
      </c>
      <c r="H8" s="205"/>
      <c r="I8" s="168" t="str">
        <f>Print_Mois!K290</f>
        <v>Pièces</v>
      </c>
      <c r="K8" s="168" t="s">
        <v>68</v>
      </c>
      <c r="M8" s="662" t="s">
        <v>155</v>
      </c>
    </row>
    <row r="9" spans="1:14" ht="15" hidden="1" customHeight="1">
      <c r="A9" s="178" t="s">
        <v>2017</v>
      </c>
      <c r="B9" s="179" t="s">
        <v>2027</v>
      </c>
      <c r="C9" s="166" t="s">
        <v>1642</v>
      </c>
      <c r="D9" s="1057" t="s">
        <v>13</v>
      </c>
      <c r="E9" s="205" t="s">
        <v>1917</v>
      </c>
      <c r="F9" s="170"/>
      <c r="G9" s="205" t="str">
        <f>+VLOOKUP(Table_1[[#This Row],[Account]],BV_Data_An_Cour!$L:$Q,6,0)</f>
        <v>2-Actifs</v>
      </c>
      <c r="H9" s="205"/>
      <c r="I9" s="168" t="s">
        <v>1646</v>
      </c>
      <c r="K9" s="168" t="str">
        <f>Print_Mois!V456</f>
        <v>Assurances</v>
      </c>
      <c r="M9" s="662" t="s">
        <v>175</v>
      </c>
    </row>
    <row r="10" spans="1:14" ht="15" hidden="1" customHeight="1">
      <c r="A10" s="178" t="s">
        <v>2016</v>
      </c>
      <c r="B10" s="179" t="s">
        <v>2015</v>
      </c>
      <c r="C10" s="166" t="s">
        <v>1642</v>
      </c>
      <c r="D10" s="1057" t="s">
        <v>13</v>
      </c>
      <c r="E10" s="205" t="s">
        <v>1917</v>
      </c>
      <c r="F10" s="170"/>
      <c r="G10" s="205" t="str">
        <f>+VLOOKUP(Table_1[[#This Row],[Account]],BV_Data_An_Cour!$L:$Q,6,0)</f>
        <v>2-Actifs</v>
      </c>
      <c r="H10" s="205"/>
      <c r="I10" s="168"/>
      <c r="K10" s="168" t="s">
        <v>1647</v>
      </c>
      <c r="M10" s="662" t="s">
        <v>171</v>
      </c>
      <c r="N10" s="204"/>
    </row>
    <row r="11" spans="1:14" ht="15" hidden="1" customHeight="1">
      <c r="A11" s="576" t="s">
        <v>2103</v>
      </c>
      <c r="B11" s="584" t="s">
        <v>2102</v>
      </c>
      <c r="C11" s="166" t="s">
        <v>1642</v>
      </c>
      <c r="D11" s="1057" t="s">
        <v>17</v>
      </c>
      <c r="E11" s="205" t="s">
        <v>1917</v>
      </c>
      <c r="F11" s="170"/>
      <c r="G11" s="205" t="str">
        <f>+VLOOKUP(Table_1[[#This Row],[Account]],BV_Data_An_Cour!$L:$Q,6,0)</f>
        <v>2-Actifs</v>
      </c>
      <c r="H11" s="205"/>
      <c r="I11" s="168"/>
      <c r="K11" s="168" t="s">
        <v>1648</v>
      </c>
      <c r="M11" s="661" t="s">
        <v>1930</v>
      </c>
      <c r="N11" s="204"/>
    </row>
    <row r="12" spans="1:14" ht="15" hidden="1" customHeight="1">
      <c r="A12" s="178" t="s">
        <v>2738</v>
      </c>
      <c r="B12" s="179" t="s">
        <v>2737</v>
      </c>
      <c r="C12" s="166" t="s">
        <v>1642</v>
      </c>
      <c r="D12" s="1057" t="s">
        <v>21</v>
      </c>
      <c r="E12" s="205" t="s">
        <v>1917</v>
      </c>
      <c r="F12" s="170"/>
      <c r="G12" s="205" t="str">
        <f>+VLOOKUP(Table_1[[#This Row],[Account]],BV_Data_An_Cour!$L:$Q,6,0)</f>
        <v>2-Actifs</v>
      </c>
      <c r="H12" s="205"/>
      <c r="K12" s="168" t="str">
        <f>Print_Mois!C6</f>
        <v>Autos détail</v>
      </c>
      <c r="M12" s="204" t="s">
        <v>1948</v>
      </c>
    </row>
    <row r="13" spans="1:14" ht="15" hidden="1" customHeight="1">
      <c r="A13" s="576" t="s">
        <v>2835</v>
      </c>
      <c r="B13" s="584" t="s">
        <v>2834</v>
      </c>
      <c r="C13" s="166" t="s">
        <v>1642</v>
      </c>
      <c r="D13" s="1057" t="s">
        <v>15</v>
      </c>
      <c r="E13" s="205" t="s">
        <v>1917</v>
      </c>
      <c r="F13" s="170"/>
      <c r="G13" s="205" t="str">
        <f>+VLOOKUP(Table_1[[#This Row],[Account]],BV_Data_An_Cour!$L:$Q,6,0)</f>
        <v>2-Actifs</v>
      </c>
      <c r="H13" s="205"/>
      <c r="K13" s="168" t="str">
        <f>Print_Mois!C311</f>
        <v>Autostock</v>
      </c>
      <c r="M13" s="204" t="s">
        <v>1949</v>
      </c>
    </row>
    <row r="14" spans="1:14" ht="15" hidden="1" customHeight="1">
      <c r="A14" s="178" t="s">
        <v>2061</v>
      </c>
      <c r="B14" s="179" t="s">
        <v>2060</v>
      </c>
      <c r="C14" s="166" t="s">
        <v>1642</v>
      </c>
      <c r="D14" s="1057" t="s">
        <v>19</v>
      </c>
      <c r="E14" s="205" t="s">
        <v>1917</v>
      </c>
      <c r="F14" s="170"/>
      <c r="G14" s="205" t="str">
        <f>+VLOOKUP(Table_1[[#This Row],[Account]],BV_Data_An_Cour!$L:$Q,6,0)</f>
        <v>2-Actifs</v>
      </c>
      <c r="H14" s="205"/>
      <c r="K14" s="168" t="s">
        <v>26</v>
      </c>
      <c r="N14" s="204"/>
    </row>
    <row r="15" spans="1:14" ht="15" hidden="1" customHeight="1">
      <c r="A15" s="178" t="s">
        <v>2784</v>
      </c>
      <c r="B15" s="179" t="s">
        <v>2783</v>
      </c>
      <c r="C15" s="166" t="s">
        <v>1642</v>
      </c>
      <c r="D15" s="1057" t="s">
        <v>1931</v>
      </c>
      <c r="E15" s="205" t="s">
        <v>1917</v>
      </c>
      <c r="F15" s="170"/>
      <c r="G15" s="205" t="str">
        <f>+VLOOKUP(Table_1[[#This Row],[Account]],BV_Data_An_Cour!$L:$Q,6,0)</f>
        <v>2-Actifs</v>
      </c>
      <c r="H15" s="205"/>
      <c r="K15" s="168" t="s">
        <v>40</v>
      </c>
      <c r="M15" s="668" t="s">
        <v>1950</v>
      </c>
      <c r="N15" s="204"/>
    </row>
    <row r="16" spans="1:14" ht="15" hidden="1" customHeight="1">
      <c r="A16" s="576" t="s">
        <v>2021</v>
      </c>
      <c r="B16" s="584" t="s">
        <v>2020</v>
      </c>
      <c r="C16" s="166" t="s">
        <v>1642</v>
      </c>
      <c r="D16" s="1057" t="s">
        <v>15</v>
      </c>
      <c r="E16" s="205" t="s">
        <v>1917</v>
      </c>
      <c r="F16" s="170"/>
      <c r="G16" s="205" t="str">
        <f>+VLOOKUP(Table_1[[#This Row],[Account]],BV_Data_An_Cour!$L:$Q,6,0)</f>
        <v>2-Actifs</v>
      </c>
      <c r="H16" s="205"/>
      <c r="K16" s="168" t="s">
        <v>56</v>
      </c>
      <c r="M16" s="600" t="s">
        <v>1948</v>
      </c>
      <c r="N16" s="204"/>
    </row>
    <row r="17" spans="1:14" ht="15" hidden="1" customHeight="1">
      <c r="A17" s="178" t="s">
        <v>2622</v>
      </c>
      <c r="B17" s="179" t="s">
        <v>2621</v>
      </c>
      <c r="C17" s="166" t="s">
        <v>1642</v>
      </c>
      <c r="D17" s="1057" t="s">
        <v>1931</v>
      </c>
      <c r="E17" s="205" t="s">
        <v>1917</v>
      </c>
      <c r="F17" s="170"/>
      <c r="G17" s="205" t="e">
        <f>+VLOOKUP(Table_1[[#This Row],[Account]],BV_Data_An_Cour!$L:$Q,6,0)</f>
        <v>#N/A</v>
      </c>
      <c r="H17" s="205"/>
      <c r="K17" s="168" t="s">
        <v>14</v>
      </c>
      <c r="M17" s="600" t="s">
        <v>1949</v>
      </c>
      <c r="N17" s="204"/>
    </row>
    <row r="18" spans="1:14" ht="15" hidden="1" customHeight="1">
      <c r="A18" s="178" t="s">
        <v>2823</v>
      </c>
      <c r="B18" s="179" t="s">
        <v>2822</v>
      </c>
      <c r="C18" s="166" t="s">
        <v>1642</v>
      </c>
      <c r="D18" s="1057" t="s">
        <v>1931</v>
      </c>
      <c r="E18" s="205" t="s">
        <v>1917</v>
      </c>
      <c r="F18" s="170"/>
      <c r="G18" s="205" t="str">
        <f>+VLOOKUP(Table_1[[#This Row],[Account]],BV_Data_An_Cour!$L:$Q,6,0)</f>
        <v>2-Actifs</v>
      </c>
      <c r="H18" s="205"/>
      <c r="K18" s="168" t="s">
        <v>37</v>
      </c>
      <c r="N18" s="204"/>
    </row>
    <row r="19" spans="1:14" ht="15" hidden="1" customHeight="1">
      <c r="A19" s="576" t="s">
        <v>2110</v>
      </c>
      <c r="B19" s="584" t="s">
        <v>2109</v>
      </c>
      <c r="C19" s="166" t="s">
        <v>1642</v>
      </c>
      <c r="D19" s="1057" t="s">
        <v>29</v>
      </c>
      <c r="E19" s="205" t="s">
        <v>1917</v>
      </c>
      <c r="F19" s="170"/>
      <c r="G19" s="205" t="str">
        <f>+VLOOKUP(Table_1[[#This Row],[Account]],BV_Data_An_Cour!$L:$Q,6,0)</f>
        <v>2-Actifs</v>
      </c>
      <c r="H19" s="205"/>
      <c r="K19" s="168" t="s">
        <v>65</v>
      </c>
      <c r="N19" s="204"/>
    </row>
    <row r="20" spans="1:14" ht="15" hidden="1" customHeight="1">
      <c r="A20" s="178" t="s">
        <v>2478</v>
      </c>
      <c r="B20" s="179" t="s">
        <v>2477</v>
      </c>
      <c r="C20" s="166"/>
      <c r="D20" s="166"/>
      <c r="E20" s="205"/>
      <c r="F20" s="170"/>
      <c r="G20" s="205" t="str">
        <f>+VLOOKUP(Table_1[[#This Row],[Account]],BV_Data_An_Cour!$L:$Q,6,0)</f>
        <v>10-Compte compteur</v>
      </c>
      <c r="H20" s="205"/>
      <c r="K20" s="168" t="s">
        <v>50</v>
      </c>
      <c r="N20" s="204"/>
    </row>
    <row r="21" spans="1:14" ht="15" hidden="1" customHeight="1">
      <c r="A21" s="576" t="s">
        <v>2119</v>
      </c>
      <c r="B21" s="584" t="s">
        <v>2118</v>
      </c>
      <c r="C21" s="166" t="s">
        <v>1642</v>
      </c>
      <c r="D21" s="1057" t="s">
        <v>29</v>
      </c>
      <c r="E21" s="205" t="s">
        <v>1917</v>
      </c>
      <c r="F21" s="170"/>
      <c r="G21" s="205" t="str">
        <f>+VLOOKUP(Table_1[[#This Row],[Account]],BV_Data_An_Cour!$L:$Q,6,0)</f>
        <v>2-Actifs</v>
      </c>
      <c r="H21" s="205"/>
      <c r="K21" s="168" t="s">
        <v>51</v>
      </c>
      <c r="N21" s="204"/>
    </row>
    <row r="22" spans="1:14" ht="15" hidden="1" customHeight="1">
      <c r="A22" s="178" t="s">
        <v>2762</v>
      </c>
      <c r="B22" s="179" t="s">
        <v>2761</v>
      </c>
      <c r="C22" s="166" t="s">
        <v>1642</v>
      </c>
      <c r="D22" s="166" t="s">
        <v>31</v>
      </c>
      <c r="E22" s="205" t="s">
        <v>1917</v>
      </c>
      <c r="F22" s="170"/>
      <c r="G22" s="205" t="str">
        <f>+VLOOKUP(Table_1[[#This Row],[Account]],BV_Data_An_Cour!$L:$Q,6,0)</f>
        <v>2-Actifs</v>
      </c>
      <c r="H22" s="205"/>
      <c r="K22" s="168" t="str">
        <f>Print_Mois!V429</f>
        <v>Bénéfices marginaux</v>
      </c>
      <c r="N22" s="204"/>
    </row>
    <row r="23" spans="1:14" ht="15" hidden="1" customHeight="1">
      <c r="A23" s="576" t="s">
        <v>2481</v>
      </c>
      <c r="B23" s="584" t="s">
        <v>2826</v>
      </c>
      <c r="C23" s="166" t="s">
        <v>1642</v>
      </c>
      <c r="D23" s="166" t="s">
        <v>31</v>
      </c>
      <c r="E23" s="205" t="s">
        <v>1917</v>
      </c>
      <c r="F23" s="170"/>
      <c r="G23" s="205" t="str">
        <f>+VLOOKUP(Table_1[[#This Row],[Account]],BV_Data_An_Cour!$L:$Q,6,0)</f>
        <v>2-Actifs</v>
      </c>
      <c r="H23" s="205"/>
      <c r="K23" s="168" t="s">
        <v>69</v>
      </c>
      <c r="N23" s="204"/>
    </row>
    <row r="24" spans="1:14" ht="15" hidden="1" customHeight="1">
      <c r="A24" s="178" t="s">
        <v>2480</v>
      </c>
      <c r="B24" s="179" t="s">
        <v>2479</v>
      </c>
      <c r="C24" s="166"/>
      <c r="D24" s="166"/>
      <c r="E24" s="205"/>
      <c r="F24" s="170"/>
      <c r="G24" s="205" t="str">
        <f>+VLOOKUP(Table_1[[#This Row],[Account]],BV_Data_An_Cour!$L:$Q,6,0)</f>
        <v>10-Compte compteur</v>
      </c>
      <c r="H24" s="205"/>
      <c r="K24" s="168" t="s">
        <v>1642</v>
      </c>
      <c r="N24" s="204"/>
    </row>
    <row r="25" spans="1:14" ht="15" hidden="1" customHeight="1">
      <c r="A25" s="178" t="s">
        <v>2033</v>
      </c>
      <c r="B25" s="179" t="s">
        <v>2032</v>
      </c>
      <c r="C25" s="166" t="s">
        <v>1642</v>
      </c>
      <c r="D25" s="1057" t="s">
        <v>33</v>
      </c>
      <c r="E25" s="205" t="s">
        <v>1917</v>
      </c>
      <c r="F25" s="170"/>
      <c r="G25" s="205" t="str">
        <f>+VLOOKUP(Table_1[[#This Row],[Account]],BV_Data_An_Cour!$L:$Q,6,0)</f>
        <v>2-Actifs</v>
      </c>
      <c r="H25" s="205"/>
      <c r="K25" s="168" t="s">
        <v>191</v>
      </c>
      <c r="N25" s="204"/>
    </row>
    <row r="26" spans="1:14" ht="15" hidden="1" customHeight="1">
      <c r="A26" s="576" t="s">
        <v>2825</v>
      </c>
      <c r="B26" s="584" t="s">
        <v>2824</v>
      </c>
      <c r="C26" s="166" t="s">
        <v>1642</v>
      </c>
      <c r="D26" s="1057" t="s">
        <v>33</v>
      </c>
      <c r="E26" s="205" t="s">
        <v>1917</v>
      </c>
      <c r="F26" s="170"/>
      <c r="G26" s="205" t="str">
        <f>+VLOOKUP(Table_1[[#This Row],[Account]],BV_Data_An_Cour!$L:$Q,6,0)</f>
        <v>2-Actifs</v>
      </c>
      <c r="H26" s="205"/>
      <c r="K26" s="168" t="s">
        <v>90</v>
      </c>
      <c r="N26" s="204"/>
    </row>
    <row r="27" spans="1:14" ht="15" hidden="1" customHeight="1">
      <c r="A27" s="576" t="s">
        <v>2741</v>
      </c>
      <c r="B27" s="584" t="s">
        <v>2740</v>
      </c>
      <c r="C27" s="166" t="s">
        <v>1642</v>
      </c>
      <c r="D27" s="1057" t="s">
        <v>33</v>
      </c>
      <c r="E27" s="205" t="s">
        <v>1917</v>
      </c>
      <c r="F27" s="170"/>
      <c r="G27" s="205" t="str">
        <f>+VLOOKUP(Table_1[[#This Row],[Account]],BV_Data_An_Cour!$L:$Q,6,0)</f>
        <v>2-Actifs</v>
      </c>
      <c r="H27" s="205"/>
      <c r="K27" s="168" t="s">
        <v>67</v>
      </c>
      <c r="N27" s="204"/>
    </row>
    <row r="28" spans="1:14" ht="15" hidden="1" customHeight="1">
      <c r="A28" s="178" t="s">
        <v>2590</v>
      </c>
      <c r="B28" s="179" t="s">
        <v>2589</v>
      </c>
      <c r="C28" s="166" t="s">
        <v>1642</v>
      </c>
      <c r="D28" s="166" t="s">
        <v>39</v>
      </c>
      <c r="E28" s="205" t="s">
        <v>1917</v>
      </c>
      <c r="F28" s="170"/>
      <c r="G28" s="205" t="str">
        <f>+VLOOKUP(Table_1[[#This Row],[Account]],BV_Data_An_Cour!$L:$Q,6,0)</f>
        <v>2-Actifs</v>
      </c>
      <c r="H28" s="205"/>
      <c r="K28" s="168" t="str">
        <f>Print_Mois!C94</f>
        <v>Certifié</v>
      </c>
      <c r="N28" s="204"/>
    </row>
    <row r="29" spans="1:14" ht="15" hidden="1" customHeight="1">
      <c r="A29" s="178" t="s">
        <v>2764</v>
      </c>
      <c r="B29" s="179" t="s">
        <v>2763</v>
      </c>
      <c r="C29" s="166" t="s">
        <v>1642</v>
      </c>
      <c r="D29" s="166" t="s">
        <v>41</v>
      </c>
      <c r="E29" s="205" t="s">
        <v>1917</v>
      </c>
      <c r="F29" s="170"/>
      <c r="G29" s="205" t="str">
        <f>+VLOOKUP(Table_1[[#This Row],[Account]],BV_Data_An_Cour!$L:$Q,6,0)</f>
        <v>2-Actifs</v>
      </c>
      <c r="H29" s="205"/>
      <c r="K29" s="168" t="str">
        <f>Print_Mois!V457</f>
        <v>Chauffage, éclairage</v>
      </c>
      <c r="N29" s="204"/>
    </row>
    <row r="30" spans="1:14" ht="15" hidden="1" customHeight="1">
      <c r="A30" s="178" t="s">
        <v>2141</v>
      </c>
      <c r="B30" s="179" t="s">
        <v>2140</v>
      </c>
      <c r="C30" s="166" t="s">
        <v>1642</v>
      </c>
      <c r="D30" s="1057" t="s">
        <v>33</v>
      </c>
      <c r="E30" s="205" t="s">
        <v>1917</v>
      </c>
      <c r="F30" s="170"/>
      <c r="G30" s="205" t="str">
        <f>+VLOOKUP(Table_1[[#This Row],[Account]],BV_Data_An_Cour!$L:$Q,6,0)</f>
        <v>2-Actifs</v>
      </c>
      <c r="H30" s="205"/>
      <c r="K30" s="168" t="str">
        <f>Print_Mois!C32</f>
        <v>Comm. F&amp;I</v>
      </c>
    </row>
    <row r="31" spans="1:14" ht="15" hidden="1" customHeight="1">
      <c r="A31" s="577">
        <v>1496</v>
      </c>
      <c r="B31" s="582" t="s">
        <v>2870</v>
      </c>
      <c r="C31" s="166" t="s">
        <v>1642</v>
      </c>
      <c r="D31" s="1057" t="s">
        <v>33</v>
      </c>
      <c r="E31" s="205" t="s">
        <v>1917</v>
      </c>
      <c r="F31" s="1079"/>
      <c r="G31" s="1080" t="e">
        <f>+VLOOKUP(Table_1[[#This Row],[Account]],BV_Data_An_Cour!$L:$Q,6,0)</f>
        <v>#N/A</v>
      </c>
      <c r="H31" s="205"/>
      <c r="K31" s="168" t="str">
        <f>Print_Mois!C31</f>
        <v>Comm. vendeurs</v>
      </c>
    </row>
    <row r="32" spans="1:14" ht="15" hidden="1" customHeight="1">
      <c r="A32" s="178" t="s">
        <v>2692</v>
      </c>
      <c r="B32" s="179" t="s">
        <v>2691</v>
      </c>
      <c r="C32" s="166" t="s">
        <v>1642</v>
      </c>
      <c r="D32" s="1057" t="s">
        <v>33</v>
      </c>
      <c r="E32" s="205" t="s">
        <v>1917</v>
      </c>
      <c r="F32" s="170"/>
      <c r="G32" s="205" t="str">
        <f>+VLOOKUP(Table_1[[#This Row],[Account]],BV_Data_An_Cour!$L:$Q,6,0)</f>
        <v>2-Actifs</v>
      </c>
      <c r="H32" s="205"/>
      <c r="K32" s="168" t="s">
        <v>16</v>
      </c>
    </row>
    <row r="33" spans="1:11" ht="15" hidden="1" customHeight="1">
      <c r="A33" s="178" t="s">
        <v>2105</v>
      </c>
      <c r="B33" s="179" t="s">
        <v>2104</v>
      </c>
      <c r="C33" s="166" t="s">
        <v>1642</v>
      </c>
      <c r="D33" s="1057" t="s">
        <v>43</v>
      </c>
      <c r="E33" s="205" t="s">
        <v>1917</v>
      </c>
      <c r="F33" s="170"/>
      <c r="G33" s="205" t="str">
        <f>+VLOOKUP(Table_1[[#This Row],[Account]],BV_Data_An_Cour!$L:$Q,6,0)</f>
        <v>2-Actifs</v>
      </c>
      <c r="H33" s="205"/>
      <c r="K33" s="569" t="s">
        <v>1921</v>
      </c>
    </row>
    <row r="34" spans="1:11" ht="15" hidden="1" customHeight="1">
      <c r="A34" s="178" t="s">
        <v>2131</v>
      </c>
      <c r="B34" s="179" t="s">
        <v>2130</v>
      </c>
      <c r="C34" s="166" t="s">
        <v>1642</v>
      </c>
      <c r="D34" s="1057" t="s">
        <v>43</v>
      </c>
      <c r="E34" s="205" t="s">
        <v>1917</v>
      </c>
      <c r="F34" s="170"/>
      <c r="G34" s="205" t="str">
        <f>+VLOOKUP(Table_1[[#This Row],[Account]],BV_Data_An_Cour!$L:$Q,6,0)</f>
        <v>2-Actifs</v>
      </c>
      <c r="H34" s="205"/>
      <c r="K34" s="168" t="s">
        <v>1661</v>
      </c>
    </row>
    <row r="35" spans="1:11" ht="15" hidden="1" customHeight="1">
      <c r="A35" s="171" t="s">
        <v>2807</v>
      </c>
      <c r="B35" s="171" t="s">
        <v>2806</v>
      </c>
      <c r="C35" s="166" t="s">
        <v>1642</v>
      </c>
      <c r="D35" s="1057" t="s">
        <v>43</v>
      </c>
      <c r="E35" s="205" t="s">
        <v>1917</v>
      </c>
      <c r="F35" s="170"/>
      <c r="G35" s="205" t="str">
        <f>+VLOOKUP(Table_1[[#This Row],[Account]],BV_Data_An_Cour!$L:$Q,6,0)</f>
        <v>2-Actifs</v>
      </c>
      <c r="H35" s="205"/>
      <c r="K35" s="168" t="str">
        <f>Print_Mois!V430</f>
        <v>Csst</v>
      </c>
    </row>
    <row r="36" spans="1:11" ht="15" hidden="1" customHeight="1">
      <c r="A36" s="171" t="s">
        <v>2395</v>
      </c>
      <c r="B36" s="171" t="s">
        <v>2394</v>
      </c>
      <c r="C36" s="166" t="s">
        <v>1642</v>
      </c>
      <c r="D36" s="1057" t="s">
        <v>43</v>
      </c>
      <c r="E36" s="205" t="s">
        <v>1917</v>
      </c>
      <c r="F36" s="170"/>
      <c r="G36" s="205" t="e">
        <f>+VLOOKUP(Table_1[[#This Row],[Account]],BV_Data_An_Cour!$L:$Q,6,0)</f>
        <v>#N/A</v>
      </c>
      <c r="H36" s="205"/>
      <c r="K36" s="168" t="s">
        <v>38</v>
      </c>
    </row>
    <row r="37" spans="1:11" ht="15" hidden="1" customHeight="1">
      <c r="A37" s="171" t="s">
        <v>2643</v>
      </c>
      <c r="B37" s="171" t="s">
        <v>2642</v>
      </c>
      <c r="C37" s="166" t="s">
        <v>1642</v>
      </c>
      <c r="D37" s="1057" t="s">
        <v>43</v>
      </c>
      <c r="E37" s="205" t="s">
        <v>1917</v>
      </c>
      <c r="F37" s="170"/>
      <c r="G37" s="205" t="str">
        <f>+VLOOKUP(Table_1[[#This Row],[Account]],BV_Data_An_Cour!$L:$Q,6,0)</f>
        <v>2-Actifs</v>
      </c>
      <c r="H37" s="205"/>
      <c r="K37" s="168" t="str">
        <f>Print_Mois!V428</f>
        <v>Déduction à la source</v>
      </c>
    </row>
    <row r="38" spans="1:11" ht="15" hidden="1" customHeight="1">
      <c r="A38" s="178" t="s">
        <v>2153</v>
      </c>
      <c r="B38" s="179" t="s">
        <v>2152</v>
      </c>
      <c r="C38" s="166" t="s">
        <v>1642</v>
      </c>
      <c r="D38" s="1057" t="s">
        <v>43</v>
      </c>
      <c r="E38" s="205" t="s">
        <v>1917</v>
      </c>
      <c r="F38" s="170"/>
      <c r="G38" s="205" t="str">
        <f>+VLOOKUP(Table_1[[#This Row],[Account]],BV_Data_An_Cour!$L:$Q,6,0)</f>
        <v>2-Actifs</v>
      </c>
      <c r="H38" s="205"/>
      <c r="K38" s="168" t="s">
        <v>22</v>
      </c>
    </row>
    <row r="39" spans="1:11" ht="15" hidden="1" customHeight="1">
      <c r="A39" s="178" t="s">
        <v>2397</v>
      </c>
      <c r="B39" s="179" t="s">
        <v>2396</v>
      </c>
      <c r="C39" s="166" t="s">
        <v>1642</v>
      </c>
      <c r="D39" s="1057" t="s">
        <v>43</v>
      </c>
      <c r="E39" s="205" t="s">
        <v>1917</v>
      </c>
      <c r="F39" s="170"/>
      <c r="G39" s="205" t="e">
        <f>+VLOOKUP(Table_1[[#This Row],[Account]],BV_Data_An_Cour!$L:$Q,6,0)</f>
        <v>#N/A</v>
      </c>
      <c r="H39" s="205"/>
      <c r="K39" s="168" t="s">
        <v>54</v>
      </c>
    </row>
    <row r="40" spans="1:11" ht="15" hidden="1" customHeight="1">
      <c r="A40" s="577">
        <v>1524</v>
      </c>
      <c r="B40" s="582" t="s">
        <v>2857</v>
      </c>
      <c r="C40" s="166" t="s">
        <v>1642</v>
      </c>
      <c r="D40" s="1057" t="s">
        <v>43</v>
      </c>
      <c r="E40" s="205" t="s">
        <v>1917</v>
      </c>
      <c r="F40" s="170"/>
      <c r="G40" s="1080" t="e">
        <f>+VLOOKUP(Table_1[[#This Row],[Account]],BV_Data_An_Cour!$L:$Q,6,0)</f>
        <v>#N/A</v>
      </c>
      <c r="H40" s="205"/>
      <c r="K40" s="168" t="str">
        <f>Print_Mois!V445</f>
        <v>Divers</v>
      </c>
    </row>
    <row r="41" spans="1:11" ht="15" hidden="1" customHeight="1">
      <c r="A41" s="178" t="s">
        <v>2125</v>
      </c>
      <c r="B41" s="179" t="s">
        <v>2124</v>
      </c>
      <c r="C41" s="166" t="s">
        <v>1642</v>
      </c>
      <c r="D41" s="166" t="s">
        <v>40</v>
      </c>
      <c r="E41" s="205" t="s">
        <v>1917</v>
      </c>
      <c r="F41" s="170"/>
      <c r="G41" s="205" t="e">
        <f>+VLOOKUP(Table_1[[#This Row],[Account]],BV_Data_An_Cour!$L:$Q,6,0)</f>
        <v>#N/A</v>
      </c>
      <c r="H41" s="205"/>
      <c r="K41" s="168" t="s">
        <v>70</v>
      </c>
    </row>
    <row r="42" spans="1:11" ht="15" hidden="1" customHeight="1">
      <c r="A42" s="178" t="s">
        <v>2606</v>
      </c>
      <c r="B42" s="179" t="s">
        <v>2605</v>
      </c>
      <c r="C42" s="166" t="s">
        <v>1642</v>
      </c>
      <c r="D42" s="1057" t="s">
        <v>43</v>
      </c>
      <c r="E42" s="205" t="s">
        <v>1917</v>
      </c>
      <c r="F42" s="170"/>
      <c r="G42" s="205" t="str">
        <f>+VLOOKUP(Table_1[[#This Row],[Account]],BV_Data_An_Cour!$L:$Q,6,0)</f>
        <v>2-Actifs</v>
      </c>
      <c r="H42" s="205"/>
      <c r="K42" s="168" t="str">
        <f>Print_Mois!V464</f>
        <v>[...]</v>
      </c>
    </row>
    <row r="43" spans="1:11" ht="15" hidden="1" customHeight="1">
      <c r="A43" s="178" t="s">
        <v>2182</v>
      </c>
      <c r="B43" s="179" t="s">
        <v>2181</v>
      </c>
      <c r="C43" s="166" t="s">
        <v>1642</v>
      </c>
      <c r="D43" s="1057" t="s">
        <v>43</v>
      </c>
      <c r="E43" s="205" t="s">
        <v>1917</v>
      </c>
      <c r="F43" s="170"/>
      <c r="G43" s="205" t="e">
        <f>+VLOOKUP(Table_1[[#This Row],[Account]],BV_Data_An_Cour!$L:$Q,6,0)</f>
        <v>#N/A</v>
      </c>
      <c r="H43" s="205"/>
      <c r="K43" s="168" t="s">
        <v>30</v>
      </c>
    </row>
    <row r="44" spans="1:11" ht="15" hidden="1" customHeight="1">
      <c r="A44" s="576" t="s">
        <v>2200</v>
      </c>
      <c r="B44" s="584" t="s">
        <v>2199</v>
      </c>
      <c r="C44" s="166" t="s">
        <v>1642</v>
      </c>
      <c r="D44" s="1057" t="s">
        <v>43</v>
      </c>
      <c r="E44" s="205" t="s">
        <v>1917</v>
      </c>
      <c r="F44" s="170"/>
      <c r="G44" s="205" t="str">
        <f>+VLOOKUP(Table_1[[#This Row],[Account]],BV_Data_An_Cour!$L:$Q,6,0)</f>
        <v>2-Actifs</v>
      </c>
      <c r="H44" s="205"/>
      <c r="K44" s="168" t="s">
        <v>32</v>
      </c>
    </row>
    <row r="45" spans="1:11" ht="15" hidden="1" customHeight="1">
      <c r="A45" s="178" t="s">
        <v>2399</v>
      </c>
      <c r="B45" s="179" t="s">
        <v>2398</v>
      </c>
      <c r="C45" s="166" t="s">
        <v>1642</v>
      </c>
      <c r="D45" s="1057" t="s">
        <v>43</v>
      </c>
      <c r="E45" s="205" t="s">
        <v>1917</v>
      </c>
      <c r="F45" s="170"/>
      <c r="G45" s="205" t="e">
        <f>+VLOOKUP(Table_1[[#This Row],[Account]],BV_Data_An_Cour!$L:$Q,6,0)</f>
        <v>#N/A</v>
      </c>
      <c r="H45" s="205"/>
      <c r="K45" s="168" t="s">
        <v>8</v>
      </c>
    </row>
    <row r="46" spans="1:11" ht="15" hidden="1" customHeight="1">
      <c r="A46" s="576" t="s">
        <v>2683</v>
      </c>
      <c r="B46" s="584" t="s">
        <v>2682</v>
      </c>
      <c r="C46" s="166" t="s">
        <v>1642</v>
      </c>
      <c r="D46" s="1057" t="s">
        <v>43</v>
      </c>
      <c r="E46" s="205" t="s">
        <v>1917</v>
      </c>
      <c r="F46" s="170"/>
      <c r="G46" s="205" t="e">
        <f>+VLOOKUP(Table_1[[#This Row],[Account]],BV_Data_An_Cour!$L:$Q,6,0)</f>
        <v>#N/A</v>
      </c>
      <c r="H46" s="205"/>
      <c r="K46" s="168" t="s">
        <v>62</v>
      </c>
    </row>
    <row r="47" spans="1:11" ht="15" hidden="1" customHeight="1">
      <c r="A47" s="178" t="s">
        <v>2786</v>
      </c>
      <c r="B47" s="179" t="s">
        <v>2785</v>
      </c>
      <c r="C47" s="166" t="s">
        <v>1642</v>
      </c>
      <c r="D47" s="1057" t="s">
        <v>43</v>
      </c>
      <c r="E47" s="205" t="s">
        <v>1917</v>
      </c>
      <c r="F47" s="170"/>
      <c r="G47" s="205" t="str">
        <f>+VLOOKUP(Table_1[[#This Row],[Account]],BV_Data_An_Cour!$L:$Q,6,0)</f>
        <v>2-Actifs</v>
      </c>
      <c r="H47" s="205"/>
      <c r="K47" s="168" t="str">
        <f>Print_Mois!C35</f>
        <v>Entretien stock</v>
      </c>
    </row>
    <row r="48" spans="1:11" ht="15" hidden="1" customHeight="1">
      <c r="A48" s="576" t="s">
        <v>2202</v>
      </c>
      <c r="B48" s="584" t="s">
        <v>2201</v>
      </c>
      <c r="C48" s="166" t="s">
        <v>1642</v>
      </c>
      <c r="D48" s="166" t="s">
        <v>40</v>
      </c>
      <c r="E48" s="205" t="s">
        <v>1917</v>
      </c>
      <c r="F48" s="170"/>
      <c r="G48" s="205" t="str">
        <f>+VLOOKUP(Table_1[[#This Row],[Account]],BV_Data_An_Cour!$L:$Q,6,0)</f>
        <v>2-Actifs</v>
      </c>
      <c r="H48" s="205"/>
      <c r="K48" s="168" t="s">
        <v>59</v>
      </c>
    </row>
    <row r="49" spans="1:11" ht="15" hidden="1" customHeight="1">
      <c r="A49" s="178" t="s">
        <v>2187</v>
      </c>
      <c r="B49" s="179" t="s">
        <v>2186</v>
      </c>
      <c r="C49" s="166" t="s">
        <v>1642</v>
      </c>
      <c r="D49" s="166" t="s">
        <v>40</v>
      </c>
      <c r="E49" s="205" t="s">
        <v>1917</v>
      </c>
      <c r="F49" s="170"/>
      <c r="G49" s="205" t="str">
        <f>+VLOOKUP(Table_1[[#This Row],[Account]],BV_Data_An_Cour!$L:$Q,6,0)</f>
        <v>2-Actifs</v>
      </c>
      <c r="H49" s="205"/>
      <c r="K49" s="168" t="s">
        <v>57</v>
      </c>
    </row>
    <row r="50" spans="1:11" ht="15" hidden="1" customHeight="1">
      <c r="A50" s="576" t="s">
        <v>2123</v>
      </c>
      <c r="B50" s="584" t="s">
        <v>2122</v>
      </c>
      <c r="C50" s="166" t="s">
        <v>1642</v>
      </c>
      <c r="D50" s="1057" t="s">
        <v>43</v>
      </c>
      <c r="E50" s="205" t="s">
        <v>1917</v>
      </c>
      <c r="F50" s="170"/>
      <c r="G50" s="205" t="str">
        <f>+VLOOKUP(Table_1[[#This Row],[Account]],BV_Data_An_Cour!$L:$Q,6,0)</f>
        <v>2-Actifs</v>
      </c>
      <c r="H50" s="205"/>
      <c r="K50" s="168" t="s">
        <v>60</v>
      </c>
    </row>
    <row r="51" spans="1:11" ht="15" hidden="1" customHeight="1">
      <c r="A51" s="178" t="s">
        <v>2117</v>
      </c>
      <c r="B51" s="179" t="s">
        <v>2116</v>
      </c>
      <c r="C51" s="166" t="s">
        <v>1642</v>
      </c>
      <c r="D51" s="1057" t="s">
        <v>43</v>
      </c>
      <c r="E51" s="205" t="s">
        <v>1917</v>
      </c>
      <c r="F51" s="170"/>
      <c r="G51" s="205" t="str">
        <f>+VLOOKUP(Table_1[[#This Row],[Account]],BV_Data_An_Cour!$L:$Q,6,0)</f>
        <v>2-Actifs</v>
      </c>
      <c r="H51" s="205"/>
      <c r="K51" s="168" t="str">
        <f>Print_Mois!C301</f>
        <v>Escomptes</v>
      </c>
    </row>
    <row r="52" spans="1:11" ht="15" hidden="1" customHeight="1">
      <c r="A52" s="178" t="s">
        <v>2143</v>
      </c>
      <c r="B52" s="179" t="s">
        <v>2142</v>
      </c>
      <c r="C52" s="166" t="s">
        <v>1642</v>
      </c>
      <c r="D52" s="1057" t="s">
        <v>43</v>
      </c>
      <c r="E52" s="205" t="s">
        <v>1917</v>
      </c>
      <c r="F52" s="170"/>
      <c r="G52" s="205" t="e">
        <f>+VLOOKUP(Table_1[[#This Row],[Account]],BV_Data_An_Cour!$L:$Q,6,0)</f>
        <v>#N/A</v>
      </c>
      <c r="H52" s="205"/>
      <c r="K52" s="168" t="str">
        <f>Print_Mois!C15</f>
        <v>Ex-Démos et courtoisies</v>
      </c>
    </row>
    <row r="53" spans="1:11" ht="15" hidden="1" customHeight="1">
      <c r="A53" s="178" t="s">
        <v>2178</v>
      </c>
      <c r="B53" s="179" t="s">
        <v>2177</v>
      </c>
      <c r="C53" s="166" t="s">
        <v>1642</v>
      </c>
      <c r="D53" s="1057" t="s">
        <v>43</v>
      </c>
      <c r="E53" s="205" t="s">
        <v>1917</v>
      </c>
      <c r="F53" s="170"/>
      <c r="G53" s="205" t="str">
        <f>+VLOOKUP(Table_1[[#This Row],[Account]],BV_Data_An_Cour!$L:$Q,6,0)</f>
        <v>2-Actifs</v>
      </c>
      <c r="H53" s="205"/>
      <c r="K53" s="168" t="str">
        <f>Print_Mois!C17</f>
        <v>Flottes</v>
      </c>
    </row>
    <row r="54" spans="1:11" ht="15" hidden="1" customHeight="1">
      <c r="A54" s="178" t="s">
        <v>2804</v>
      </c>
      <c r="B54" s="179" t="s">
        <v>2803</v>
      </c>
      <c r="C54" s="166" t="s">
        <v>1642</v>
      </c>
      <c r="D54" s="1057" t="s">
        <v>43</v>
      </c>
      <c r="E54" s="205" t="s">
        <v>1917</v>
      </c>
      <c r="F54" s="170"/>
      <c r="G54" s="205" t="str">
        <f>+VLOOKUP(Table_1[[#This Row],[Account]],BV_Data_An_Cour!$L:$Q,6,0)</f>
        <v>2-Actifs</v>
      </c>
      <c r="H54" s="205"/>
      <c r="K54" s="168" t="s">
        <v>1673</v>
      </c>
    </row>
    <row r="55" spans="1:11" ht="15" hidden="1" customHeight="1">
      <c r="A55" s="178" t="s">
        <v>2129</v>
      </c>
      <c r="B55" s="179" t="s">
        <v>478</v>
      </c>
      <c r="C55" s="166" t="s">
        <v>1642</v>
      </c>
      <c r="D55" s="1057" t="s">
        <v>43</v>
      </c>
      <c r="E55" s="205" t="s">
        <v>1917</v>
      </c>
      <c r="F55" s="170"/>
      <c r="G55" s="205" t="e">
        <f>+VLOOKUP(Table_1[[#This Row],[Account]],BV_Data_An_Cour!$L:$Q,6,0)</f>
        <v>#N/A</v>
      </c>
      <c r="H55" s="205"/>
      <c r="K55" s="168" t="str">
        <f>Print_Mois!V446</f>
        <v>Formation</v>
      </c>
    </row>
    <row r="56" spans="1:11" ht="15" hidden="1" customHeight="1">
      <c r="A56" s="178" t="s">
        <v>2577</v>
      </c>
      <c r="B56" s="179" t="s">
        <v>2576</v>
      </c>
      <c r="C56" s="166" t="s">
        <v>1642</v>
      </c>
      <c r="D56" s="1057" t="s">
        <v>43</v>
      </c>
      <c r="E56" s="205" t="s">
        <v>1917</v>
      </c>
      <c r="F56" s="170"/>
      <c r="G56" s="205" t="e">
        <f>+VLOOKUP(Table_1[[#This Row],[Account]],BV_Data_An_Cour!$L:$Q,6,0)</f>
        <v>#N/A</v>
      </c>
      <c r="H56" s="205"/>
      <c r="K56" s="168" t="str">
        <f>Print_Mois!V440</f>
        <v>Fournitures autres</v>
      </c>
    </row>
    <row r="57" spans="1:11" ht="15" hidden="1" customHeight="1">
      <c r="A57" s="178" t="s">
        <v>2575</v>
      </c>
      <c r="B57" s="179" t="s">
        <v>2574</v>
      </c>
      <c r="C57" s="166" t="s">
        <v>1642</v>
      </c>
      <c r="D57" s="1057" t="s">
        <v>43</v>
      </c>
      <c r="E57" s="205" t="s">
        <v>1917</v>
      </c>
      <c r="F57" s="170"/>
      <c r="G57" s="205" t="e">
        <f>+VLOOKUP(Table_1[[#This Row],[Account]],BV_Data_An_Cour!$L:$Q,6,0)</f>
        <v>#N/A</v>
      </c>
      <c r="H57" s="205"/>
      <c r="K57" s="168" t="s">
        <v>1996</v>
      </c>
    </row>
    <row r="58" spans="1:11" ht="15" hidden="1" customHeight="1">
      <c r="A58" s="178" t="s">
        <v>2401</v>
      </c>
      <c r="B58" s="179" t="s">
        <v>2400</v>
      </c>
      <c r="C58" s="166" t="s">
        <v>1642</v>
      </c>
      <c r="D58" s="166" t="s">
        <v>53</v>
      </c>
      <c r="E58" s="205" t="s">
        <v>1917</v>
      </c>
      <c r="F58" s="170"/>
      <c r="G58" s="205" t="str">
        <f>+VLOOKUP(Table_1[[#This Row],[Account]],BV_Data_An_Cour!$L:$Q,6,0)</f>
        <v>2-Actifs</v>
      </c>
      <c r="H58" s="205"/>
      <c r="K58" s="168" t="str">
        <f>Print_Mois!V479</f>
        <v>Frais administration</v>
      </c>
    </row>
    <row r="59" spans="1:11" ht="15" hidden="1" customHeight="1">
      <c r="A59" s="576" t="s">
        <v>2157</v>
      </c>
      <c r="B59" s="584" t="s">
        <v>2156</v>
      </c>
      <c r="C59" s="166" t="s">
        <v>1642</v>
      </c>
      <c r="D59" s="166" t="s">
        <v>53</v>
      </c>
      <c r="E59" s="205" t="s">
        <v>1917</v>
      </c>
      <c r="F59" s="170"/>
      <c r="G59" s="205" t="str">
        <f>+VLOOKUP(Table_1[[#This Row],[Account]],BV_Data_An_Cour!$L:$Q,6,0)</f>
        <v>2-Actifs</v>
      </c>
      <c r="H59" s="205"/>
      <c r="K59" s="168" t="s">
        <v>134</v>
      </c>
    </row>
    <row r="60" spans="1:11" ht="15" hidden="1" customHeight="1">
      <c r="A60" s="178" t="s">
        <v>2403</v>
      </c>
      <c r="B60" s="179" t="s">
        <v>2402</v>
      </c>
      <c r="C60" s="166" t="s">
        <v>1642</v>
      </c>
      <c r="D60" s="166" t="s">
        <v>57</v>
      </c>
      <c r="E60" s="205" t="s">
        <v>1917</v>
      </c>
      <c r="F60" s="170"/>
      <c r="G60" s="205" t="str">
        <f>+VLOOKUP(Table_1[[#This Row],[Account]],BV_Data_An_Cour!$L:$Q,6,0)</f>
        <v>2-Actifs</v>
      </c>
      <c r="H60" s="205"/>
      <c r="K60" s="168" t="str">
        <f>Print_Mois!V450</f>
        <v>[...]</v>
      </c>
    </row>
    <row r="61" spans="1:11" ht="15" hidden="1" customHeight="1">
      <c r="A61" s="576" t="s">
        <v>2127</v>
      </c>
      <c r="B61" s="584" t="s">
        <v>2126</v>
      </c>
      <c r="C61" s="166" t="s">
        <v>1642</v>
      </c>
      <c r="D61" s="166" t="s">
        <v>57</v>
      </c>
      <c r="E61" s="205" t="s">
        <v>1917</v>
      </c>
      <c r="F61" s="170"/>
      <c r="G61" s="205" t="str">
        <f>+VLOOKUP(Table_1[[#This Row],[Account]],BV_Data_An_Cour!$L:$Q,6,0)</f>
        <v>2-Actifs</v>
      </c>
      <c r="H61" s="205"/>
      <c r="K61" s="168" t="str">
        <f>Print_Mois!V437</f>
        <v>Frais de déplacement</v>
      </c>
    </row>
    <row r="62" spans="1:11" ht="15" hidden="1" customHeight="1">
      <c r="A62" s="576" t="s">
        <v>2405</v>
      </c>
      <c r="B62" s="584" t="s">
        <v>2404</v>
      </c>
      <c r="C62" s="166" t="s">
        <v>1642</v>
      </c>
      <c r="D62" s="166" t="s">
        <v>57</v>
      </c>
      <c r="E62" s="205" t="s">
        <v>1917</v>
      </c>
      <c r="F62" s="170"/>
      <c r="G62" s="205" t="str">
        <f>+VLOOKUP(Table_1[[#This Row],[Account]],BV_Data_An_Cour!$L:$Q,6,0)</f>
        <v>2-Actifs</v>
      </c>
      <c r="H62" s="205"/>
      <c r="K62" s="168" t="str">
        <f>Print_Mois!C33</f>
        <v>Frais de livraison</v>
      </c>
    </row>
    <row r="63" spans="1:11" ht="15" hidden="1" customHeight="1">
      <c r="A63" s="576" t="s">
        <v>2198</v>
      </c>
      <c r="B63" s="584" t="s">
        <v>2197</v>
      </c>
      <c r="C63" s="166" t="s">
        <v>1642</v>
      </c>
      <c r="D63" s="166" t="s">
        <v>57</v>
      </c>
      <c r="E63" s="205" t="s">
        <v>1917</v>
      </c>
      <c r="F63" s="170"/>
      <c r="G63" s="205" t="str">
        <f>+VLOOKUP(Table_1[[#This Row],[Account]],BV_Data_An_Cour!$L:$Q,6,0)</f>
        <v>2-Actifs</v>
      </c>
      <c r="H63" s="205"/>
      <c r="K63" s="168" t="s">
        <v>1682</v>
      </c>
    </row>
    <row r="64" spans="1:11" ht="15" hidden="1" customHeight="1">
      <c r="A64" s="576" t="s">
        <v>2407</v>
      </c>
      <c r="B64" s="584" t="s">
        <v>2406</v>
      </c>
      <c r="C64" s="166" t="s">
        <v>1642</v>
      </c>
      <c r="D64" s="166" t="s">
        <v>60</v>
      </c>
      <c r="E64" s="205" t="s">
        <v>1917</v>
      </c>
      <c r="F64" s="170"/>
      <c r="G64" s="205" t="str">
        <f>+VLOOKUP(Table_1[[#This Row],[Account]],BV_Data_An_Cour!$L:$Q,6,0)</f>
        <v>2-Actifs</v>
      </c>
      <c r="H64" s="205"/>
      <c r="K64" s="168" t="s">
        <v>43</v>
      </c>
    </row>
    <row r="65" spans="1:11" ht="15" hidden="1" customHeight="1">
      <c r="A65" s="576" t="s">
        <v>2571</v>
      </c>
      <c r="B65" s="584" t="s">
        <v>2570</v>
      </c>
      <c r="C65" s="166" t="s">
        <v>1642</v>
      </c>
      <c r="D65" s="166" t="s">
        <v>60</v>
      </c>
      <c r="E65" s="205" t="s">
        <v>1917</v>
      </c>
      <c r="F65" s="170"/>
      <c r="G65" s="205" t="str">
        <f>+VLOOKUP(Table_1[[#This Row],[Account]],BV_Data_An_Cour!$L:$Q,6,0)</f>
        <v>2-Actifs</v>
      </c>
      <c r="H65" s="205"/>
      <c r="K65" s="168" t="str">
        <f>Print_Mois!V444</f>
        <v>Frais postaux</v>
      </c>
    </row>
    <row r="66" spans="1:11" ht="15" hidden="1" customHeight="1">
      <c r="A66" s="576" t="s">
        <v>2409</v>
      </c>
      <c r="B66" s="584" t="s">
        <v>2408</v>
      </c>
      <c r="C66" s="166" t="s">
        <v>1642</v>
      </c>
      <c r="D66" s="166" t="s">
        <v>58</v>
      </c>
      <c r="E66" s="205" t="s">
        <v>1917</v>
      </c>
      <c r="F66" s="170"/>
      <c r="G66" s="205" t="str">
        <f>+VLOOKUP(Table_1[[#This Row],[Account]],BV_Data_An_Cour!$L:$Q,6,0)</f>
        <v>2-Actifs</v>
      </c>
      <c r="H66" s="205"/>
      <c r="K66" s="168" t="s">
        <v>1684</v>
      </c>
    </row>
    <row r="67" spans="1:11" ht="15" hidden="1" customHeight="1">
      <c r="A67" s="576" t="s">
        <v>2164</v>
      </c>
      <c r="B67" s="584" t="s">
        <v>2163</v>
      </c>
      <c r="C67" s="166" t="s">
        <v>1642</v>
      </c>
      <c r="D67" s="166" t="s">
        <v>58</v>
      </c>
      <c r="E67" s="205" t="s">
        <v>1917</v>
      </c>
      <c r="F67" s="170"/>
      <c r="G67" s="205" t="str">
        <f>+VLOOKUP(Table_1[[#This Row],[Account]],BV_Data_An_Cour!$L:$Q,6,0)</f>
        <v>2-Actifs</v>
      </c>
      <c r="H67" s="205"/>
      <c r="K67" s="168" t="str">
        <f>Print_Mois!V435</f>
        <v>Frais véhicules de cie</v>
      </c>
    </row>
    <row r="68" spans="1:11" ht="15" hidden="1" customHeight="1">
      <c r="A68" s="576" t="s">
        <v>2411</v>
      </c>
      <c r="B68" s="584" t="s">
        <v>2410</v>
      </c>
      <c r="C68" s="166" t="s">
        <v>1642</v>
      </c>
      <c r="D68" s="166" t="s">
        <v>57</v>
      </c>
      <c r="E68" s="205" t="s">
        <v>1917</v>
      </c>
      <c r="F68" s="170"/>
      <c r="G68" s="205" t="str">
        <f>+VLOOKUP(Table_1[[#This Row],[Account]],BV_Data_An_Cour!$L:$Q,6,0)</f>
        <v>2-Actifs</v>
      </c>
      <c r="H68" s="205"/>
      <c r="K68" s="168" t="s">
        <v>1685</v>
      </c>
    </row>
    <row r="69" spans="1:11" ht="15" hidden="1" customHeight="1">
      <c r="A69" s="576" t="s">
        <v>2413</v>
      </c>
      <c r="B69" s="584" t="s">
        <v>2412</v>
      </c>
      <c r="C69" s="166" t="s">
        <v>1642</v>
      </c>
      <c r="D69" s="166" t="s">
        <v>57</v>
      </c>
      <c r="E69" s="205" t="s">
        <v>1917</v>
      </c>
      <c r="F69" s="170"/>
      <c r="G69" s="205" t="str">
        <f>+VLOOKUP(Table_1[[#This Row],[Account]],BV_Data_An_Cour!$L:$Q,6,0)</f>
        <v>2-Actifs</v>
      </c>
      <c r="H69" s="205"/>
      <c r="K69" s="168" t="str">
        <f>Print_Mois!V469</f>
        <v>Holdbacks</v>
      </c>
    </row>
    <row r="70" spans="1:11" ht="15" hidden="1" customHeight="1">
      <c r="A70" s="178" t="s">
        <v>2569</v>
      </c>
      <c r="B70" s="179" t="s">
        <v>2568</v>
      </c>
      <c r="C70" s="166" t="s">
        <v>1642</v>
      </c>
      <c r="D70" s="166" t="s">
        <v>59</v>
      </c>
      <c r="E70" s="205" t="s">
        <v>1917</v>
      </c>
      <c r="F70" s="170"/>
      <c r="G70" s="205" t="str">
        <f>+VLOOKUP(Table_1[[#This Row],[Account]],BV_Data_An_Cour!$L:$Q,6,0)</f>
        <v>2-Actifs</v>
      </c>
      <c r="H70" s="205"/>
      <c r="K70" s="168" t="str">
        <f>Print_Mois!V458</f>
        <v>Honoraires</v>
      </c>
    </row>
    <row r="71" spans="1:11" ht="15" hidden="1" customHeight="1">
      <c r="A71" s="576" t="s">
        <v>2155</v>
      </c>
      <c r="B71" s="584" t="s">
        <v>2154</v>
      </c>
      <c r="C71" s="166" t="s">
        <v>1642</v>
      </c>
      <c r="D71" s="166" t="s">
        <v>59</v>
      </c>
      <c r="E71" s="205" t="s">
        <v>1917</v>
      </c>
      <c r="F71" s="170"/>
      <c r="G71" s="205" t="str">
        <f>+VLOOKUP(Table_1[[#This Row],[Account]],BV_Data_An_Cour!$L:$Q,6,0)</f>
        <v>2-Actifs</v>
      </c>
      <c r="H71" s="205"/>
      <c r="K71" s="168" t="str">
        <f>Print_Mois!C307</f>
        <v>Huiles et Graisse</v>
      </c>
    </row>
    <row r="72" spans="1:11" ht="15" hidden="1" customHeight="1">
      <c r="A72" s="178" t="s">
        <v>2414</v>
      </c>
      <c r="B72" s="179" t="s">
        <v>822</v>
      </c>
      <c r="C72" s="166" t="s">
        <v>1642</v>
      </c>
      <c r="D72" s="166" t="s">
        <v>62</v>
      </c>
      <c r="E72" s="205" t="s">
        <v>1917</v>
      </c>
      <c r="F72" s="170"/>
      <c r="G72" s="205" t="str">
        <f>+VLOOKUP(Table_1[[#This Row],[Account]],BV_Data_An_Cour!$L:$Q,6,0)</f>
        <v>2-Actifs</v>
      </c>
      <c r="H72" s="205"/>
      <c r="K72" s="168" t="s">
        <v>52</v>
      </c>
    </row>
    <row r="73" spans="1:11" ht="15" hidden="1" customHeight="1">
      <c r="A73" s="178" t="s">
        <v>2196</v>
      </c>
      <c r="B73" s="179" t="s">
        <v>2195</v>
      </c>
      <c r="C73" s="166" t="s">
        <v>1642</v>
      </c>
      <c r="D73" s="166" t="s">
        <v>62</v>
      </c>
      <c r="E73" s="205" t="s">
        <v>1917</v>
      </c>
      <c r="F73" s="170"/>
      <c r="G73" s="205" t="str">
        <f>+VLOOKUP(Table_1[[#This Row],[Account]],BV_Data_An_Cour!$L:$Q,6,0)</f>
        <v>2-Actifs</v>
      </c>
      <c r="H73" s="205"/>
      <c r="K73" s="168" t="s">
        <v>20</v>
      </c>
    </row>
    <row r="74" spans="1:11" ht="15" hidden="1" customHeight="1">
      <c r="A74" s="178" t="s">
        <v>2416</v>
      </c>
      <c r="B74" s="179" t="s">
        <v>2415</v>
      </c>
      <c r="C74" s="166" t="s">
        <v>1642</v>
      </c>
      <c r="D74" s="166" t="s">
        <v>65</v>
      </c>
      <c r="E74" s="205" t="s">
        <v>1917</v>
      </c>
      <c r="F74" s="170"/>
      <c r="G74" s="205" t="str">
        <f>+VLOOKUP(Table_1[[#This Row],[Account]],BV_Data_An_Cour!$L:$Q,6,0)</f>
        <v>2-Actifs</v>
      </c>
      <c r="H74" s="205"/>
      <c r="K74" s="168" t="s">
        <v>48</v>
      </c>
    </row>
    <row r="75" spans="1:11" ht="15" hidden="1" customHeight="1">
      <c r="A75" s="178" t="s">
        <v>2753</v>
      </c>
      <c r="B75" s="179" t="s">
        <v>2752</v>
      </c>
      <c r="C75" s="166" t="s">
        <v>1642</v>
      </c>
      <c r="D75" s="166" t="s">
        <v>25</v>
      </c>
      <c r="E75" s="205" t="s">
        <v>1917</v>
      </c>
      <c r="F75" s="170"/>
      <c r="G75" s="205" t="str">
        <f>+VLOOKUP(Table_1[[#This Row],[Account]],BV_Data_An_Cour!$L:$Q,6,0)</f>
        <v>2-Actifs</v>
      </c>
      <c r="H75" s="205"/>
      <c r="K75" s="168" t="str">
        <f>Print_Mois!V436</f>
        <v>Informatique</v>
      </c>
    </row>
    <row r="76" spans="1:11" ht="15" hidden="1" customHeight="1">
      <c r="A76" s="178" t="s">
        <v>2209</v>
      </c>
      <c r="B76" s="179" t="s">
        <v>2208</v>
      </c>
      <c r="C76" s="166"/>
      <c r="D76" s="166"/>
      <c r="E76" s="205"/>
      <c r="F76" s="170"/>
      <c r="G76" s="205" t="e">
        <f>+VLOOKUP(Table_1[[#This Row],[Account]],BV_Data_An_Cour!$L:$Q,6,0)</f>
        <v>#N/A</v>
      </c>
      <c r="H76" s="205"/>
      <c r="K76" s="168" t="s">
        <v>172</v>
      </c>
    </row>
    <row r="77" spans="1:11" ht="15" hidden="1" customHeight="1">
      <c r="A77" s="178" t="s">
        <v>2847</v>
      </c>
      <c r="B77" s="179" t="s">
        <v>2846</v>
      </c>
      <c r="C77" s="166" t="s">
        <v>1642</v>
      </c>
      <c r="D77" s="166" t="s">
        <v>30</v>
      </c>
      <c r="E77" s="205" t="s">
        <v>1917</v>
      </c>
      <c r="F77" s="170"/>
      <c r="G77" s="205" t="str">
        <f>+VLOOKUP(Table_1[[#This Row],[Account]],BV_Data_An_Cour!$L:$Q,6,0)</f>
        <v>3-Passifs</v>
      </c>
      <c r="H77" s="205"/>
      <c r="K77" s="168" t="s">
        <v>109</v>
      </c>
    </row>
    <row r="78" spans="1:11" ht="15" hidden="1" customHeight="1">
      <c r="A78" s="178" t="s">
        <v>2037</v>
      </c>
      <c r="B78" s="179" t="s">
        <v>2036</v>
      </c>
      <c r="C78" s="166" t="s">
        <v>1642</v>
      </c>
      <c r="D78" s="166" t="s">
        <v>32</v>
      </c>
      <c r="E78" s="205" t="s">
        <v>1917</v>
      </c>
      <c r="F78" s="170"/>
      <c r="G78" s="205" t="str">
        <f>+VLOOKUP(Table_1[[#This Row],[Account]],BV_Data_An_Cour!$L:$Q,6,0)</f>
        <v>3-Passifs</v>
      </c>
      <c r="H78" s="205"/>
      <c r="K78" s="168" t="str">
        <f>Print_Mois!V491</f>
        <v>Intérêts sur marge</v>
      </c>
    </row>
    <row r="79" spans="1:11" ht="15" hidden="1" customHeight="1">
      <c r="A79" s="178" t="s">
        <v>2418</v>
      </c>
      <c r="B79" s="179" t="s">
        <v>2417</v>
      </c>
      <c r="C79" s="166" t="s">
        <v>1642</v>
      </c>
      <c r="D79" s="166" t="s">
        <v>11</v>
      </c>
      <c r="E79" s="205" t="s">
        <v>1917</v>
      </c>
      <c r="F79" s="170"/>
      <c r="G79" s="205" t="str">
        <f>+VLOOKUP(Table_1[[#This Row],[Account]],BV_Data_An_Cour!$L:$Q,6,0)</f>
        <v>3-Passifs</v>
      </c>
      <c r="H79" s="205"/>
      <c r="K79" s="168" t="str">
        <f>Print_Mois!V492</f>
        <v>Intérêts sur prêt</v>
      </c>
    </row>
    <row r="80" spans="1:11" ht="15" hidden="1" customHeight="1">
      <c r="A80" s="179" t="s">
        <v>2204</v>
      </c>
      <c r="B80" s="179" t="s">
        <v>2203</v>
      </c>
      <c r="C80" s="166" t="s">
        <v>1642</v>
      </c>
      <c r="D80" s="166" t="s">
        <v>18</v>
      </c>
      <c r="E80" s="205" t="s">
        <v>1917</v>
      </c>
      <c r="F80" s="205"/>
      <c r="G80" s="205" t="e">
        <f>+VLOOKUP(Table_1[[#This Row],[Account]],BV_Data_An_Cour!$L:$Q,6,0)</f>
        <v>#N/A</v>
      </c>
      <c r="H80" s="205"/>
      <c r="K80" s="168" t="s">
        <v>33</v>
      </c>
    </row>
    <row r="81" spans="1:11" ht="15" hidden="1" customHeight="1">
      <c r="A81" s="179" t="s">
        <v>2057</v>
      </c>
      <c r="B81" s="179" t="s">
        <v>2056</v>
      </c>
      <c r="C81" s="166" t="s">
        <v>1642</v>
      </c>
      <c r="D81" s="166" t="s">
        <v>18</v>
      </c>
      <c r="E81" s="205" t="s">
        <v>1917</v>
      </c>
      <c r="F81" s="205"/>
      <c r="G81" s="205" t="str">
        <f>+VLOOKUP(Table_1[[#This Row],[Account]],BV_Data_An_Cour!$L:$Q,6,0)</f>
        <v>3-Passifs</v>
      </c>
      <c r="H81" s="205"/>
      <c r="K81" s="168" t="s">
        <v>29</v>
      </c>
    </row>
    <row r="82" spans="1:11" ht="15" hidden="1" customHeight="1">
      <c r="A82" s="179" t="s">
        <v>2797</v>
      </c>
      <c r="B82" s="179" t="s">
        <v>2796</v>
      </c>
      <c r="C82" s="166" t="s">
        <v>1642</v>
      </c>
      <c r="D82" s="166" t="s">
        <v>18</v>
      </c>
      <c r="E82" s="205" t="s">
        <v>1917</v>
      </c>
      <c r="F82" s="205"/>
      <c r="G82" s="205" t="str">
        <f>+VLOOKUP(Table_1[[#This Row],[Account]],BV_Data_An_Cour!$L:$Q,6,0)</f>
        <v>3-Passifs</v>
      </c>
      <c r="H82" s="205"/>
      <c r="K82" s="168" t="s">
        <v>31</v>
      </c>
    </row>
    <row r="83" spans="1:11" ht="15" hidden="1" customHeight="1">
      <c r="A83" s="179" t="s">
        <v>2066</v>
      </c>
      <c r="B83" s="179" t="s">
        <v>2813</v>
      </c>
      <c r="C83" s="166" t="s">
        <v>1642</v>
      </c>
      <c r="D83" s="166" t="s">
        <v>18</v>
      </c>
      <c r="E83" s="205" t="s">
        <v>1917</v>
      </c>
      <c r="F83" s="205"/>
      <c r="G83" s="205" t="str">
        <f>+VLOOKUP(Table_1[[#This Row],[Account]],BV_Data_An_Cour!$L:$Q,6,0)</f>
        <v>3-Passifs</v>
      </c>
      <c r="H83" s="205"/>
      <c r="K83" s="168" t="str">
        <f>Print_Mois!V460</f>
        <v>Location équipement</v>
      </c>
    </row>
    <row r="84" spans="1:11" ht="15" hidden="1" customHeight="1">
      <c r="A84" s="179" t="s">
        <v>2065</v>
      </c>
      <c r="B84" s="179" t="s">
        <v>2064</v>
      </c>
      <c r="C84" s="166" t="s">
        <v>1642</v>
      </c>
      <c r="D84" s="166" t="s">
        <v>18</v>
      </c>
      <c r="E84" s="205" t="s">
        <v>1917</v>
      </c>
      <c r="F84" s="205"/>
      <c r="G84" s="205" t="str">
        <f>+VLOOKUP(Table_1[[#This Row],[Account]],BV_Data_An_Cour!$L:$Q,6,0)</f>
        <v>3-Passifs</v>
      </c>
      <c r="H84" s="205"/>
      <c r="K84" s="168" t="str">
        <f>Print_Mois!V452</f>
        <v>Loyer</v>
      </c>
    </row>
    <row r="85" spans="1:11" ht="15" hidden="1" customHeight="1">
      <c r="A85" s="179" t="s">
        <v>2617</v>
      </c>
      <c r="B85" s="179" t="s">
        <v>2616</v>
      </c>
      <c r="C85" s="166" t="s">
        <v>1642</v>
      </c>
      <c r="D85" s="166" t="s">
        <v>18</v>
      </c>
      <c r="E85" s="205" t="s">
        <v>1917</v>
      </c>
      <c r="F85" s="205"/>
      <c r="G85" s="205" t="str">
        <f>+VLOOKUP(Table_1[[#This Row],[Account]],BV_Data_An_Cour!$L:$Q,6,0)</f>
        <v>3-Passifs</v>
      </c>
      <c r="H85" s="205"/>
      <c r="K85" s="168" t="str">
        <f>Print_Mois!C243</f>
        <v>M/O Carrosserie</v>
      </c>
    </row>
    <row r="86" spans="1:11" ht="15" hidden="1" customHeight="1">
      <c r="A86" s="179" t="s">
        <v>2819</v>
      </c>
      <c r="B86" s="179" t="s">
        <v>2818</v>
      </c>
      <c r="C86" s="166" t="s">
        <v>1642</v>
      </c>
      <c r="D86" s="166" t="s">
        <v>26</v>
      </c>
      <c r="E86" s="205" t="s">
        <v>1917</v>
      </c>
      <c r="F86" s="205"/>
      <c r="G86" s="205" t="str">
        <f>+VLOOKUP(Table_1[[#This Row],[Account]],BV_Data_An_Cour!$L:$Q,6,0)</f>
        <v>3-Passifs</v>
      </c>
      <c r="H86" s="205"/>
      <c r="K86" s="168" t="str">
        <f>Print_Mois!C171</f>
        <v>M/O Client</v>
      </c>
    </row>
    <row r="87" spans="1:11" ht="15" hidden="1" customHeight="1">
      <c r="A87" s="179" t="s">
        <v>2134</v>
      </c>
      <c r="B87" s="179" t="s">
        <v>2173</v>
      </c>
      <c r="C87" s="166" t="s">
        <v>1642</v>
      </c>
      <c r="D87" s="166" t="s">
        <v>26</v>
      </c>
      <c r="E87" s="205" t="s">
        <v>1917</v>
      </c>
      <c r="F87" s="205"/>
      <c r="G87" s="205" t="str">
        <f>+VLOOKUP(Table_1[[#This Row],[Account]],BV_Data_An_Cour!$L:$Q,6,0)</f>
        <v>3-Passifs</v>
      </c>
      <c r="H87" s="205"/>
      <c r="K87" s="168" t="str">
        <f>Print_Mois!C180</f>
        <v>M/O Esthétique</v>
      </c>
    </row>
    <row r="88" spans="1:11" ht="15" hidden="1" customHeight="1">
      <c r="A88" s="576" t="s">
        <v>2773</v>
      </c>
      <c r="B88" s="584" t="s">
        <v>2772</v>
      </c>
      <c r="C88" s="166" t="s">
        <v>1642</v>
      </c>
      <c r="D88" s="166" t="s">
        <v>26</v>
      </c>
      <c r="E88" s="205" t="s">
        <v>1917</v>
      </c>
      <c r="F88" s="170"/>
      <c r="G88" s="205" t="str">
        <f>+VLOOKUP(Table_1[[#This Row],[Account]],BV_Data_An_Cour!$L:$Q,6,0)</f>
        <v>3-Passifs</v>
      </c>
      <c r="H88" s="205"/>
      <c r="K88" s="168" t="str">
        <f>+Print_Mois!C246</f>
        <v>M/O Esthétique Carr.</v>
      </c>
    </row>
    <row r="89" spans="1:11" ht="15" hidden="1" customHeight="1">
      <c r="A89" s="178" t="s">
        <v>2747</v>
      </c>
      <c r="B89" s="179" t="s">
        <v>2746</v>
      </c>
      <c r="C89" s="166" t="s">
        <v>1642</v>
      </c>
      <c r="D89" s="166" t="s">
        <v>26</v>
      </c>
      <c r="E89" s="205" t="s">
        <v>1917</v>
      </c>
      <c r="F89" s="170"/>
      <c r="G89" s="205" t="str">
        <f>+VLOOKUP(Table_1[[#This Row],[Account]],BV_Data_An_Cour!$L:$Q,6,0)</f>
        <v>3-Passifs</v>
      </c>
      <c r="H89" s="205"/>
      <c r="K89" s="168" t="str">
        <f>Print_Mois!C174</f>
        <v>M/O Garantie</v>
      </c>
    </row>
    <row r="90" spans="1:11" ht="15" hidden="1" customHeight="1">
      <c r="A90" s="178" t="s">
        <v>2229</v>
      </c>
      <c r="B90" s="179" t="s">
        <v>2228</v>
      </c>
      <c r="C90" s="166"/>
      <c r="D90" s="166"/>
      <c r="E90" s="205"/>
      <c r="F90" s="170"/>
      <c r="G90" s="205" t="e">
        <f>+VLOOKUP(Table_1[[#This Row],[Account]],BV_Data_An_Cour!$L:$Q,6,0)</f>
        <v>#N/A</v>
      </c>
      <c r="H90" s="205"/>
      <c r="K90" s="168" t="str">
        <f>Print_Mois!C177</f>
        <v>M/O Interne</v>
      </c>
    </row>
    <row r="91" spans="1:11" ht="15" hidden="1" customHeight="1">
      <c r="A91" s="576" t="s">
        <v>2010</v>
      </c>
      <c r="B91" s="584" t="s">
        <v>2009</v>
      </c>
      <c r="C91" s="166" t="s">
        <v>1642</v>
      </c>
      <c r="D91" s="166" t="s">
        <v>16</v>
      </c>
      <c r="E91" s="205" t="s">
        <v>1917</v>
      </c>
      <c r="F91" s="170"/>
      <c r="G91" s="205" t="str">
        <f>+VLOOKUP(Table_1[[#This Row],[Account]],BV_Data_An_Cour!$L:$Q,6,0)</f>
        <v>3-Passifs</v>
      </c>
      <c r="H91" s="205"/>
      <c r="K91" s="168" t="s">
        <v>9</v>
      </c>
    </row>
    <row r="92" spans="1:11" ht="15" hidden="1" customHeight="1">
      <c r="A92" s="576" t="s">
        <v>2050</v>
      </c>
      <c r="B92" s="584" t="s">
        <v>2049</v>
      </c>
      <c r="C92" s="166" t="s">
        <v>1642</v>
      </c>
      <c r="D92" s="166" t="s">
        <v>26</v>
      </c>
      <c r="E92" s="205" t="s">
        <v>1917</v>
      </c>
      <c r="F92" s="170"/>
      <c r="G92" s="205" t="str">
        <f>+VLOOKUP(Table_1[[#This Row],[Account]],BV_Data_An_Cour!$L:$Q,6,0)</f>
        <v>3-Passifs</v>
      </c>
      <c r="H92" s="205"/>
      <c r="K92" s="168" t="s">
        <v>1700</v>
      </c>
    </row>
    <row r="93" spans="1:11" ht="15" hidden="1" customHeight="1">
      <c r="A93" s="576" t="s">
        <v>2133</v>
      </c>
      <c r="B93" s="584" t="s">
        <v>2132</v>
      </c>
      <c r="C93" s="166" t="s">
        <v>1642</v>
      </c>
      <c r="D93" s="166" t="s">
        <v>40</v>
      </c>
      <c r="E93" s="205" t="s">
        <v>1917</v>
      </c>
      <c r="F93" s="170"/>
      <c r="G93" s="205" t="str">
        <f>+VLOOKUP(Table_1[[#This Row],[Account]],BV_Data_An_Cour!$L:$Q,6,0)</f>
        <v>3-Passifs</v>
      </c>
      <c r="H93" s="205"/>
      <c r="K93" s="168" t="s">
        <v>58</v>
      </c>
    </row>
    <row r="94" spans="1:11" ht="15" hidden="1" customHeight="1">
      <c r="A94" s="178" t="s">
        <v>2420</v>
      </c>
      <c r="B94" s="179" t="s">
        <v>2419</v>
      </c>
      <c r="C94" s="166" t="s">
        <v>1642</v>
      </c>
      <c r="D94" s="166" t="s">
        <v>40</v>
      </c>
      <c r="E94" s="205" t="s">
        <v>1917</v>
      </c>
      <c r="F94" s="170"/>
      <c r="G94" s="205" t="str">
        <f>+VLOOKUP(Table_1[[#This Row],[Account]],BV_Data_An_Cour!$L:$Q,6,0)</f>
        <v>3-Passifs</v>
      </c>
      <c r="H94" s="205"/>
      <c r="K94" s="168" t="str">
        <f>Print_Mois!C95</f>
        <v>Non Certifié</v>
      </c>
    </row>
    <row r="95" spans="1:11" ht="15" hidden="1" customHeight="1">
      <c r="A95" s="178" t="s">
        <v>2147</v>
      </c>
      <c r="B95" s="179" t="s">
        <v>2146</v>
      </c>
      <c r="C95" s="166" t="s">
        <v>1642</v>
      </c>
      <c r="D95" s="166" t="s">
        <v>40</v>
      </c>
      <c r="E95" s="205" t="s">
        <v>1917</v>
      </c>
      <c r="F95" s="170"/>
      <c r="G95" s="205" t="str">
        <f>+VLOOKUP(Table_1[[#This Row],[Account]],BV_Data_An_Cour!$L:$Q,6,0)</f>
        <v>3-Passifs</v>
      </c>
      <c r="H95" s="205"/>
      <c r="K95" s="168" t="str">
        <f>Print_Mois!C296</f>
        <v>P/A Garantie</v>
      </c>
    </row>
    <row r="96" spans="1:11" ht="15" hidden="1" customHeight="1">
      <c r="A96" s="178" t="s">
        <v>2232</v>
      </c>
      <c r="B96" s="179" t="s">
        <v>2231</v>
      </c>
      <c r="C96" s="166"/>
      <c r="D96" s="166"/>
      <c r="E96" s="205" t="s">
        <v>1917</v>
      </c>
      <c r="F96" s="170"/>
      <c r="G96" s="205" t="e">
        <f>+VLOOKUP(Table_1[[#This Row],[Account]],BV_Data_An_Cour!$L:$Q,6,0)</f>
        <v>#N/A</v>
      </c>
      <c r="H96" s="205"/>
      <c r="K96" s="168" t="str">
        <f>Print_Mois!V442</f>
        <v>Papeterie</v>
      </c>
    </row>
    <row r="97" spans="1:11" ht="15" hidden="1" customHeight="1">
      <c r="A97" s="178" t="s">
        <v>2162</v>
      </c>
      <c r="B97" s="179" t="s">
        <v>2710</v>
      </c>
      <c r="C97" s="166" t="s">
        <v>1642</v>
      </c>
      <c r="D97" s="166" t="s">
        <v>38</v>
      </c>
      <c r="E97" s="205" t="s">
        <v>1917</v>
      </c>
      <c r="F97" s="170"/>
      <c r="G97" s="205" t="str">
        <f>+VLOOKUP(Table_1[[#This Row],[Account]],BV_Data_An_Cour!$L:$Q,6,0)</f>
        <v>3-Passifs</v>
      </c>
      <c r="H97" s="205"/>
      <c r="K97" s="168" t="str">
        <f>Print_Mois!C295</f>
        <v>Pièces Ro Carrosserie</v>
      </c>
    </row>
    <row r="98" spans="1:11" ht="15" hidden="1" customHeight="1">
      <c r="A98" s="178" t="s">
        <v>2161</v>
      </c>
      <c r="B98" s="179" t="s">
        <v>2160</v>
      </c>
      <c r="C98" s="166" t="s">
        <v>1642</v>
      </c>
      <c r="D98" s="166" t="s">
        <v>38</v>
      </c>
      <c r="E98" s="205" t="s">
        <v>1917</v>
      </c>
      <c r="F98" s="170"/>
      <c r="G98" s="205" t="str">
        <f>+VLOOKUP(Table_1[[#This Row],[Account]],BV_Data_An_Cour!$L:$Q,6,0)</f>
        <v>3-Passifs</v>
      </c>
      <c r="H98" s="205"/>
      <c r="K98" s="168" t="str">
        <f>Print_Mois!C294</f>
        <v>Pièces Ro Clients</v>
      </c>
    </row>
    <row r="99" spans="1:11" ht="15" hidden="1" customHeight="1">
      <c r="A99" s="576" t="s">
        <v>2234</v>
      </c>
      <c r="B99" s="584" t="s">
        <v>2233</v>
      </c>
      <c r="C99" s="166"/>
      <c r="D99" s="166"/>
      <c r="E99" s="205"/>
      <c r="F99" s="170"/>
      <c r="G99" s="205" t="e">
        <f>+VLOOKUP(Table_1[[#This Row],[Account]],BV_Data_An_Cour!$L:$Q,6,0)</f>
        <v>#N/A</v>
      </c>
      <c r="H99" s="205"/>
      <c r="K99" s="168" t="s">
        <v>11</v>
      </c>
    </row>
    <row r="100" spans="1:11" ht="15" hidden="1" customHeight="1">
      <c r="A100" s="178" t="s">
        <v>2750</v>
      </c>
      <c r="B100" s="179" t="s">
        <v>2749</v>
      </c>
      <c r="C100" s="166" t="s">
        <v>1642</v>
      </c>
      <c r="D100" s="166" t="s">
        <v>38</v>
      </c>
      <c r="E100" s="205" t="s">
        <v>1917</v>
      </c>
      <c r="F100" s="170"/>
      <c r="G100" s="205" t="str">
        <f>+VLOOKUP(Table_1[[#This Row],[Account]],BV_Data_An_Cour!$L:$Q,6,0)</f>
        <v>3-Passifs</v>
      </c>
      <c r="H100" s="205"/>
      <c r="K100" s="168" t="str">
        <f>Print_Mois!V470</f>
        <v>Programme neuf 1</v>
      </c>
    </row>
    <row r="101" spans="1:11" ht="15" hidden="1" customHeight="1">
      <c r="A101" s="576" t="s">
        <v>2583</v>
      </c>
      <c r="B101" s="584" t="s">
        <v>2582</v>
      </c>
      <c r="C101" s="166" t="s">
        <v>1642</v>
      </c>
      <c r="D101" s="166" t="s">
        <v>38</v>
      </c>
      <c r="E101" s="205" t="s">
        <v>1917</v>
      </c>
      <c r="F101" s="170"/>
      <c r="G101" s="205" t="str">
        <f>+VLOOKUP(Table_1[[#This Row],[Account]],BV_Data_An_Cour!$L:$Q,6,0)</f>
        <v>3-Passifs</v>
      </c>
      <c r="H101" s="205"/>
      <c r="K101" s="168" t="str">
        <f>Print_Mois!V471</f>
        <v>Programme neuf 2</v>
      </c>
    </row>
    <row r="102" spans="1:11" ht="15" hidden="1" customHeight="1">
      <c r="A102" s="576" t="s">
        <v>2185</v>
      </c>
      <c r="B102" s="584" t="s">
        <v>536</v>
      </c>
      <c r="C102" s="166" t="s">
        <v>1642</v>
      </c>
      <c r="D102" s="166" t="s">
        <v>38</v>
      </c>
      <c r="E102" s="205" t="s">
        <v>1917</v>
      </c>
      <c r="F102" s="170"/>
      <c r="G102" s="205" t="str">
        <f>+VLOOKUP(Table_1[[#This Row],[Account]],BV_Data_An_Cour!$L:$Q,6,0)</f>
        <v>3-Passifs</v>
      </c>
      <c r="H102" s="205"/>
      <c r="K102" s="168" t="str">
        <f>Print_Mois!V472</f>
        <v>Programme neuf 3</v>
      </c>
    </row>
    <row r="103" spans="1:11" ht="15" hidden="1" customHeight="1">
      <c r="A103" s="576" t="s">
        <v>2236</v>
      </c>
      <c r="B103" s="584" t="s">
        <v>2235</v>
      </c>
      <c r="C103" s="166"/>
      <c r="D103" s="166"/>
      <c r="E103" s="205"/>
      <c r="F103" s="170"/>
      <c r="G103" s="205" t="e">
        <f>+VLOOKUP(Table_1[[#This Row],[Account]],BV_Data_An_Cour!$L:$Q,6,0)</f>
        <v>#N/A</v>
      </c>
      <c r="H103" s="205"/>
      <c r="K103" s="168" t="s">
        <v>108</v>
      </c>
    </row>
    <row r="104" spans="1:11" ht="15" hidden="1" customHeight="1">
      <c r="A104" s="178" t="s">
        <v>2238</v>
      </c>
      <c r="B104" s="179" t="s">
        <v>2237</v>
      </c>
      <c r="C104" s="166"/>
      <c r="D104" s="166"/>
      <c r="E104" s="205"/>
      <c r="F104" s="170"/>
      <c r="G104" s="205" t="e">
        <f>+VLOOKUP(Table_1[[#This Row],[Account]],BV_Data_An_Cour!$L:$Q,6,0)</f>
        <v>#N/A</v>
      </c>
      <c r="H104" s="205"/>
      <c r="K104" s="168" t="s">
        <v>121</v>
      </c>
    </row>
    <row r="105" spans="1:11" ht="15" hidden="1" customHeight="1">
      <c r="A105" s="576" t="s">
        <v>2194</v>
      </c>
      <c r="B105" s="584" t="s">
        <v>2193</v>
      </c>
      <c r="C105" s="166" t="s">
        <v>1642</v>
      </c>
      <c r="D105" s="166" t="s">
        <v>22</v>
      </c>
      <c r="E105" s="205" t="s">
        <v>1917</v>
      </c>
      <c r="F105" s="170"/>
      <c r="G105" s="205" t="str">
        <f>+VLOOKUP(Table_1[[#This Row],[Account]],BV_Data_An_Cour!$L:$Q,6,0)</f>
        <v>3-Passifs</v>
      </c>
      <c r="H105" s="205"/>
      <c r="K105" s="168" t="str">
        <f>Print_Mois!C19</f>
        <v>Rachat bail</v>
      </c>
    </row>
    <row r="106" spans="1:11" ht="15" hidden="1" customHeight="1">
      <c r="A106" s="178" t="s">
        <v>2240</v>
      </c>
      <c r="B106" s="179" t="s">
        <v>2239</v>
      </c>
      <c r="C106" s="166"/>
      <c r="D106" s="166"/>
      <c r="E106" s="205"/>
      <c r="F106" s="170"/>
      <c r="G106" s="205" t="e">
        <f>+VLOOKUP(Table_1[[#This Row],[Account]],BV_Data_An_Cour!$L:$Q,6,0)</f>
        <v>#N/A</v>
      </c>
      <c r="H106" s="205"/>
      <c r="K106" s="168" t="s">
        <v>25</v>
      </c>
    </row>
    <row r="107" spans="1:11" ht="15" hidden="1" customHeight="1">
      <c r="A107" s="576" t="s">
        <v>2243</v>
      </c>
      <c r="B107" s="584" t="s">
        <v>2242</v>
      </c>
      <c r="C107" s="166"/>
      <c r="D107" s="166"/>
      <c r="E107" s="205"/>
      <c r="F107" s="170"/>
      <c r="G107" s="205" t="e">
        <f>+VLOOKUP(Table_1[[#This Row],[Account]],BV_Data_An_Cour!$L:$Q,6,0)</f>
        <v>#N/A</v>
      </c>
      <c r="H107" s="205"/>
      <c r="K107" s="168" t="s">
        <v>21</v>
      </c>
    </row>
    <row r="108" spans="1:11" ht="15" hidden="1" customHeight="1">
      <c r="A108" s="178" t="s">
        <v>2245</v>
      </c>
      <c r="B108" s="179" t="s">
        <v>2244</v>
      </c>
      <c r="C108" s="166"/>
      <c r="D108" s="166"/>
      <c r="E108" s="205"/>
      <c r="F108" s="170"/>
      <c r="G108" s="205" t="e">
        <f>+VLOOKUP(Table_1[[#This Row],[Account]],BV_Data_An_Cour!$L:$Q,6,0)</f>
        <v>#N/A</v>
      </c>
      <c r="H108" s="205"/>
      <c r="K108" s="168" t="s">
        <v>12</v>
      </c>
    </row>
    <row r="109" spans="1:11" ht="15" hidden="1" customHeight="1">
      <c r="A109" s="178" t="s">
        <v>2247</v>
      </c>
      <c r="B109" s="179" t="s">
        <v>2246</v>
      </c>
      <c r="C109" s="166"/>
      <c r="D109" s="166"/>
      <c r="E109" s="205"/>
      <c r="F109" s="170"/>
      <c r="G109" s="205" t="e">
        <f>+VLOOKUP(Table_1[[#This Row],[Account]],BV_Data_An_Cour!$L:$Q,6,0)</f>
        <v>#N/A</v>
      </c>
      <c r="H109" s="205"/>
      <c r="K109" s="168" t="s">
        <v>19</v>
      </c>
    </row>
    <row r="110" spans="1:11" ht="15" hidden="1" customHeight="1">
      <c r="A110" s="178" t="s">
        <v>2601</v>
      </c>
      <c r="B110" s="179" t="s">
        <v>2600</v>
      </c>
      <c r="C110" s="166" t="s">
        <v>1642</v>
      </c>
      <c r="D110" s="166" t="s">
        <v>36</v>
      </c>
      <c r="E110" s="205" t="s">
        <v>1917</v>
      </c>
      <c r="F110" s="170"/>
      <c r="G110" s="205" t="str">
        <f>+VLOOKUP(Table_1[[#This Row],[Account]],BV_Data_An_Cour!$L:$Q,6,0)</f>
        <v>3-Passifs</v>
      </c>
      <c r="H110" s="205"/>
      <c r="K110" s="168" t="s">
        <v>15</v>
      </c>
    </row>
    <row r="111" spans="1:11" ht="15" hidden="1" customHeight="1">
      <c r="A111" s="178" t="s">
        <v>2059</v>
      </c>
      <c r="B111" s="179" t="s">
        <v>2058</v>
      </c>
      <c r="C111" s="166" t="s">
        <v>1642</v>
      </c>
      <c r="D111" s="166" t="s">
        <v>36</v>
      </c>
      <c r="E111" s="205" t="s">
        <v>1917</v>
      </c>
      <c r="F111" s="170"/>
      <c r="G111" s="205" t="str">
        <f>+VLOOKUP(Table_1[[#This Row],[Account]],BV_Data_An_Cour!$L:$Q,6,0)</f>
        <v>3-Passifs</v>
      </c>
      <c r="H111" s="205"/>
      <c r="K111" s="168" t="s">
        <v>17</v>
      </c>
    </row>
    <row r="112" spans="1:11" ht="15" hidden="1" customHeight="1">
      <c r="A112" s="576" t="s">
        <v>2099</v>
      </c>
      <c r="B112" s="584" t="s">
        <v>2098</v>
      </c>
      <c r="C112" s="166" t="s">
        <v>1642</v>
      </c>
      <c r="D112" s="166" t="s">
        <v>36</v>
      </c>
      <c r="E112" s="205" t="s">
        <v>1917</v>
      </c>
      <c r="F112" s="170"/>
      <c r="G112" s="205" t="str">
        <f>+VLOOKUP(Table_1[[#This Row],[Account]],BV_Data_An_Cour!$L:$Q,6,0)</f>
        <v>3-Passifs</v>
      </c>
      <c r="H112" s="205"/>
      <c r="K112" s="168" t="s">
        <v>13</v>
      </c>
    </row>
    <row r="113" spans="1:11" ht="15" hidden="1" customHeight="1">
      <c r="A113" s="178" t="s">
        <v>2422</v>
      </c>
      <c r="B113" s="179" t="s">
        <v>2421</v>
      </c>
      <c r="C113" s="166" t="s">
        <v>1642</v>
      </c>
      <c r="D113" s="166" t="s">
        <v>36</v>
      </c>
      <c r="E113" s="205" t="s">
        <v>1917</v>
      </c>
      <c r="F113" s="170"/>
      <c r="G113" s="205" t="str">
        <f>+VLOOKUP(Table_1[[#This Row],[Account]],BV_Data_An_Cour!$L:$Q,6,0)</f>
        <v>3-Passifs</v>
      </c>
      <c r="H113" s="205"/>
      <c r="K113" s="168" t="s">
        <v>184</v>
      </c>
    </row>
    <row r="114" spans="1:11" ht="15" hidden="1" customHeight="1">
      <c r="A114" s="178" t="s">
        <v>2095</v>
      </c>
      <c r="B114" s="179" t="s">
        <v>2094</v>
      </c>
      <c r="C114" s="166" t="s">
        <v>1642</v>
      </c>
      <c r="D114" s="166" t="s">
        <v>36</v>
      </c>
      <c r="E114" s="205" t="s">
        <v>1917</v>
      </c>
      <c r="F114" s="170"/>
      <c r="G114" s="205" t="str">
        <f>+VLOOKUP(Table_1[[#This Row],[Account]],BV_Data_An_Cour!$L:$Q,6,0)</f>
        <v>3-Passifs</v>
      </c>
      <c r="H114" s="205"/>
      <c r="K114" s="168" t="str">
        <f>Print_Mois!V459</f>
        <v>Réparation équipement</v>
      </c>
    </row>
    <row r="115" spans="1:11" ht="15" hidden="1" customHeight="1">
      <c r="A115" s="178" t="s">
        <v>2189</v>
      </c>
      <c r="B115" s="179" t="s">
        <v>2188</v>
      </c>
      <c r="C115" s="166" t="s">
        <v>1642</v>
      </c>
      <c r="D115" s="166" t="s">
        <v>36</v>
      </c>
      <c r="E115" s="205" t="s">
        <v>1917</v>
      </c>
      <c r="F115" s="170"/>
      <c r="G115" s="205" t="str">
        <f>+VLOOKUP(Table_1[[#This Row],[Account]],BV_Data_An_Cour!$L:$Q,6,0)</f>
        <v>3-Passifs</v>
      </c>
      <c r="H115" s="205"/>
      <c r="K115" s="168" t="s">
        <v>1712</v>
      </c>
    </row>
    <row r="116" spans="1:11" ht="15" hidden="1" customHeight="1">
      <c r="A116" s="178" t="s">
        <v>2249</v>
      </c>
      <c r="B116" s="179" t="s">
        <v>2248</v>
      </c>
      <c r="C116" s="166"/>
      <c r="D116" s="166"/>
      <c r="E116" s="205"/>
      <c r="F116" s="170"/>
      <c r="G116" s="205" t="e">
        <f>+VLOOKUP(Table_1[[#This Row],[Account]],BV_Data_An_Cour!$L:$Q,6,0)</f>
        <v>#N/A</v>
      </c>
      <c r="H116" s="205"/>
      <c r="K116" s="168" t="str">
        <f>Print_Mois!C23</f>
        <v>Rev. Autres</v>
      </c>
    </row>
    <row r="117" spans="1:11" ht="15" hidden="1" customHeight="1">
      <c r="A117" s="576" t="s">
        <v>2251</v>
      </c>
      <c r="B117" s="584" t="s">
        <v>2250</v>
      </c>
      <c r="C117" s="166"/>
      <c r="D117" s="166"/>
      <c r="E117" s="205"/>
      <c r="F117" s="170"/>
      <c r="G117" s="205" t="e">
        <f>+VLOOKUP(Table_1[[#This Row],[Account]],BV_Data_An_Cour!$L:$Q,6,0)</f>
        <v>#N/A</v>
      </c>
      <c r="H117" s="205"/>
      <c r="K117" s="168" t="str">
        <f>Print_Mois!C21</f>
        <v>Rev. Finances</v>
      </c>
    </row>
    <row r="118" spans="1:11" ht="15" hidden="1" customHeight="1">
      <c r="A118" s="178" t="s">
        <v>2253</v>
      </c>
      <c r="B118" s="179" t="s">
        <v>2252</v>
      </c>
      <c r="C118" s="166"/>
      <c r="D118" s="166"/>
      <c r="E118" s="205"/>
      <c r="F118" s="170"/>
      <c r="G118" s="205" t="e">
        <f>+VLOOKUP(Table_1[[#This Row],[Account]],BV_Data_An_Cour!$L:$Q,6,0)</f>
        <v>#N/A</v>
      </c>
      <c r="H118" s="205"/>
      <c r="K118" s="168" t="str">
        <f>Print_Mois!C22</f>
        <v>Rev. Protections</v>
      </c>
    </row>
    <row r="119" spans="1:11" ht="15" hidden="1" customHeight="1">
      <c r="A119" s="576" t="s">
        <v>2255</v>
      </c>
      <c r="B119" s="584" t="s">
        <v>2254</v>
      </c>
      <c r="C119" s="166"/>
      <c r="D119" s="166"/>
      <c r="E119" s="205"/>
      <c r="F119" s="170"/>
      <c r="G119" s="205" t="e">
        <f>+VLOOKUP(Table_1[[#This Row],[Account]],BV_Data_An_Cour!$L:$Q,6,0)</f>
        <v>#N/A</v>
      </c>
      <c r="H119" s="205"/>
      <c r="K119" s="168" t="str">
        <f>Print_Mois!V468</f>
        <v>Revenus autres</v>
      </c>
    </row>
    <row r="120" spans="1:11" ht="15" hidden="1" customHeight="1">
      <c r="A120" s="576" t="s">
        <v>2690</v>
      </c>
      <c r="B120" s="584" t="s">
        <v>2689</v>
      </c>
      <c r="C120" s="166" t="s">
        <v>1642</v>
      </c>
      <c r="D120" s="166" t="s">
        <v>54</v>
      </c>
      <c r="E120" s="205" t="s">
        <v>1917</v>
      </c>
      <c r="F120" s="170"/>
      <c r="G120" s="205" t="str">
        <f>+VLOOKUP(Table_1[[#This Row],[Account]],BV_Data_An_Cour!$L:$Q,6,0)</f>
        <v>3-Passifs</v>
      </c>
      <c r="H120" s="205"/>
      <c r="K120" s="168" t="s">
        <v>36</v>
      </c>
    </row>
    <row r="121" spans="1:11" ht="15" hidden="1" customHeight="1">
      <c r="A121" s="178" t="s">
        <v>2190</v>
      </c>
      <c r="B121" s="179" t="s">
        <v>827</v>
      </c>
      <c r="C121" s="166" t="s">
        <v>1642</v>
      </c>
      <c r="D121" s="166" t="s">
        <v>40</v>
      </c>
      <c r="E121" s="205" t="s">
        <v>1917</v>
      </c>
      <c r="F121" s="170"/>
      <c r="G121" s="205" t="str">
        <f>+VLOOKUP(Table_1[[#This Row],[Account]],BV_Data_An_Cour!$L:$Q,6,0)</f>
        <v>3-Passifs</v>
      </c>
      <c r="H121" s="205"/>
      <c r="K121" s="168" t="str">
        <f>Print_Mois!V422</f>
        <v>Salaires autres</v>
      </c>
    </row>
    <row r="122" spans="1:11" ht="15" hidden="1" customHeight="1">
      <c r="A122" s="576" t="s">
        <v>2211</v>
      </c>
      <c r="B122" s="584" t="s">
        <v>2210</v>
      </c>
      <c r="C122" s="166"/>
      <c r="D122" s="166"/>
      <c r="E122" s="205"/>
      <c r="F122" s="170"/>
      <c r="G122" s="205" t="e">
        <f>+VLOOKUP(Table_1[[#This Row],[Account]],BV_Data_An_Cour!$L:$Q,6,0)</f>
        <v>#N/A</v>
      </c>
      <c r="H122" s="205"/>
      <c r="K122" s="168" t="str">
        <f>Print_Mois!V420</f>
        <v>Salaires cadres</v>
      </c>
    </row>
    <row r="123" spans="1:11" ht="15" hidden="1" customHeight="1">
      <c r="A123" s="178" t="s">
        <v>2257</v>
      </c>
      <c r="B123" s="179" t="s">
        <v>2256</v>
      </c>
      <c r="C123" s="166"/>
      <c r="D123" s="166"/>
      <c r="E123" s="205"/>
      <c r="F123" s="170"/>
      <c r="G123" s="205" t="e">
        <f>+VLOOKUP(Table_1[[#This Row],[Account]],BV_Data_An_Cour!$L:$Q,6,0)</f>
        <v>#N/A</v>
      </c>
      <c r="H123" s="205"/>
      <c r="K123" s="168" t="str">
        <f>Print_Mois!C43</f>
        <v>Salaires commis</v>
      </c>
    </row>
    <row r="124" spans="1:11" ht="15" hidden="1" customHeight="1">
      <c r="A124" s="576" t="s">
        <v>2424</v>
      </c>
      <c r="B124" s="584" t="s">
        <v>2423</v>
      </c>
      <c r="C124" s="166" t="s">
        <v>1642</v>
      </c>
      <c r="D124" s="166" t="s">
        <v>67</v>
      </c>
      <c r="E124" s="205" t="s">
        <v>1917</v>
      </c>
      <c r="F124" s="170"/>
      <c r="G124" s="205" t="str">
        <f>+VLOOKUP(Table_1[[#This Row],[Account]],BV_Data_An_Cour!$L:$Q,6,0)</f>
        <v>4-Valeur nette</v>
      </c>
      <c r="H124" s="205"/>
      <c r="K124" s="168" t="str">
        <f>Print_Mois!V421</f>
        <v>Salaires commis</v>
      </c>
    </row>
    <row r="125" spans="1:11" ht="15" hidden="1" customHeight="1">
      <c r="A125" s="576" t="s">
        <v>2426</v>
      </c>
      <c r="B125" s="584" t="s">
        <v>2425</v>
      </c>
      <c r="C125" s="166" t="s">
        <v>1642</v>
      </c>
      <c r="D125" s="166" t="s">
        <v>68</v>
      </c>
      <c r="E125" s="205" t="s">
        <v>1917</v>
      </c>
      <c r="F125" s="170"/>
      <c r="G125" s="205" t="str">
        <f>+VLOOKUP(Table_1[[#This Row],[Account]],BV_Data_An_Cour!$L:$Q,6,0)</f>
        <v>4-Valeur nette</v>
      </c>
      <c r="H125" s="205"/>
      <c r="K125" s="168" t="str">
        <f>Print_Mois!V427</f>
        <v>Salaires en absences</v>
      </c>
    </row>
    <row r="126" spans="1:11" ht="15" hidden="1" customHeight="1">
      <c r="A126" s="178" t="s">
        <v>2428</v>
      </c>
      <c r="B126" s="584" t="s">
        <v>2427</v>
      </c>
      <c r="C126" s="166" t="s">
        <v>1642</v>
      </c>
      <c r="D126" s="166" t="s">
        <v>67</v>
      </c>
      <c r="E126" s="205"/>
      <c r="F126" s="170"/>
      <c r="G126" s="205" t="str">
        <f>+VLOOKUP(Table_1[[#This Row],[Account]],BV_Data_An_Cour!$L:$Q,6,0)</f>
        <v>4-Valeur nette</v>
      </c>
      <c r="H126" s="205"/>
      <c r="K126" s="168" t="str">
        <f>Print_Mois!V419</f>
        <v>Salaires propriétaire</v>
      </c>
    </row>
    <row r="127" spans="1:11" ht="15" hidden="1" customHeight="1">
      <c r="A127" s="178" t="s">
        <v>2259</v>
      </c>
      <c r="B127" s="179" t="s">
        <v>2258</v>
      </c>
      <c r="C127" s="166"/>
      <c r="D127" s="166"/>
      <c r="E127" s="205"/>
      <c r="F127" s="170"/>
      <c r="G127" s="205" t="e">
        <f>+VLOOKUP(Table_1[[#This Row],[Account]],BV_Data_An_Cour!$L:$Q,6,0)</f>
        <v>#N/A</v>
      </c>
      <c r="H127" s="205"/>
      <c r="K127" s="168" t="str">
        <f>Print_Mois!V423</f>
        <v>Salaires spécialistes</v>
      </c>
    </row>
    <row r="128" spans="1:11" ht="15" hidden="1" customHeight="1">
      <c r="A128" s="576" t="s">
        <v>2261</v>
      </c>
      <c r="B128" s="584" t="s">
        <v>2260</v>
      </c>
      <c r="C128" s="166"/>
      <c r="D128" s="166"/>
      <c r="E128" s="205"/>
      <c r="F128" s="170"/>
      <c r="G128" s="205" t="e">
        <f>+VLOOKUP(Table_1[[#This Row],[Account]],BV_Data_An_Cour!$L:$Q,6,0)</f>
        <v>#N/A</v>
      </c>
      <c r="H128" s="205"/>
      <c r="K128" s="168" t="str">
        <f>Print_Mois!C34</f>
        <v>Service gratuit 1</v>
      </c>
    </row>
    <row r="129" spans="1:29" ht="15" hidden="1" customHeight="1">
      <c r="A129" s="576" t="s">
        <v>2263</v>
      </c>
      <c r="B129" s="584" t="s">
        <v>2262</v>
      </c>
      <c r="C129" s="166"/>
      <c r="D129" s="166"/>
      <c r="E129" s="205"/>
      <c r="F129" s="170"/>
      <c r="G129" s="205" t="e">
        <f>+VLOOKUP(Table_1[[#This Row],[Account]],BV_Data_An_Cour!$L:$Q,6,0)</f>
        <v>#N/A</v>
      </c>
      <c r="H129" s="205"/>
      <c r="K129" s="168" t="str">
        <f>Print_Mois!V434</f>
        <v>Service gratuit 2</v>
      </c>
    </row>
    <row r="130" spans="1:29" ht="15" hidden="1" customHeight="1">
      <c r="A130" s="576" t="s">
        <v>2265</v>
      </c>
      <c r="B130" s="584" t="s">
        <v>2264</v>
      </c>
      <c r="C130" s="166"/>
      <c r="D130" s="166"/>
      <c r="E130" s="205"/>
      <c r="F130" s="170"/>
      <c r="G130" s="205" t="e">
        <f>+VLOOKUP(Table_1[[#This Row],[Account]],BV_Data_An_Cour!$L:$Q,6,0)</f>
        <v>#N/A</v>
      </c>
      <c r="H130" s="205"/>
      <c r="I130" s="2"/>
      <c r="J130" s="2"/>
      <c r="K130" s="168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576" t="s">
        <v>2268</v>
      </c>
      <c r="B131" s="584" t="s">
        <v>2267</v>
      </c>
      <c r="C131" s="166"/>
      <c r="D131" s="166"/>
      <c r="E131" s="205"/>
      <c r="F131" s="170"/>
      <c r="G131" s="205" t="e">
        <f>+VLOOKUP(Table_1[[#This Row],[Account]],BV_Data_An_Cour!$L:$Q,6,0)</f>
        <v>#N/A</v>
      </c>
      <c r="H131" s="205"/>
      <c r="K131" s="168" t="s">
        <v>41</v>
      </c>
    </row>
    <row r="132" spans="1:29" ht="15" hidden="1" customHeight="1">
      <c r="A132" s="576" t="s">
        <v>2270</v>
      </c>
      <c r="B132" s="584" t="s">
        <v>2269</v>
      </c>
      <c r="C132" s="166"/>
      <c r="D132" s="166"/>
      <c r="E132" s="205"/>
      <c r="F132" s="170"/>
      <c r="G132" s="205" t="e">
        <f>+VLOOKUP(Table_1[[#This Row],[Account]],BV_Data_An_Cour!$L:$Q,6,0)</f>
        <v>#N/A</v>
      </c>
      <c r="H132" s="205"/>
      <c r="K132" s="168" t="str">
        <f>Print_Mois!C187</f>
        <v>Sous-traitement</v>
      </c>
    </row>
    <row r="133" spans="1:29" ht="15" hidden="1" customHeight="1">
      <c r="A133" s="178" t="s">
        <v>2272</v>
      </c>
      <c r="B133" s="179" t="s">
        <v>2271</v>
      </c>
      <c r="C133" s="166"/>
      <c r="D133" s="166"/>
      <c r="E133" s="205"/>
      <c r="F133" s="170"/>
      <c r="G133" s="205" t="e">
        <f>+VLOOKUP(Table_1[[#This Row],[Account]],BV_Data_An_Cour!$L:$Q,6,0)</f>
        <v>#N/A</v>
      </c>
      <c r="H133" s="205"/>
      <c r="K133" s="168" t="s">
        <v>121</v>
      </c>
    </row>
    <row r="134" spans="1:29" ht="15" hidden="1" customHeight="1">
      <c r="A134" s="576" t="s">
        <v>2430</v>
      </c>
      <c r="B134" s="584" t="s">
        <v>2429</v>
      </c>
      <c r="C134" s="166" t="s">
        <v>1642</v>
      </c>
      <c r="D134" s="166" t="s">
        <v>69</v>
      </c>
      <c r="E134" s="205" t="s">
        <v>1917</v>
      </c>
      <c r="F134" s="170"/>
      <c r="G134" s="205" t="str">
        <f>+VLOOKUP(Table_1[[#This Row],[Account]],BV_Data_An_Cour!$L:$Q,6,0)</f>
        <v>4-Valeur nette</v>
      </c>
      <c r="H134" s="205"/>
      <c r="K134" s="168" t="s">
        <v>91</v>
      </c>
    </row>
    <row r="135" spans="1:29" ht="15" hidden="1" customHeight="1">
      <c r="A135" s="178" t="s">
        <v>2274</v>
      </c>
      <c r="B135" s="179" t="s">
        <v>2273</v>
      </c>
      <c r="C135" s="166"/>
      <c r="D135" s="166"/>
      <c r="E135" s="205"/>
      <c r="F135" s="170"/>
      <c r="G135" s="205" t="e">
        <f>+VLOOKUP(Table_1[[#This Row],[Account]],BV_Data_An_Cour!$L:$Q,6,0)</f>
        <v>#N/A</v>
      </c>
      <c r="H135" s="205"/>
      <c r="K135" s="168" t="s">
        <v>237</v>
      </c>
    </row>
    <row r="136" spans="1:29" ht="15" hidden="1" customHeight="1">
      <c r="A136" s="179" t="s">
        <v>2277</v>
      </c>
      <c r="B136" s="179" t="s">
        <v>2276</v>
      </c>
      <c r="C136" s="166"/>
      <c r="D136" s="166"/>
      <c r="E136" s="205"/>
      <c r="F136" s="170"/>
      <c r="G136" s="205" t="e">
        <f>+VLOOKUP(Table_1[[#This Row],[Account]],BV_Data_An_Cour!$L:$Q,6,0)</f>
        <v>#N/A</v>
      </c>
      <c r="H136" s="205"/>
      <c r="K136" s="168" t="s">
        <v>239</v>
      </c>
    </row>
    <row r="137" spans="1:29" ht="15" hidden="1" customHeight="1">
      <c r="A137" s="576" t="s">
        <v>2280</v>
      </c>
      <c r="B137" s="584" t="s">
        <v>2279</v>
      </c>
      <c r="C137" s="166"/>
      <c r="D137" s="166"/>
      <c r="E137" s="205"/>
      <c r="F137" s="170"/>
      <c r="G137" s="205" t="e">
        <f>+VLOOKUP(Table_1[[#This Row],[Account]],BV_Data_An_Cour!$L:$Q,6,0)</f>
        <v>#N/A</v>
      </c>
      <c r="H137" s="205"/>
      <c r="K137" s="168" t="str">
        <f>Print_Mois!V455</f>
        <v>Taxe sur le capital</v>
      </c>
    </row>
    <row r="138" spans="1:29" ht="15" hidden="1" customHeight="1">
      <c r="A138" s="576" t="s">
        <v>2282</v>
      </c>
      <c r="B138" s="584" t="s">
        <v>2281</v>
      </c>
      <c r="C138" s="166"/>
      <c r="D138" s="166"/>
      <c r="E138" s="205"/>
      <c r="F138" s="170"/>
      <c r="G138" s="205" t="e">
        <f>+VLOOKUP(Table_1[[#This Row],[Account]],BV_Data_An_Cour!$L:$Q,6,0)</f>
        <v>#N/A</v>
      </c>
      <c r="H138" s="205"/>
      <c r="K138" s="168" t="s">
        <v>18</v>
      </c>
    </row>
    <row r="139" spans="1:29" ht="15" hidden="1" customHeight="1">
      <c r="A139" s="178" t="s">
        <v>2213</v>
      </c>
      <c r="B139" s="179" t="s">
        <v>2212</v>
      </c>
      <c r="C139" s="166"/>
      <c r="D139" s="166"/>
      <c r="E139" s="205"/>
      <c r="F139" s="170"/>
      <c r="G139" s="205" t="e">
        <f>+VLOOKUP(Table_1[[#This Row],[Account]],BV_Data_An_Cour!$L:$Q,6,0)</f>
        <v>#N/A</v>
      </c>
      <c r="H139" s="205"/>
      <c r="K139" s="168" t="str">
        <f>Print_Mois!V443</f>
        <v>Téléphone</v>
      </c>
    </row>
    <row r="140" spans="1:29" ht="15" hidden="1" customHeight="1">
      <c r="A140" s="576" t="s">
        <v>2284</v>
      </c>
      <c r="B140" s="584" t="s">
        <v>2283</v>
      </c>
      <c r="C140" s="166"/>
      <c r="D140" s="166"/>
      <c r="E140" s="205"/>
      <c r="F140" s="170"/>
      <c r="G140" s="205" t="e">
        <f>+VLOOKUP(Table_1[[#This Row],[Account]],BV_Data_An_Cour!$L:$Q,6,0)</f>
        <v>#N/A</v>
      </c>
      <c r="H140" s="205"/>
      <c r="K140" s="168" t="s">
        <v>39</v>
      </c>
    </row>
    <row r="141" spans="1:29" ht="15" hidden="1" customHeight="1">
      <c r="A141" s="178" t="s">
        <v>2286</v>
      </c>
      <c r="B141" s="179" t="s">
        <v>2285</v>
      </c>
      <c r="C141" s="166"/>
      <c r="D141" s="166"/>
      <c r="E141" s="205"/>
      <c r="F141" s="170"/>
      <c r="G141" s="205" t="e">
        <f>+VLOOKUP(Table_1[[#This Row],[Account]],BV_Data_An_Cour!$L:$Q,6,0)</f>
        <v>#N/A</v>
      </c>
      <c r="H141" s="205"/>
      <c r="K141" s="168" t="s">
        <v>128</v>
      </c>
    </row>
    <row r="142" spans="1:29" ht="15" hidden="1" customHeight="1">
      <c r="A142" s="178" t="s">
        <v>2288</v>
      </c>
      <c r="B142" s="179" t="s">
        <v>2287</v>
      </c>
      <c r="C142" s="166"/>
      <c r="D142" s="166"/>
      <c r="E142" s="205"/>
      <c r="F142" s="170"/>
      <c r="G142" s="205" t="e">
        <f>+VLOOKUP(Table_1[[#This Row],[Account]],BV_Data_An_Cour!$L:$Q,6,0)</f>
        <v>#N/A</v>
      </c>
      <c r="H142" s="205"/>
      <c r="K142" s="168" t="str">
        <f>Print_Mois!C99</f>
        <v>Ventes au Gros</v>
      </c>
    </row>
    <row r="143" spans="1:29" ht="15" hidden="1" customHeight="1">
      <c r="A143" s="178" t="s">
        <v>2290</v>
      </c>
      <c r="B143" s="179" t="s">
        <v>2289</v>
      </c>
      <c r="C143" s="166"/>
      <c r="D143" s="166"/>
      <c r="G143" s="162" t="e">
        <f>+VLOOKUP(Table_1[[#This Row],[Account]],BV_Data_An_Cour!$L:$Q,6,0)</f>
        <v>#N/A</v>
      </c>
      <c r="H143" s="205"/>
      <c r="K143" s="168" t="str">
        <f>Print_Mois!C299</f>
        <v>Ventes de Gros</v>
      </c>
    </row>
    <row r="144" spans="1:29" ht="15" hidden="1" customHeight="1">
      <c r="A144" s="576" t="s">
        <v>2292</v>
      </c>
      <c r="B144" s="584" t="s">
        <v>2291</v>
      </c>
      <c r="C144" s="166"/>
      <c r="D144" s="166"/>
      <c r="E144" s="205"/>
      <c r="F144" s="170"/>
      <c r="G144" s="205" t="e">
        <f>+VLOOKUP(Table_1[[#This Row],[Account]],BV_Data_An_Cour!$L:$Q,6,0)</f>
        <v>#N/A</v>
      </c>
      <c r="H144" s="205"/>
      <c r="K144" s="168" t="s">
        <v>181</v>
      </c>
    </row>
    <row r="145" spans="1:11" ht="15" hidden="1" customHeight="1">
      <c r="A145" s="576" t="s">
        <v>2294</v>
      </c>
      <c r="B145" s="584" t="s">
        <v>2293</v>
      </c>
      <c r="C145" s="166"/>
      <c r="D145" s="166"/>
      <c r="E145" s="205"/>
      <c r="F145" s="170"/>
      <c r="G145" s="205" t="e">
        <f>+VLOOKUP(Table_1[[#This Row],[Account]],BV_Data_An_Cour!$L:$Q,6,0)</f>
        <v>#N/A</v>
      </c>
      <c r="H145" s="205"/>
      <c r="K145" s="168" t="str">
        <f>Print_Mois!C297</f>
        <v>Ventes Internes</v>
      </c>
    </row>
    <row r="146" spans="1:11" ht="15" hidden="1" customHeight="1">
      <c r="A146" s="576" t="s">
        <v>2296</v>
      </c>
      <c r="B146" s="584" t="s">
        <v>2295</v>
      </c>
      <c r="C146" s="166"/>
      <c r="D146" s="166"/>
      <c r="E146" s="205"/>
      <c r="F146" s="170"/>
      <c r="G146" s="205" t="e">
        <f>+VLOOKUP(Table_1[[#This Row],[Account]],BV_Data_An_Cour!$L:$Q,6,0)</f>
        <v>#N/A</v>
      </c>
      <c r="H146" s="205"/>
      <c r="K146" s="168" t="str">
        <f>Print_Mois!C306</f>
        <v>Ventes Pneus</v>
      </c>
    </row>
    <row r="147" spans="1:11" ht="15" hidden="1" customHeight="1">
      <c r="A147" s="178" t="s">
        <v>2298</v>
      </c>
      <c r="B147" s="179" t="s">
        <v>2297</v>
      </c>
      <c r="C147" s="166"/>
      <c r="D147" s="166"/>
      <c r="G147" s="162" t="e">
        <f>+VLOOKUP(Table_1[[#This Row],[Account]],BV_Data_An_Cour!$L:$Q,6,0)</f>
        <v>#N/A</v>
      </c>
      <c r="H147" s="205"/>
    </row>
    <row r="148" spans="1:11" ht="15" hidden="1" customHeight="1">
      <c r="A148" s="576" t="s">
        <v>2300</v>
      </c>
      <c r="B148" s="584" t="s">
        <v>2299</v>
      </c>
      <c r="C148" s="166"/>
      <c r="D148" s="166"/>
      <c r="E148" s="205"/>
      <c r="F148" s="170"/>
      <c r="G148" s="205" t="e">
        <f>+VLOOKUP(Table_1[[#This Row],[Account]],BV_Data_An_Cour!$L:$Q,6,0)</f>
        <v>#N/A</v>
      </c>
      <c r="H148" s="205"/>
    </row>
    <row r="149" spans="1:11" ht="15" hidden="1" customHeight="1">
      <c r="A149" s="178" t="s">
        <v>2302</v>
      </c>
      <c r="B149" s="179" t="s">
        <v>2301</v>
      </c>
      <c r="C149" s="166"/>
      <c r="D149" s="166"/>
      <c r="G149" s="162" t="e">
        <f>+VLOOKUP(Table_1[[#This Row],[Account]],BV_Data_An_Cour!$L:$Q,6,0)</f>
        <v>#N/A</v>
      </c>
      <c r="H149" s="205"/>
    </row>
    <row r="150" spans="1:11" ht="15" hidden="1" customHeight="1">
      <c r="A150" s="576" t="s">
        <v>2026</v>
      </c>
      <c r="B150" s="584" t="s">
        <v>2025</v>
      </c>
      <c r="C150" s="166" t="s">
        <v>75</v>
      </c>
      <c r="D150" s="166" t="s">
        <v>96</v>
      </c>
      <c r="E150" s="205" t="s">
        <v>1917</v>
      </c>
      <c r="F150" s="170" t="s">
        <v>1920</v>
      </c>
      <c r="G150" s="205" t="str">
        <f>+VLOOKUP(Table_1[[#This Row],[Account]],BV_Data_An_Cour!$L:$Q,6,0)</f>
        <v>5-Ventes</v>
      </c>
      <c r="H150" s="205"/>
    </row>
    <row r="151" spans="1:11" ht="15" hidden="1" customHeight="1">
      <c r="A151" s="576" t="s">
        <v>2483</v>
      </c>
      <c r="B151" s="584" t="s">
        <v>2482</v>
      </c>
      <c r="C151" s="166" t="s">
        <v>75</v>
      </c>
      <c r="D151" s="166" t="s">
        <v>96</v>
      </c>
      <c r="E151" s="162" t="s">
        <v>1915</v>
      </c>
      <c r="G151" s="162" t="str">
        <f>+VLOOKUP(Table_1[[#This Row],[Account]],BV_Data_An_Cour!$L:$Q,6,0)</f>
        <v>10-Compte compteur</v>
      </c>
      <c r="H151" s="205"/>
    </row>
    <row r="152" spans="1:11" ht="15" hidden="1" customHeight="1">
      <c r="A152" s="576" t="s">
        <v>2432</v>
      </c>
      <c r="B152" s="584" t="s">
        <v>2431</v>
      </c>
      <c r="C152" s="166" t="s">
        <v>75</v>
      </c>
      <c r="D152" s="166" t="s">
        <v>89</v>
      </c>
      <c r="E152" s="205" t="s">
        <v>1917</v>
      </c>
      <c r="F152" s="170" t="s">
        <v>1920</v>
      </c>
      <c r="G152" s="205" t="e">
        <f>+VLOOKUP(Table_1[[#This Row],[Account]],BV_Data_An_Cour!$L:$Q,6,0)</f>
        <v>#N/A</v>
      </c>
      <c r="H152" s="205"/>
    </row>
    <row r="153" spans="1:11" ht="15" hidden="1" customHeight="1">
      <c r="A153" s="576" t="s">
        <v>2485</v>
      </c>
      <c r="B153" s="584" t="s">
        <v>2484</v>
      </c>
      <c r="C153" s="166" t="s">
        <v>75</v>
      </c>
      <c r="D153" s="166" t="s">
        <v>89</v>
      </c>
      <c r="E153" s="162" t="s">
        <v>1915</v>
      </c>
      <c r="G153" s="205" t="e">
        <f>+VLOOKUP(Table_1[[#This Row],[Account]],BV_Data_An_Cour!$L:$Q,6,0)</f>
        <v>#N/A</v>
      </c>
      <c r="H153" s="170"/>
    </row>
    <row r="154" spans="1:11" ht="15" hidden="1" customHeight="1">
      <c r="A154" s="576" t="s">
        <v>2434</v>
      </c>
      <c r="B154" s="584" t="s">
        <v>2433</v>
      </c>
      <c r="C154" s="166" t="s">
        <v>75</v>
      </c>
      <c r="D154" s="166" t="s">
        <v>89</v>
      </c>
      <c r="E154" s="205" t="s">
        <v>1917</v>
      </c>
      <c r="F154" s="170" t="s">
        <v>1920</v>
      </c>
      <c r="G154" s="205" t="e">
        <f>+VLOOKUP(Table_1[[#This Row],[Account]],BV_Data_An_Cour!$L:$Q,6,0)</f>
        <v>#N/A</v>
      </c>
      <c r="H154" s="170"/>
    </row>
    <row r="155" spans="1:11" ht="15" hidden="1" customHeight="1">
      <c r="A155" s="178" t="s">
        <v>2487</v>
      </c>
      <c r="B155" s="179" t="s">
        <v>2486</v>
      </c>
      <c r="C155" s="166" t="s">
        <v>75</v>
      </c>
      <c r="D155" s="166" t="s">
        <v>89</v>
      </c>
      <c r="E155" s="162" t="s">
        <v>1915</v>
      </c>
      <c r="G155" s="205" t="e">
        <f>+VLOOKUP(Table_1[[#This Row],[Account]],BV_Data_An_Cour!$L:$Q,6,0)</f>
        <v>#N/A</v>
      </c>
      <c r="H155" s="170"/>
    </row>
    <row r="156" spans="1:11" ht="15" hidden="1" customHeight="1">
      <c r="A156" s="576" t="s">
        <v>2019</v>
      </c>
      <c r="B156" s="584" t="s">
        <v>2018</v>
      </c>
      <c r="C156" s="166" t="s">
        <v>75</v>
      </c>
      <c r="D156" s="166" t="s">
        <v>89</v>
      </c>
      <c r="E156" s="205" t="s">
        <v>1917</v>
      </c>
      <c r="F156" s="170" t="s">
        <v>1920</v>
      </c>
      <c r="G156" s="205" t="str">
        <f>+VLOOKUP(Table_1[[#This Row],[Account]],BV_Data_An_Cour!$L:$Q,6,0)</f>
        <v>5-Ventes</v>
      </c>
      <c r="H156" s="170"/>
    </row>
    <row r="157" spans="1:11" ht="15" hidden="1" customHeight="1">
      <c r="A157" s="576" t="s">
        <v>2489</v>
      </c>
      <c r="B157" s="584" t="s">
        <v>2488</v>
      </c>
      <c r="C157" s="166" t="s">
        <v>75</v>
      </c>
      <c r="D157" s="166" t="s">
        <v>89</v>
      </c>
      <c r="E157" s="162" t="s">
        <v>1915</v>
      </c>
      <c r="G157" s="205" t="str">
        <f>+VLOOKUP(Table_1[[#This Row],[Account]],BV_Data_An_Cour!$L:$Q,6,0)</f>
        <v>10-Compte compteur</v>
      </c>
      <c r="H157" s="170"/>
    </row>
    <row r="158" spans="1:11" ht="15" hidden="1" customHeight="1">
      <c r="A158" s="576" t="s">
        <v>2436</v>
      </c>
      <c r="B158" s="584" t="s">
        <v>2435</v>
      </c>
      <c r="C158" s="166" t="s">
        <v>75</v>
      </c>
      <c r="D158" s="166" t="s">
        <v>89</v>
      </c>
      <c r="E158" s="205" t="s">
        <v>1917</v>
      </c>
      <c r="F158" s="170" t="s">
        <v>1920</v>
      </c>
      <c r="G158" s="205" t="e">
        <f>+VLOOKUP(Table_1[[#This Row],[Account]],BV_Data_An_Cour!$L:$Q,6,0)</f>
        <v>#N/A</v>
      </c>
      <c r="H158" s="170"/>
    </row>
    <row r="159" spans="1:11" ht="15" hidden="1" customHeight="1">
      <c r="A159" s="576" t="s">
        <v>2491</v>
      </c>
      <c r="B159" s="584" t="s">
        <v>2490</v>
      </c>
      <c r="C159" s="166" t="s">
        <v>75</v>
      </c>
      <c r="D159" s="166" t="s">
        <v>89</v>
      </c>
      <c r="E159" s="162" t="s">
        <v>1915</v>
      </c>
      <c r="G159" s="205" t="e">
        <f>+VLOOKUP(Table_1[[#This Row],[Account]],BV_Data_An_Cour!$L:$Q,6,0)</f>
        <v>#N/A</v>
      </c>
      <c r="H159" s="170"/>
    </row>
    <row r="160" spans="1:11" ht="15" hidden="1" customHeight="1">
      <c r="A160" s="576" t="s">
        <v>342</v>
      </c>
      <c r="B160" s="584" t="s">
        <v>2303</v>
      </c>
      <c r="C160" s="166"/>
      <c r="D160" s="166"/>
      <c r="E160" s="205"/>
      <c r="F160" s="170"/>
      <c r="G160" s="205" t="e">
        <f>+VLOOKUP(Table_1[[#This Row],[Account]],BV_Data_An_Cour!$L:$Q,6,0)</f>
        <v>#N/A</v>
      </c>
      <c r="H160" s="170"/>
    </row>
    <row r="161" spans="1:11" ht="15" hidden="1" customHeight="1">
      <c r="A161" s="178" t="s">
        <v>2014</v>
      </c>
      <c r="B161" s="179" t="s">
        <v>2013</v>
      </c>
      <c r="C161" s="166" t="s">
        <v>75</v>
      </c>
      <c r="D161" s="166" t="s">
        <v>89</v>
      </c>
      <c r="E161" s="205" t="s">
        <v>1917</v>
      </c>
      <c r="F161" s="170" t="s">
        <v>1920</v>
      </c>
      <c r="G161" s="205" t="str">
        <f>+VLOOKUP(Table_1[[#This Row],[Account]],BV_Data_An_Cour!$L:$Q,6,0)</f>
        <v>5-Ventes</v>
      </c>
      <c r="H161" s="170"/>
    </row>
    <row r="162" spans="1:11" ht="15" hidden="1" customHeight="1">
      <c r="A162" s="178" t="s">
        <v>2493</v>
      </c>
      <c r="B162" s="179" t="s">
        <v>2492</v>
      </c>
      <c r="C162" s="166" t="s">
        <v>75</v>
      </c>
      <c r="D162" s="166" t="s">
        <v>89</v>
      </c>
      <c r="E162" s="162" t="s">
        <v>1915</v>
      </c>
      <c r="G162" s="205" t="str">
        <f>+VLOOKUP(Table_1[[#This Row],[Account]],BV_Data_An_Cour!$L:$Q,6,0)</f>
        <v>10-Compte compteur</v>
      </c>
      <c r="H162" s="170"/>
    </row>
    <row r="163" spans="1:11" ht="15" hidden="1" customHeight="1">
      <c r="A163" s="576" t="s">
        <v>2438</v>
      </c>
      <c r="B163" s="584" t="s">
        <v>2437</v>
      </c>
      <c r="C163" s="166" t="s">
        <v>75</v>
      </c>
      <c r="D163" s="166" t="s">
        <v>89</v>
      </c>
      <c r="E163" s="205" t="s">
        <v>1917</v>
      </c>
      <c r="F163" s="170" t="s">
        <v>1920</v>
      </c>
      <c r="G163" s="205" t="e">
        <f>+VLOOKUP(Table_1[[#This Row],[Account]],BV_Data_An_Cour!$L:$Q,6,0)</f>
        <v>#N/A</v>
      </c>
      <c r="H163" s="170"/>
    </row>
    <row r="164" spans="1:11" ht="15" hidden="1" customHeight="1">
      <c r="A164" s="576" t="s">
        <v>2495</v>
      </c>
      <c r="B164" s="584" t="s">
        <v>2494</v>
      </c>
      <c r="C164" s="166" t="s">
        <v>75</v>
      </c>
      <c r="D164" s="166" t="s">
        <v>89</v>
      </c>
      <c r="E164" s="162" t="s">
        <v>1915</v>
      </c>
      <c r="G164" s="205" t="e">
        <f>+VLOOKUP(Table_1[[#This Row],[Account]],BV_Data_An_Cour!$L:$Q,6,0)</f>
        <v>#N/A</v>
      </c>
      <c r="H164" s="170"/>
    </row>
    <row r="165" spans="1:11" ht="15" hidden="1" customHeight="1">
      <c r="A165" s="178" t="s">
        <v>2440</v>
      </c>
      <c r="B165" s="179" t="s">
        <v>2439</v>
      </c>
      <c r="C165" s="166" t="s">
        <v>75</v>
      </c>
      <c r="D165" s="166" t="s">
        <v>89</v>
      </c>
      <c r="E165" s="205" t="s">
        <v>1917</v>
      </c>
      <c r="F165" s="170" t="s">
        <v>1920</v>
      </c>
      <c r="G165" s="205" t="e">
        <f>+VLOOKUP(Table_1[[#This Row],[Account]],BV_Data_An_Cour!$L:$Q,6,0)</f>
        <v>#N/A</v>
      </c>
      <c r="H165" s="170"/>
      <c r="K165" s="2"/>
    </row>
    <row r="166" spans="1:11" ht="15" hidden="1" customHeight="1">
      <c r="A166" s="178" t="s">
        <v>2497</v>
      </c>
      <c r="B166" s="582" t="s">
        <v>2496</v>
      </c>
      <c r="C166" s="166" t="s">
        <v>75</v>
      </c>
      <c r="D166" s="166" t="s">
        <v>89</v>
      </c>
      <c r="E166" s="162" t="s">
        <v>1915</v>
      </c>
      <c r="G166" s="205" t="e">
        <f>+VLOOKUP(Table_1[[#This Row],[Account]],BV_Data_An_Cour!$L:$Q,6,0)</f>
        <v>#N/A</v>
      </c>
      <c r="H166" s="170"/>
    </row>
    <row r="167" spans="1:11" ht="15" hidden="1" customHeight="1">
      <c r="A167" s="179" t="s">
        <v>2003</v>
      </c>
      <c r="B167" s="179" t="s">
        <v>2002</v>
      </c>
      <c r="C167" s="166" t="s">
        <v>75</v>
      </c>
      <c r="D167" s="166" t="s">
        <v>90</v>
      </c>
      <c r="E167" s="205" t="s">
        <v>1917</v>
      </c>
      <c r="F167" s="170" t="s">
        <v>1920</v>
      </c>
      <c r="G167" s="205" t="str">
        <f>+VLOOKUP(Table_1[[#This Row],[Account]],BV_Data_An_Cour!$L:$Q,6,0)</f>
        <v>5-Ventes</v>
      </c>
      <c r="H167" s="170"/>
    </row>
    <row r="168" spans="1:11" ht="15" hidden="1" customHeight="1">
      <c r="A168" s="180" t="s">
        <v>2499</v>
      </c>
      <c r="B168" s="181" t="s">
        <v>2498</v>
      </c>
      <c r="C168" s="166" t="s">
        <v>75</v>
      </c>
      <c r="D168" s="166" t="s">
        <v>90</v>
      </c>
      <c r="E168" s="162" t="s">
        <v>1915</v>
      </c>
      <c r="G168" s="205" t="str">
        <f>+VLOOKUP(Table_1[[#This Row],[Account]],BV_Data_An_Cour!$L:$Q,6,0)</f>
        <v>10-Compte compteur</v>
      </c>
      <c r="H168" s="170"/>
    </row>
    <row r="169" spans="1:11" ht="15" hidden="1" customHeight="1">
      <c r="A169" s="576" t="s">
        <v>2031</v>
      </c>
      <c r="B169" s="181" t="s">
        <v>2030</v>
      </c>
      <c r="C169" s="166" t="s">
        <v>75</v>
      </c>
      <c r="D169" s="166" t="s">
        <v>89</v>
      </c>
      <c r="E169" s="205" t="s">
        <v>1917</v>
      </c>
      <c r="F169" s="170" t="s">
        <v>1920</v>
      </c>
      <c r="G169" s="205" t="e">
        <f>+VLOOKUP(Table_1[[#This Row],[Account]],BV_Data_An_Cour!$L:$Q,6,0)</f>
        <v>#N/A</v>
      </c>
      <c r="H169" s="170"/>
    </row>
    <row r="170" spans="1:11" ht="15" hidden="1" customHeight="1">
      <c r="A170" s="180" t="s">
        <v>2501</v>
      </c>
      <c r="B170" s="584" t="s">
        <v>2500</v>
      </c>
      <c r="C170" s="166" t="s">
        <v>75</v>
      </c>
      <c r="D170" s="166" t="s">
        <v>89</v>
      </c>
      <c r="E170" s="162" t="s">
        <v>1915</v>
      </c>
      <c r="G170" s="205" t="e">
        <f>+VLOOKUP(Table_1[[#This Row],[Account]],BV_Data_An_Cour!$L:$Q,6,0)</f>
        <v>#N/A</v>
      </c>
      <c r="H170" s="170"/>
    </row>
    <row r="171" spans="1:11" ht="15" hidden="1" customHeight="1">
      <c r="A171" s="577" t="s">
        <v>1999</v>
      </c>
      <c r="B171" s="181" t="s">
        <v>1998</v>
      </c>
      <c r="C171" s="166" t="s">
        <v>75</v>
      </c>
      <c r="D171" s="166" t="s">
        <v>90</v>
      </c>
      <c r="E171" s="205" t="s">
        <v>1917</v>
      </c>
      <c r="F171" s="170" t="s">
        <v>1920</v>
      </c>
      <c r="G171" s="205" t="str">
        <f>+VLOOKUP(Table_1[[#This Row],[Account]],BV_Data_An_Cour!$L:$Q,6,0)</f>
        <v>5-Ventes</v>
      </c>
      <c r="H171" s="170"/>
    </row>
    <row r="172" spans="1:11" ht="15" hidden="1" customHeight="1">
      <c r="A172" s="179" t="s">
        <v>2503</v>
      </c>
      <c r="B172" s="179" t="s">
        <v>2502</v>
      </c>
      <c r="C172" s="166" t="s">
        <v>75</v>
      </c>
      <c r="D172" s="166" t="s">
        <v>90</v>
      </c>
      <c r="E172" s="162" t="s">
        <v>1915</v>
      </c>
      <c r="G172" s="205" t="str">
        <f>+VLOOKUP(Table_1[[#This Row],[Account]],BV_Data_An_Cour!$L:$Q,6,0)</f>
        <v>10-Compte compteur</v>
      </c>
      <c r="H172" s="170"/>
    </row>
    <row r="173" spans="1:11" ht="15" hidden="1" customHeight="1">
      <c r="A173" s="180" t="s">
        <v>2029</v>
      </c>
      <c r="B173" s="584" t="s">
        <v>2028</v>
      </c>
      <c r="C173" s="166" t="s">
        <v>75</v>
      </c>
      <c r="D173" s="166" t="s">
        <v>89</v>
      </c>
      <c r="E173" s="205" t="s">
        <v>1917</v>
      </c>
      <c r="F173" s="170" t="s">
        <v>1920</v>
      </c>
      <c r="G173" s="205" t="str">
        <f>+VLOOKUP(Table_1[[#This Row],[Account]],BV_Data_An_Cour!$L:$Q,6,0)</f>
        <v>5-Ventes</v>
      </c>
      <c r="H173" s="170"/>
    </row>
    <row r="174" spans="1:11" ht="15" hidden="1" customHeight="1">
      <c r="A174" s="576" t="s">
        <v>2505</v>
      </c>
      <c r="B174" s="181" t="s">
        <v>2504</v>
      </c>
      <c r="C174" s="166" t="s">
        <v>75</v>
      </c>
      <c r="D174" s="166" t="s">
        <v>89</v>
      </c>
      <c r="E174" s="162" t="s">
        <v>1915</v>
      </c>
      <c r="G174" s="205" t="str">
        <f>+VLOOKUP(Table_1[[#This Row],[Account]],BV_Data_An_Cour!$L:$Q,6,0)</f>
        <v>10-Compte compteur</v>
      </c>
      <c r="H174" s="170"/>
    </row>
    <row r="175" spans="1:11" ht="15" hidden="1" customHeight="1">
      <c r="A175" s="178" t="s">
        <v>2442</v>
      </c>
      <c r="B175" s="584" t="s">
        <v>2441</v>
      </c>
      <c r="C175" s="166" t="s">
        <v>75</v>
      </c>
      <c r="D175" s="166" t="s">
        <v>94</v>
      </c>
      <c r="E175" s="205" t="s">
        <v>1917</v>
      </c>
      <c r="F175" s="170" t="s">
        <v>1920</v>
      </c>
      <c r="G175" s="205" t="str">
        <f>+VLOOKUP(Table_1[[#This Row],[Account]],BV_Data_An_Cour!$L:$Q,6,0)</f>
        <v>5-Ventes</v>
      </c>
      <c r="H175" s="170"/>
    </row>
    <row r="176" spans="1:11" ht="15" hidden="1" customHeight="1">
      <c r="A176" s="180" t="s">
        <v>2508</v>
      </c>
      <c r="B176" s="584" t="s">
        <v>2507</v>
      </c>
      <c r="C176" s="166" t="s">
        <v>75</v>
      </c>
      <c r="D176" s="166" t="s">
        <v>94</v>
      </c>
      <c r="E176" s="162" t="s">
        <v>1915</v>
      </c>
      <c r="G176" s="205" t="str">
        <f>+VLOOKUP(Table_1[[#This Row],[Account]],BV_Data_An_Cour!$L:$Q,6,0)</f>
        <v>10-Compte compteur</v>
      </c>
      <c r="H176" s="170"/>
    </row>
    <row r="177" spans="1:8" ht="15" hidden="1" customHeight="1">
      <c r="A177" s="178" t="s">
        <v>2005</v>
      </c>
      <c r="B177" s="584" t="s">
        <v>2004</v>
      </c>
      <c r="C177" s="166" t="s">
        <v>75</v>
      </c>
      <c r="D177" s="166" t="s">
        <v>94</v>
      </c>
      <c r="E177" s="205" t="s">
        <v>1917</v>
      </c>
      <c r="F177" s="170" t="s">
        <v>1920</v>
      </c>
      <c r="G177" s="205" t="str">
        <f>+VLOOKUP(Table_1[[#This Row],[Account]],BV_Data_An_Cour!$L:$Q,6,0)</f>
        <v>5-Ventes</v>
      </c>
      <c r="H177" s="170"/>
    </row>
    <row r="178" spans="1:8" ht="15" hidden="1" customHeight="1">
      <c r="A178" s="179" t="s">
        <v>2510</v>
      </c>
      <c r="B178" s="179" t="s">
        <v>2509</v>
      </c>
      <c r="C178" s="166" t="s">
        <v>75</v>
      </c>
      <c r="D178" s="166" t="s">
        <v>94</v>
      </c>
      <c r="E178" s="162" t="s">
        <v>1915</v>
      </c>
      <c r="G178" s="205" t="str">
        <f>+VLOOKUP(Table_1[[#This Row],[Account]],BV_Data_An_Cour!$L:$Q,6,0)</f>
        <v>10-Compte compteur</v>
      </c>
      <c r="H178" s="170"/>
    </row>
    <row r="179" spans="1:8" ht="15" hidden="1" customHeight="1">
      <c r="A179" s="178" t="s">
        <v>2001</v>
      </c>
      <c r="B179" s="179" t="s">
        <v>2000</v>
      </c>
      <c r="C179" s="166" t="s">
        <v>144</v>
      </c>
      <c r="D179" s="166" t="s">
        <v>146</v>
      </c>
      <c r="E179" s="205" t="s">
        <v>1917</v>
      </c>
      <c r="F179" s="170" t="s">
        <v>1920</v>
      </c>
      <c r="G179" s="205" t="str">
        <f>+VLOOKUP(Table_1[[#This Row],[Account]],BV_Data_An_Cour!$L:$Q,6,0)</f>
        <v>5-Ventes</v>
      </c>
      <c r="H179" s="170"/>
    </row>
    <row r="180" spans="1:8" ht="15" hidden="1" customHeight="1">
      <c r="A180" s="576" t="s">
        <v>2512</v>
      </c>
      <c r="B180" s="584" t="s">
        <v>2511</v>
      </c>
      <c r="C180" s="166" t="s">
        <v>144</v>
      </c>
      <c r="D180" s="166" t="s">
        <v>146</v>
      </c>
      <c r="E180" s="162" t="s">
        <v>1915</v>
      </c>
      <c r="G180" s="205" t="str">
        <f>+VLOOKUP(Table_1[[#This Row],[Account]],BV_Data_An_Cour!$L:$Q,6,0)</f>
        <v>10-Compte compteur</v>
      </c>
      <c r="H180" s="170"/>
    </row>
    <row r="181" spans="1:8" ht="15" hidden="1" customHeight="1">
      <c r="A181" s="576" t="s">
        <v>2305</v>
      </c>
      <c r="B181" s="584" t="s">
        <v>2304</v>
      </c>
      <c r="C181" s="166"/>
      <c r="D181" s="166"/>
      <c r="E181" s="205"/>
      <c r="F181" s="170"/>
      <c r="G181" s="205" t="e">
        <f>+VLOOKUP(Table_1[[#This Row],[Account]],BV_Data_An_Cour!$L:$Q,6,0)</f>
        <v>#N/A</v>
      </c>
      <c r="H181" s="170"/>
    </row>
    <row r="182" spans="1:8" ht="15" hidden="1" customHeight="1">
      <c r="A182" s="180" t="s">
        <v>2444</v>
      </c>
      <c r="B182" s="181" t="s">
        <v>2443</v>
      </c>
      <c r="C182" s="166" t="s">
        <v>144</v>
      </c>
      <c r="D182" s="166" t="s">
        <v>147</v>
      </c>
      <c r="E182" s="205" t="s">
        <v>1917</v>
      </c>
      <c r="F182" s="170" t="s">
        <v>1920</v>
      </c>
      <c r="G182" s="205" t="e">
        <f>+VLOOKUP(Table_1[[#This Row],[Account]],BV_Data_An_Cour!$L:$Q,6,0)</f>
        <v>#N/A</v>
      </c>
      <c r="H182" s="170"/>
    </row>
    <row r="183" spans="1:8" ht="15" hidden="1" customHeight="1">
      <c r="A183" s="576" t="s">
        <v>2514</v>
      </c>
      <c r="B183" s="584" t="s">
        <v>2513</v>
      </c>
      <c r="C183" s="166" t="s">
        <v>144</v>
      </c>
      <c r="D183" s="166" t="s">
        <v>147</v>
      </c>
      <c r="E183" s="162" t="s">
        <v>1915</v>
      </c>
      <c r="G183" s="205" t="e">
        <f>+VLOOKUP(Table_1[[#This Row],[Account]],BV_Data_An_Cour!$L:$Q,6,0)</f>
        <v>#N/A</v>
      </c>
      <c r="H183" s="170"/>
    </row>
    <row r="184" spans="1:8" ht="15" hidden="1" customHeight="1">
      <c r="A184" s="180" t="s">
        <v>2308</v>
      </c>
      <c r="B184" s="181" t="s">
        <v>2307</v>
      </c>
      <c r="C184" s="166"/>
      <c r="D184" s="166"/>
      <c r="E184" s="205"/>
      <c r="F184" s="170"/>
      <c r="G184" s="205" t="e">
        <f>+VLOOKUP(Table_1[[#This Row],[Account]],BV_Data_An_Cour!$L:$Q,6,0)</f>
        <v>#N/A</v>
      </c>
      <c r="H184" s="170"/>
    </row>
    <row r="185" spans="1:8" ht="15" hidden="1" customHeight="1">
      <c r="A185" s="576" t="s">
        <v>2310</v>
      </c>
      <c r="B185" s="584" t="s">
        <v>2309</v>
      </c>
      <c r="C185" s="166"/>
      <c r="D185" s="166"/>
      <c r="E185" s="205"/>
      <c r="F185" s="170"/>
      <c r="G185" s="205" t="e">
        <f>+VLOOKUP(Table_1[[#This Row],[Account]],BV_Data_An_Cour!$L:$Q,6,0)</f>
        <v>#N/A</v>
      </c>
      <c r="H185" s="170"/>
    </row>
    <row r="186" spans="1:8" ht="15" hidden="1" customHeight="1">
      <c r="A186" s="178" t="s">
        <v>2312</v>
      </c>
      <c r="B186" s="179" t="s">
        <v>2311</v>
      </c>
      <c r="C186" s="166"/>
      <c r="D186" s="166"/>
      <c r="E186" s="205"/>
      <c r="F186" s="170"/>
      <c r="G186" s="205" t="e">
        <f>+VLOOKUP(Table_1[[#This Row],[Account]],BV_Data_An_Cour!$L:$Q,6,0)</f>
        <v>#N/A</v>
      </c>
      <c r="H186" s="170"/>
    </row>
    <row r="187" spans="1:8" ht="15" hidden="1" customHeight="1">
      <c r="A187" s="577" t="s">
        <v>2314</v>
      </c>
      <c r="B187" s="582" t="s">
        <v>2313</v>
      </c>
      <c r="C187" s="166"/>
      <c r="D187" s="166"/>
      <c r="E187" s="205"/>
      <c r="F187" s="170"/>
      <c r="G187" s="205" t="e">
        <f>+VLOOKUP(Table_1[[#This Row],[Account]],BV_Data_An_Cour!$L:$Q,6,0)</f>
        <v>#N/A</v>
      </c>
      <c r="H187" s="170"/>
    </row>
    <row r="188" spans="1:8" ht="15" hidden="1" customHeight="1">
      <c r="A188" s="178" t="s">
        <v>2316</v>
      </c>
      <c r="B188" s="179" t="s">
        <v>2315</v>
      </c>
      <c r="C188" s="166"/>
      <c r="D188" s="166"/>
      <c r="E188" s="205"/>
      <c r="F188" s="170"/>
      <c r="G188" s="205" t="e">
        <f>+VLOOKUP(Table_1[[#This Row],[Account]],BV_Data_An_Cour!$L:$Q,6,0)</f>
        <v>#N/A</v>
      </c>
      <c r="H188" s="170"/>
    </row>
    <row r="189" spans="1:8" ht="15" hidden="1" customHeight="1">
      <c r="A189" s="577" t="s">
        <v>2318</v>
      </c>
      <c r="B189" s="582" t="s">
        <v>2317</v>
      </c>
      <c r="C189" s="166"/>
      <c r="D189" s="166"/>
      <c r="E189" s="205"/>
      <c r="F189" s="170"/>
      <c r="G189" s="205" t="e">
        <f>+VLOOKUP(Table_1[[#This Row],[Account]],BV_Data_An_Cour!$L:$Q,6,0)</f>
        <v>#N/A</v>
      </c>
      <c r="H189" s="170"/>
    </row>
    <row r="190" spans="1:8" ht="15" hidden="1" customHeight="1">
      <c r="A190" s="178" t="s">
        <v>2320</v>
      </c>
      <c r="B190" s="179" t="s">
        <v>2319</v>
      </c>
      <c r="C190" s="166"/>
      <c r="D190" s="166"/>
      <c r="E190" s="205"/>
      <c r="F190" s="170"/>
      <c r="G190" s="205" t="e">
        <f>+VLOOKUP(Table_1[[#This Row],[Account]],BV_Data_An_Cour!$L:$Q,6,0)</f>
        <v>#N/A</v>
      </c>
      <c r="H190" s="170"/>
    </row>
    <row r="191" spans="1:8" ht="15" hidden="1" customHeight="1">
      <c r="A191" s="577" t="s">
        <v>2039</v>
      </c>
      <c r="B191" s="582" t="s">
        <v>2038</v>
      </c>
      <c r="C191" s="166" t="s">
        <v>144</v>
      </c>
      <c r="D191" s="166" t="s">
        <v>147</v>
      </c>
      <c r="E191" s="205" t="s">
        <v>1917</v>
      </c>
      <c r="F191" s="170" t="s">
        <v>1920</v>
      </c>
      <c r="G191" s="205" t="str">
        <f>+VLOOKUP(Table_1[[#This Row],[Account]],BV_Data_An_Cour!$L:$Q,6,0)</f>
        <v>5-Ventes</v>
      </c>
      <c r="H191" s="170"/>
    </row>
    <row r="192" spans="1:8" ht="15" hidden="1" customHeight="1">
      <c r="A192" s="577" t="s">
        <v>2516</v>
      </c>
      <c r="B192" s="582" t="s">
        <v>2515</v>
      </c>
      <c r="C192" s="166" t="s">
        <v>144</v>
      </c>
      <c r="D192" s="166" t="s">
        <v>147</v>
      </c>
      <c r="E192" s="162" t="s">
        <v>1915</v>
      </c>
      <c r="G192" s="205" t="str">
        <f>+VLOOKUP(Table_1[[#This Row],[Account]],BV_Data_An_Cour!$L:$Q,6,0)</f>
        <v>10-Compte compteur</v>
      </c>
      <c r="H192" s="170"/>
    </row>
    <row r="193" spans="1:8" ht="15" hidden="1" customHeight="1">
      <c r="A193" s="180" t="s">
        <v>2322</v>
      </c>
      <c r="B193" s="181" t="s">
        <v>2321</v>
      </c>
      <c r="C193" s="166"/>
      <c r="D193" s="166"/>
      <c r="E193" s="205"/>
      <c r="F193" s="170"/>
      <c r="G193" s="205" t="e">
        <f>+VLOOKUP(Table_1[[#This Row],[Account]],BV_Data_An_Cour!$L:$Q,6,0)</f>
        <v>#N/A</v>
      </c>
      <c r="H193" s="170"/>
    </row>
    <row r="194" spans="1:8" ht="15" hidden="1" customHeight="1">
      <c r="A194" s="577" t="s">
        <v>2007</v>
      </c>
      <c r="B194" s="582" t="s">
        <v>2006</v>
      </c>
      <c r="C194" s="166" t="s">
        <v>144</v>
      </c>
      <c r="D194" s="166" t="s">
        <v>150</v>
      </c>
      <c r="E194" s="205" t="s">
        <v>1917</v>
      </c>
      <c r="F194" s="170" t="s">
        <v>1920</v>
      </c>
      <c r="G194" s="205" t="str">
        <f>+VLOOKUP(Table_1[[#This Row],[Account]],BV_Data_An_Cour!$L:$Q,6,0)</f>
        <v>5-Ventes</v>
      </c>
      <c r="H194" s="170"/>
    </row>
    <row r="195" spans="1:8" ht="15" hidden="1" customHeight="1">
      <c r="A195" s="180" t="s">
        <v>2518</v>
      </c>
      <c r="B195" s="181" t="s">
        <v>2517</v>
      </c>
      <c r="C195" s="166" t="s">
        <v>144</v>
      </c>
      <c r="D195" s="166" t="s">
        <v>150</v>
      </c>
      <c r="E195" s="162" t="s">
        <v>1915</v>
      </c>
      <c r="G195" s="205" t="str">
        <f>+VLOOKUP(Table_1[[#This Row],[Account]],BV_Data_An_Cour!$L:$Q,6,0)</f>
        <v>10-Compte compteur</v>
      </c>
      <c r="H195" s="170"/>
    </row>
    <row r="196" spans="1:8" ht="15" hidden="1" customHeight="1">
      <c r="A196" s="577" t="s">
        <v>2324</v>
      </c>
      <c r="B196" s="582" t="s">
        <v>2323</v>
      </c>
      <c r="C196" s="166"/>
      <c r="D196" s="166"/>
      <c r="E196" s="205"/>
      <c r="F196" s="170"/>
      <c r="G196" s="205" t="e">
        <f>+VLOOKUP(Table_1[[#This Row],[Account]],BV_Data_An_Cour!$L:$Q,6,0)</f>
        <v>#N/A</v>
      </c>
      <c r="H196" s="170"/>
    </row>
    <row r="197" spans="1:8" ht="15" hidden="1" customHeight="1">
      <c r="A197" s="577" t="s">
        <v>2326</v>
      </c>
      <c r="B197" s="582" t="s">
        <v>2325</v>
      </c>
      <c r="C197" s="166"/>
      <c r="D197" s="166"/>
      <c r="E197" s="205"/>
      <c r="F197" s="170"/>
      <c r="G197" s="205" t="e">
        <f>+VLOOKUP(Table_1[[#This Row],[Account]],BV_Data_An_Cour!$L:$Q,6,0)</f>
        <v>#N/A</v>
      </c>
      <c r="H197" s="170"/>
    </row>
    <row r="198" spans="1:8" ht="15" hidden="1" customHeight="1">
      <c r="A198" s="178" t="s">
        <v>2012</v>
      </c>
      <c r="B198" s="179" t="s">
        <v>2011</v>
      </c>
      <c r="C198" s="166" t="s">
        <v>155</v>
      </c>
      <c r="D198" s="166" t="s">
        <v>159</v>
      </c>
      <c r="E198" s="205" t="s">
        <v>1917</v>
      </c>
      <c r="F198" s="170" t="s">
        <v>1920</v>
      </c>
      <c r="G198" s="205" t="str">
        <f>+VLOOKUP(Table_1[[#This Row],[Account]],BV_Data_An_Cour!$L:$Q,6,0)</f>
        <v>5-Ventes</v>
      </c>
      <c r="H198" s="170"/>
    </row>
    <row r="199" spans="1:8" ht="15" hidden="1" customHeight="1">
      <c r="A199" s="576" t="s">
        <v>2519</v>
      </c>
      <c r="B199" s="584" t="s">
        <v>2011</v>
      </c>
      <c r="C199" s="166" t="s">
        <v>155</v>
      </c>
      <c r="D199" s="166" t="s">
        <v>159</v>
      </c>
      <c r="E199" s="162" t="s">
        <v>1915</v>
      </c>
      <c r="G199" s="205" t="str">
        <f>+VLOOKUP(Table_1[[#This Row],[Account]],BV_Data_An_Cour!$L:$Q,6,0)</f>
        <v>10-Compte compteur</v>
      </c>
      <c r="H199" s="170"/>
    </row>
    <row r="200" spans="1:8" ht="15" hidden="1" customHeight="1">
      <c r="A200" s="576" t="s">
        <v>2192</v>
      </c>
      <c r="B200" s="584" t="s">
        <v>2191</v>
      </c>
      <c r="C200" s="166" t="s">
        <v>155</v>
      </c>
      <c r="D200" s="166" t="s">
        <v>163</v>
      </c>
      <c r="E200" s="205" t="s">
        <v>1917</v>
      </c>
      <c r="F200" s="170" t="s">
        <v>1920</v>
      </c>
      <c r="G200" s="205" t="e">
        <f>+VLOOKUP(Table_1[[#This Row],[Account]],BV_Data_An_Cour!$L:$Q,6,0)</f>
        <v>#N/A</v>
      </c>
    </row>
    <row r="201" spans="1:8" ht="15" hidden="1" customHeight="1">
      <c r="A201" s="178" t="s">
        <v>2521</v>
      </c>
      <c r="B201" s="179" t="s">
        <v>2520</v>
      </c>
      <c r="C201" s="166" t="s">
        <v>155</v>
      </c>
      <c r="D201" s="166" t="s">
        <v>163</v>
      </c>
      <c r="E201" s="162" t="s">
        <v>1915</v>
      </c>
      <c r="G201" s="205" t="e">
        <f>+VLOOKUP(Table_1[[#This Row],[Account]],BV_Data_An_Cour!$L:$Q,6,0)</f>
        <v>#N/A</v>
      </c>
      <c r="H201" s="170"/>
    </row>
    <row r="202" spans="1:8" ht="15" hidden="1" customHeight="1">
      <c r="A202" s="576" t="s">
        <v>2042</v>
      </c>
      <c r="B202" s="584" t="s">
        <v>2041</v>
      </c>
      <c r="C202" s="166" t="s">
        <v>155</v>
      </c>
      <c r="D202" s="166" t="s">
        <v>161</v>
      </c>
      <c r="E202" s="205" t="s">
        <v>1917</v>
      </c>
      <c r="F202" s="170" t="s">
        <v>1920</v>
      </c>
      <c r="G202" s="205" t="str">
        <f>+VLOOKUP(Table_1[[#This Row],[Account]],BV_Data_An_Cour!$L:$Q,6,0)</f>
        <v>5-Ventes</v>
      </c>
      <c r="H202" s="170"/>
    </row>
    <row r="203" spans="1:8" ht="15" hidden="1" customHeight="1">
      <c r="A203" s="576" t="s">
        <v>2522</v>
      </c>
      <c r="B203" s="584" t="s">
        <v>2041</v>
      </c>
      <c r="C203" s="166" t="s">
        <v>155</v>
      </c>
      <c r="D203" s="166" t="s">
        <v>161</v>
      </c>
      <c r="E203" s="162" t="s">
        <v>1915</v>
      </c>
      <c r="G203" s="205" t="str">
        <f>+VLOOKUP(Table_1[[#This Row],[Account]],BV_Data_An_Cour!$L:$Q,6,0)</f>
        <v>10-Compte compteur</v>
      </c>
      <c r="H203" s="170"/>
    </row>
    <row r="204" spans="1:8" ht="15" hidden="1" customHeight="1">
      <c r="A204" s="179" t="s">
        <v>2052</v>
      </c>
      <c r="B204" s="179" t="s">
        <v>2051</v>
      </c>
      <c r="C204" s="166" t="s">
        <v>155</v>
      </c>
      <c r="D204" s="166" t="s">
        <v>162</v>
      </c>
      <c r="E204" s="205" t="s">
        <v>1917</v>
      </c>
      <c r="F204" s="170" t="s">
        <v>1920</v>
      </c>
      <c r="G204" s="205" t="str">
        <f>+VLOOKUP(Table_1[[#This Row],[Account]],BV_Data_An_Cour!$L:$Q,6,0)</f>
        <v>5-Ventes</v>
      </c>
      <c r="H204" s="170"/>
    </row>
    <row r="205" spans="1:8" ht="15" hidden="1" customHeight="1">
      <c r="A205" s="576" t="s">
        <v>2523</v>
      </c>
      <c r="B205" s="584" t="s">
        <v>2051</v>
      </c>
      <c r="C205" s="166" t="s">
        <v>155</v>
      </c>
      <c r="D205" s="166" t="s">
        <v>162</v>
      </c>
      <c r="E205" s="162" t="s">
        <v>1915</v>
      </c>
      <c r="G205" s="205" t="str">
        <f>+VLOOKUP(Table_1[[#This Row],[Account]],BV_Data_An_Cour!$L:$Q,6,0)</f>
        <v>10-Compte compteur</v>
      </c>
      <c r="H205" s="170"/>
    </row>
    <row r="206" spans="1:8" ht="15" hidden="1" customHeight="1">
      <c r="A206" s="171" t="s">
        <v>2629</v>
      </c>
      <c r="B206" s="171" t="s">
        <v>2628</v>
      </c>
      <c r="C206" s="166" t="s">
        <v>155</v>
      </c>
      <c r="D206" s="166" t="s">
        <v>159</v>
      </c>
      <c r="E206" s="205" t="s">
        <v>1917</v>
      </c>
      <c r="F206" s="170" t="s">
        <v>1920</v>
      </c>
      <c r="G206" s="205" t="e">
        <f>+VLOOKUP(Table_1[[#This Row],[Account]],BV_Data_An_Cour!$L:$Q,6,0)</f>
        <v>#N/A</v>
      </c>
      <c r="H206" s="170"/>
    </row>
    <row r="207" spans="1:8" ht="15" hidden="1" customHeight="1">
      <c r="A207" s="178" t="s">
        <v>2525</v>
      </c>
      <c r="B207" s="179" t="s">
        <v>2524</v>
      </c>
      <c r="C207" s="166" t="s">
        <v>155</v>
      </c>
      <c r="D207" s="166" t="s">
        <v>159</v>
      </c>
      <c r="E207" s="162" t="s">
        <v>1915</v>
      </c>
      <c r="G207" s="205" t="e">
        <f>+VLOOKUP(Table_1[[#This Row],[Account]],BV_Data_An_Cour!$L:$Q,6,0)</f>
        <v>#N/A</v>
      </c>
      <c r="H207" s="170"/>
    </row>
    <row r="208" spans="1:8" ht="15" hidden="1" customHeight="1">
      <c r="A208" s="576" t="s">
        <v>2072</v>
      </c>
      <c r="B208" s="584" t="s">
        <v>2071</v>
      </c>
      <c r="C208" s="166" t="s">
        <v>175</v>
      </c>
      <c r="D208" s="166" t="s">
        <v>187</v>
      </c>
      <c r="E208" s="205" t="s">
        <v>1917</v>
      </c>
      <c r="F208" s="170" t="s">
        <v>1920</v>
      </c>
      <c r="G208" s="205" t="str">
        <f>+VLOOKUP(Table_1[[#This Row],[Account]],BV_Data_An_Cour!$L:$Q,6,0)</f>
        <v>5-Ventes</v>
      </c>
      <c r="H208" s="170"/>
    </row>
    <row r="209" spans="1:8" ht="15" hidden="1" customHeight="1">
      <c r="A209" s="577" t="s">
        <v>2526</v>
      </c>
      <c r="B209" s="582" t="s">
        <v>2071</v>
      </c>
      <c r="C209" s="166" t="s">
        <v>175</v>
      </c>
      <c r="D209" s="166" t="s">
        <v>187</v>
      </c>
      <c r="E209" s="162" t="s">
        <v>1915</v>
      </c>
      <c r="G209" s="205" t="str">
        <f>+VLOOKUP(Table_1[[#This Row],[Account]],BV_Data_An_Cour!$L:$Q,6,0)</f>
        <v>10-Compte compteur</v>
      </c>
      <c r="H209" s="170"/>
    </row>
    <row r="210" spans="1:8" ht="15" hidden="1" customHeight="1">
      <c r="A210" s="180" t="s">
        <v>2145</v>
      </c>
      <c r="B210" s="181" t="s">
        <v>2144</v>
      </c>
      <c r="C210" s="166" t="s">
        <v>155</v>
      </c>
      <c r="D210" s="166" t="s">
        <v>167</v>
      </c>
      <c r="E210" s="205" t="s">
        <v>1917</v>
      </c>
      <c r="F210" s="170" t="s">
        <v>1920</v>
      </c>
      <c r="G210" s="205" t="str">
        <f>+VLOOKUP(Table_1[[#This Row],[Account]],BV_Data_An_Cour!$L:$Q,6,0)</f>
        <v>5-Ventes</v>
      </c>
      <c r="H210" s="170"/>
    </row>
    <row r="211" spans="1:8" ht="15" hidden="1" customHeight="1">
      <c r="A211" s="577" t="s">
        <v>2527</v>
      </c>
      <c r="B211" s="582" t="s">
        <v>2144</v>
      </c>
      <c r="C211" s="166" t="s">
        <v>155</v>
      </c>
      <c r="D211" s="166" t="s">
        <v>167</v>
      </c>
      <c r="E211" s="162" t="s">
        <v>1915</v>
      </c>
      <c r="G211" s="205" t="str">
        <f>+VLOOKUP(Table_1[[#This Row],[Account]],BV_Data_An_Cour!$L:$Q,6,0)</f>
        <v>10-Compte compteur</v>
      </c>
      <c r="H211" s="170"/>
    </row>
    <row r="212" spans="1:8" ht="15" hidden="1" customHeight="1">
      <c r="A212" s="180" t="s">
        <v>2168</v>
      </c>
      <c r="B212" s="181" t="s">
        <v>2167</v>
      </c>
      <c r="C212" s="166" t="s">
        <v>155</v>
      </c>
      <c r="D212" s="166" t="s">
        <v>167</v>
      </c>
      <c r="E212" s="205" t="s">
        <v>1917</v>
      </c>
      <c r="F212" s="170" t="s">
        <v>1920</v>
      </c>
      <c r="G212" s="205" t="str">
        <f>+VLOOKUP(Table_1[[#This Row],[Account]],BV_Data_An_Cour!$L:$Q,6,0)</f>
        <v>5-Ventes</v>
      </c>
      <c r="H212" s="170"/>
    </row>
    <row r="213" spans="1:8" ht="15" hidden="1" customHeight="1">
      <c r="A213" s="180" t="s">
        <v>2529</v>
      </c>
      <c r="B213" s="181" t="s">
        <v>2528</v>
      </c>
      <c r="C213" s="166" t="s">
        <v>155</v>
      </c>
      <c r="D213" s="166" t="s">
        <v>167</v>
      </c>
      <c r="E213" s="162" t="s">
        <v>1915</v>
      </c>
      <c r="G213" s="205" t="str">
        <f>+VLOOKUP(Table_1[[#This Row],[Account]],BV_Data_An_Cour!$L:$Q,6,0)</f>
        <v>10-Compte compteur</v>
      </c>
      <c r="H213" s="170"/>
    </row>
    <row r="214" spans="1:8" ht="15" hidden="1" customHeight="1">
      <c r="A214" s="180" t="s">
        <v>2087</v>
      </c>
      <c r="B214" s="181" t="s">
        <v>2086</v>
      </c>
      <c r="C214" s="166" t="s">
        <v>155</v>
      </c>
      <c r="D214" s="166" t="s">
        <v>167</v>
      </c>
      <c r="E214" s="205" t="s">
        <v>1917</v>
      </c>
      <c r="F214" s="170" t="s">
        <v>1920</v>
      </c>
      <c r="G214" s="205" t="str">
        <f>+VLOOKUP(Table_1[[#This Row],[Account]],BV_Data_An_Cour!$L:$Q,6,0)</f>
        <v>5-Ventes</v>
      </c>
      <c r="H214" s="170"/>
    </row>
    <row r="215" spans="1:8" ht="15" hidden="1" customHeight="1">
      <c r="A215" s="577" t="s">
        <v>2531</v>
      </c>
      <c r="B215" s="582" t="s">
        <v>2530</v>
      </c>
      <c r="C215" s="166" t="s">
        <v>155</v>
      </c>
      <c r="D215" s="166" t="s">
        <v>167</v>
      </c>
      <c r="E215" s="162" t="s">
        <v>1915</v>
      </c>
      <c r="G215" s="205" t="str">
        <f>+VLOOKUP(Table_1[[#This Row],[Account]],BV_Data_An_Cour!$L:$Q,6,0)</f>
        <v>10-Compte compteur</v>
      </c>
    </row>
    <row r="216" spans="1:8" ht="15" hidden="1" customHeight="1">
      <c r="A216" s="180" t="s">
        <v>2070</v>
      </c>
      <c r="B216" s="181" t="s">
        <v>2069</v>
      </c>
      <c r="C216" s="166" t="s">
        <v>171</v>
      </c>
      <c r="D216" s="166" t="s">
        <v>172</v>
      </c>
      <c r="E216" s="205" t="s">
        <v>1917</v>
      </c>
      <c r="F216" s="170" t="s">
        <v>1920</v>
      </c>
      <c r="G216" s="205" t="str">
        <f>+VLOOKUP(Table_1[[#This Row],[Account]],BV_Data_An_Cour!$L:$Q,6,0)</f>
        <v>5-Ventes</v>
      </c>
      <c r="H216" s="170"/>
    </row>
    <row r="217" spans="1:8" ht="15" hidden="1" customHeight="1">
      <c r="A217" s="180" t="s">
        <v>2533</v>
      </c>
      <c r="B217" s="181" t="s">
        <v>2532</v>
      </c>
      <c r="C217" s="166" t="s">
        <v>171</v>
      </c>
      <c r="D217" s="166" t="s">
        <v>172</v>
      </c>
      <c r="E217" s="162" t="s">
        <v>1915</v>
      </c>
      <c r="G217" s="205" t="str">
        <f>+VLOOKUP(Table_1[[#This Row],[Account]],BV_Data_An_Cour!$L:$Q,6,0)</f>
        <v>10-Compte compteur</v>
      </c>
      <c r="H217" s="170"/>
    </row>
    <row r="218" spans="1:8" ht="15" hidden="1" customHeight="1">
      <c r="A218" s="180" t="s">
        <v>2068</v>
      </c>
      <c r="B218" s="181" t="s">
        <v>2067</v>
      </c>
      <c r="C218" s="166" t="s">
        <v>171</v>
      </c>
      <c r="D218" s="166" t="s">
        <v>172</v>
      </c>
      <c r="E218" s="205" t="s">
        <v>1917</v>
      </c>
      <c r="F218" s="170" t="s">
        <v>1920</v>
      </c>
      <c r="G218" s="205" t="str">
        <f>+VLOOKUP(Table_1[[#This Row],[Account]],BV_Data_An_Cour!$L:$Q,6,0)</f>
        <v>5-Ventes</v>
      </c>
      <c r="H218" s="170"/>
    </row>
    <row r="219" spans="1:8" ht="15" hidden="1" customHeight="1">
      <c r="A219" s="180" t="s">
        <v>2535</v>
      </c>
      <c r="B219" s="181" t="s">
        <v>2534</v>
      </c>
      <c r="C219" s="166" t="s">
        <v>171</v>
      </c>
      <c r="D219" s="166" t="s">
        <v>172</v>
      </c>
      <c r="E219" s="162" t="s">
        <v>1915</v>
      </c>
      <c r="G219" s="205" t="str">
        <f>+VLOOKUP(Table_1[[#This Row],[Account]],BV_Data_An_Cour!$L:$Q,6,0)</f>
        <v>10-Compte compteur</v>
      </c>
      <c r="H219" s="170"/>
    </row>
    <row r="220" spans="1:8" ht="15" hidden="1" customHeight="1">
      <c r="A220" s="577" t="s">
        <v>2101</v>
      </c>
      <c r="B220" s="582" t="s">
        <v>2100</v>
      </c>
      <c r="C220" s="166" t="s">
        <v>171</v>
      </c>
      <c r="D220" s="166" t="s">
        <v>172</v>
      </c>
      <c r="E220" s="205" t="s">
        <v>1917</v>
      </c>
      <c r="F220" s="170" t="s">
        <v>1920</v>
      </c>
      <c r="G220" s="205" t="str">
        <f>+VLOOKUP(Table_1[[#This Row],[Account]],BV_Data_An_Cour!$L:$Q,6,0)</f>
        <v>5-Ventes</v>
      </c>
      <c r="H220" s="170"/>
    </row>
    <row r="221" spans="1:8" ht="15" hidden="1" customHeight="1">
      <c r="A221" s="179" t="s">
        <v>2537</v>
      </c>
      <c r="B221" s="179" t="s">
        <v>2536</v>
      </c>
      <c r="C221" s="166" t="s">
        <v>171</v>
      </c>
      <c r="D221" s="166" t="s">
        <v>172</v>
      </c>
      <c r="E221" s="162" t="s">
        <v>1915</v>
      </c>
      <c r="G221" s="205" t="str">
        <f>+VLOOKUP(Table_1[[#This Row],[Account]],BV_Data_An_Cour!$L:$Q,6,0)</f>
        <v>10-Compte compteur</v>
      </c>
      <c r="H221" s="170"/>
    </row>
    <row r="222" spans="1:8" ht="15" hidden="1" customHeight="1">
      <c r="A222" s="180" t="s">
        <v>2024</v>
      </c>
      <c r="B222" s="181" t="s">
        <v>2023</v>
      </c>
      <c r="C222" s="166" t="s">
        <v>175</v>
      </c>
      <c r="D222" s="166" t="s">
        <v>177</v>
      </c>
      <c r="E222" s="205" t="s">
        <v>1917</v>
      </c>
      <c r="F222" s="170" t="s">
        <v>1920</v>
      </c>
      <c r="G222" s="205" t="str">
        <f>+VLOOKUP(Table_1[[#This Row],[Account]],BV_Data_An_Cour!$L:$Q,6,0)</f>
        <v>5-Ventes</v>
      </c>
      <c r="H222" s="170"/>
    </row>
    <row r="223" spans="1:8" ht="15" hidden="1" customHeight="1">
      <c r="A223" s="576" t="s">
        <v>2539</v>
      </c>
      <c r="B223" s="584" t="s">
        <v>2538</v>
      </c>
      <c r="C223" s="166" t="s">
        <v>175</v>
      </c>
      <c r="D223" s="166" t="s">
        <v>177</v>
      </c>
      <c r="E223" s="162" t="s">
        <v>1915</v>
      </c>
      <c r="G223" s="205" t="str">
        <f>+VLOOKUP(Table_1[[#This Row],[Account]],BV_Data_An_Cour!$L:$Q,6,0)</f>
        <v>10-Compte compteur</v>
      </c>
      <c r="H223" s="170"/>
    </row>
    <row r="224" spans="1:8" ht="15" hidden="1" customHeight="1">
      <c r="A224" s="577" t="s">
        <v>2151</v>
      </c>
      <c r="B224" s="582" t="s">
        <v>2150</v>
      </c>
      <c r="C224" s="166" t="s">
        <v>155</v>
      </c>
      <c r="D224" s="166" t="s">
        <v>159</v>
      </c>
      <c r="E224" s="205" t="s">
        <v>1917</v>
      </c>
      <c r="F224" s="170" t="s">
        <v>1920</v>
      </c>
      <c r="G224" s="205" t="str">
        <f>+VLOOKUP(Table_1[[#This Row],[Account]],BV_Data_An_Cour!$L:$Q,6,0)</f>
        <v>5-Ventes</v>
      </c>
      <c r="H224" s="170"/>
    </row>
    <row r="225" spans="1:8" ht="15" hidden="1" customHeight="1">
      <c r="A225" s="577" t="s">
        <v>2044</v>
      </c>
      <c r="B225" s="582" t="s">
        <v>2043</v>
      </c>
      <c r="C225" s="166" t="s">
        <v>175</v>
      </c>
      <c r="D225" s="166" t="s">
        <v>179</v>
      </c>
      <c r="E225" s="205" t="s">
        <v>1917</v>
      </c>
      <c r="F225" s="170" t="s">
        <v>1920</v>
      </c>
      <c r="G225" s="205" t="str">
        <f>+VLOOKUP(Table_1[[#This Row],[Account]],BV_Data_An_Cour!$L:$Q,6,0)</f>
        <v>5-Ventes</v>
      </c>
      <c r="H225" s="170"/>
    </row>
    <row r="226" spans="1:8" ht="15" hidden="1" customHeight="1">
      <c r="A226" s="180" t="s">
        <v>2541</v>
      </c>
      <c r="B226" s="181" t="s">
        <v>2540</v>
      </c>
      <c r="C226" s="166" t="s">
        <v>175</v>
      </c>
      <c r="D226" s="166" t="s">
        <v>179</v>
      </c>
      <c r="E226" s="162" t="s">
        <v>1915</v>
      </c>
      <c r="F226" s="170"/>
      <c r="G226" s="205" t="str">
        <f>+VLOOKUP(Table_1[[#This Row],[Account]],BV_Data_An_Cour!$L:$Q,6,0)</f>
        <v>10-Compte compteur</v>
      </c>
      <c r="H226" s="170"/>
    </row>
    <row r="227" spans="1:8" ht="15" hidden="1" customHeight="1">
      <c r="A227" s="178" t="s">
        <v>2048</v>
      </c>
      <c r="B227" s="584" t="s">
        <v>2047</v>
      </c>
      <c r="C227" s="166" t="s">
        <v>175</v>
      </c>
      <c r="D227" s="166" t="s">
        <v>180</v>
      </c>
      <c r="E227" s="205" t="s">
        <v>1917</v>
      </c>
      <c r="F227" s="170" t="s">
        <v>1920</v>
      </c>
      <c r="G227" s="205" t="str">
        <f>+VLOOKUP(Table_1[[#This Row],[Account]],BV_Data_An_Cour!$L:$Q,6,0)</f>
        <v>5-Ventes</v>
      </c>
      <c r="H227" s="170"/>
    </row>
    <row r="228" spans="1:8" ht="15" hidden="1" customHeight="1">
      <c r="A228" s="180" t="s">
        <v>2543</v>
      </c>
      <c r="B228" s="181" t="s">
        <v>2542</v>
      </c>
      <c r="C228" s="166" t="s">
        <v>175</v>
      </c>
      <c r="D228" s="166" t="s">
        <v>180</v>
      </c>
      <c r="E228" s="162" t="s">
        <v>1915</v>
      </c>
      <c r="F228" s="170"/>
      <c r="G228" s="205" t="str">
        <f>+VLOOKUP(Table_1[[#This Row],[Account]],BV_Data_An_Cour!$L:$Q,6,0)</f>
        <v>10-Compte compteur</v>
      </c>
      <c r="H228" s="170"/>
    </row>
    <row r="229" spans="1:8" ht="15" hidden="1" customHeight="1">
      <c r="A229" s="180" t="s">
        <v>2169</v>
      </c>
      <c r="B229" s="181" t="s">
        <v>2150</v>
      </c>
      <c r="C229" s="166" t="s">
        <v>155</v>
      </c>
      <c r="D229" s="166" t="s">
        <v>162</v>
      </c>
      <c r="E229" s="205" t="s">
        <v>1917</v>
      </c>
      <c r="F229" s="170" t="s">
        <v>1920</v>
      </c>
      <c r="G229" s="205" t="str">
        <f>+VLOOKUP(Table_1[[#This Row],[Account]],BV_Data_An_Cour!$L:$Q,6,0)</f>
        <v>5-Ventes</v>
      </c>
      <c r="H229" s="170"/>
    </row>
    <row r="230" spans="1:8" ht="15" hidden="1" customHeight="1">
      <c r="A230" s="180" t="s">
        <v>2115</v>
      </c>
      <c r="B230" s="181" t="s">
        <v>2114</v>
      </c>
      <c r="C230" s="166" t="s">
        <v>175</v>
      </c>
      <c r="D230" s="166" t="s">
        <v>177</v>
      </c>
      <c r="E230" s="205" t="s">
        <v>1917</v>
      </c>
      <c r="F230" s="170" t="s">
        <v>1920</v>
      </c>
      <c r="G230" s="205" t="str">
        <f>+VLOOKUP(Table_1[[#This Row],[Account]],BV_Data_An_Cour!$L:$Q,6,0)</f>
        <v>5-Ventes</v>
      </c>
      <c r="H230" s="170"/>
    </row>
    <row r="231" spans="1:8" ht="15" hidden="1" customHeight="1">
      <c r="A231" s="582" t="s">
        <v>2545</v>
      </c>
      <c r="B231" s="582" t="s">
        <v>2544</v>
      </c>
      <c r="C231" s="166" t="s">
        <v>175</v>
      </c>
      <c r="D231" s="166" t="s">
        <v>177</v>
      </c>
      <c r="E231" s="162" t="s">
        <v>1915</v>
      </c>
      <c r="F231" s="170"/>
      <c r="G231" s="205" t="str">
        <f>+VLOOKUP(Table_1[[#This Row],[Account]],BV_Data_An_Cour!$L:$Q,6,0)</f>
        <v>10-Compte compteur</v>
      </c>
      <c r="H231" s="170"/>
    </row>
    <row r="232" spans="1:8" ht="15" hidden="1" customHeight="1">
      <c r="A232" s="582" t="s">
        <v>2445</v>
      </c>
      <c r="B232" s="582" t="s">
        <v>2114</v>
      </c>
      <c r="C232" s="166" t="s">
        <v>175</v>
      </c>
      <c r="D232" s="166" t="s">
        <v>177</v>
      </c>
      <c r="E232" s="205" t="s">
        <v>1917</v>
      </c>
      <c r="F232" s="170" t="s">
        <v>1920</v>
      </c>
      <c r="G232" s="205" t="e">
        <f>+VLOOKUP(Table_1[[#This Row],[Account]],BV_Data_An_Cour!$L:$Q,6,0)</f>
        <v>#N/A</v>
      </c>
      <c r="H232" s="170"/>
    </row>
    <row r="233" spans="1:8" ht="15" hidden="1" customHeight="1">
      <c r="A233" s="577" t="s">
        <v>2547</v>
      </c>
      <c r="B233" s="582" t="s">
        <v>2546</v>
      </c>
      <c r="C233" s="166" t="s">
        <v>175</v>
      </c>
      <c r="D233" s="166" t="s">
        <v>177</v>
      </c>
      <c r="E233" s="162" t="s">
        <v>1915</v>
      </c>
      <c r="F233" s="170"/>
      <c r="G233" s="205" t="e">
        <f>+VLOOKUP(Table_1[[#This Row],[Account]],BV_Data_An_Cour!$L:$Q,6,0)</f>
        <v>#N/A</v>
      </c>
      <c r="H233" s="170"/>
    </row>
    <row r="234" spans="1:8" ht="15" hidden="1" customHeight="1">
      <c r="A234" s="180" t="s">
        <v>2108</v>
      </c>
      <c r="B234" s="181" t="s">
        <v>2107</v>
      </c>
      <c r="C234" s="166" t="s">
        <v>175</v>
      </c>
      <c r="D234" s="166" t="s">
        <v>178</v>
      </c>
      <c r="E234" s="205" t="s">
        <v>1917</v>
      </c>
      <c r="F234" s="170" t="s">
        <v>1920</v>
      </c>
      <c r="G234" s="205" t="str">
        <f>+VLOOKUP(Table_1[[#This Row],[Account]],BV_Data_An_Cour!$L:$Q,6,0)</f>
        <v>5-Ventes</v>
      </c>
      <c r="H234" s="170"/>
    </row>
    <row r="235" spans="1:8" ht="15" hidden="1" customHeight="1">
      <c r="A235" s="178" t="s">
        <v>2549</v>
      </c>
      <c r="B235" s="179" t="s">
        <v>2548</v>
      </c>
      <c r="C235" s="166" t="s">
        <v>175</v>
      </c>
      <c r="D235" s="166" t="s">
        <v>178</v>
      </c>
      <c r="E235" s="162" t="s">
        <v>1915</v>
      </c>
      <c r="F235" s="170"/>
      <c r="G235" s="205" t="str">
        <f>+VLOOKUP(Table_1[[#This Row],[Account]],BV_Data_An_Cour!$L:$Q,6,0)</f>
        <v>10-Compte compteur</v>
      </c>
      <c r="H235" s="170"/>
    </row>
    <row r="236" spans="1:8" ht="15" hidden="1" customHeight="1">
      <c r="A236" s="575" t="s">
        <v>2091</v>
      </c>
      <c r="B236" s="581" t="s">
        <v>2090</v>
      </c>
      <c r="C236" s="166" t="s">
        <v>175</v>
      </c>
      <c r="D236" s="166" t="s">
        <v>178</v>
      </c>
      <c r="E236" s="205" t="s">
        <v>1917</v>
      </c>
      <c r="F236" s="170" t="s">
        <v>1920</v>
      </c>
      <c r="G236" s="205" t="str">
        <f>+VLOOKUP(Table_1[[#This Row],[Account]],BV_Data_An_Cour!$L:$Q,6,0)</f>
        <v>5-Ventes</v>
      </c>
      <c r="H236" s="170"/>
    </row>
    <row r="237" spans="1:8" ht="15" hidden="1" customHeight="1">
      <c r="A237" s="164" t="s">
        <v>2551</v>
      </c>
      <c r="B237" s="165" t="s">
        <v>2550</v>
      </c>
      <c r="C237" s="166" t="s">
        <v>175</v>
      </c>
      <c r="D237" s="166" t="s">
        <v>178</v>
      </c>
      <c r="E237" s="162" t="s">
        <v>1915</v>
      </c>
      <c r="F237" s="170"/>
      <c r="G237" s="205" t="str">
        <f>+VLOOKUP(Table_1[[#This Row],[Account]],BV_Data_An_Cour!$L:$Q,6,0)</f>
        <v>10-Compte compteur</v>
      </c>
      <c r="H237" s="170"/>
    </row>
    <row r="238" spans="1:8" ht="15" hidden="1" customHeight="1">
      <c r="A238" s="581" t="s">
        <v>2166</v>
      </c>
      <c r="B238" s="581" t="s">
        <v>2165</v>
      </c>
      <c r="C238" s="166" t="s">
        <v>175</v>
      </c>
      <c r="D238" s="166" t="s">
        <v>178</v>
      </c>
      <c r="E238" s="205" t="s">
        <v>1917</v>
      </c>
      <c r="F238" s="170" t="s">
        <v>1920</v>
      </c>
      <c r="G238" s="205" t="str">
        <f>+VLOOKUP(Table_1[[#This Row],[Account]],BV_Data_An_Cour!$L:$Q,6,0)</f>
        <v>5-Ventes</v>
      </c>
      <c r="H238" s="170"/>
    </row>
    <row r="239" spans="1:8" ht="15" hidden="1" customHeight="1">
      <c r="A239" s="575" t="s">
        <v>2553</v>
      </c>
      <c r="B239" s="581" t="s">
        <v>2552</v>
      </c>
      <c r="C239" s="166" t="s">
        <v>175</v>
      </c>
      <c r="D239" s="166" t="s">
        <v>178</v>
      </c>
      <c r="E239" s="162" t="s">
        <v>1915</v>
      </c>
      <c r="F239" s="170"/>
      <c r="G239" s="205" t="str">
        <f>+VLOOKUP(Table_1[[#This Row],[Account]],BV_Data_An_Cour!$L:$Q,6,0)</f>
        <v>10-Compte compteur</v>
      </c>
      <c r="H239" s="170"/>
    </row>
    <row r="240" spans="1:8" ht="15" hidden="1" customHeight="1">
      <c r="A240" s="575" t="s">
        <v>2083</v>
      </c>
      <c r="B240" s="581" t="s">
        <v>2082</v>
      </c>
      <c r="C240" s="166" t="s">
        <v>175</v>
      </c>
      <c r="D240" s="166" t="s">
        <v>181</v>
      </c>
      <c r="E240" s="205" t="s">
        <v>1917</v>
      </c>
      <c r="F240" s="170" t="s">
        <v>1920</v>
      </c>
      <c r="G240" s="205" t="str">
        <f>+VLOOKUP(Table_1[[#This Row],[Account]],BV_Data_An_Cour!$L:$Q,6,0)</f>
        <v>5-Ventes</v>
      </c>
      <c r="H240" s="170"/>
    </row>
    <row r="241" spans="1:8" ht="15" hidden="1" customHeight="1">
      <c r="A241" s="575" t="s">
        <v>2555</v>
      </c>
      <c r="B241" s="581" t="s">
        <v>2554</v>
      </c>
      <c r="C241" s="166" t="s">
        <v>175</v>
      </c>
      <c r="D241" s="166" t="s">
        <v>181</v>
      </c>
      <c r="E241" s="162" t="s">
        <v>1915</v>
      </c>
      <c r="F241" s="170"/>
      <c r="G241" s="205" t="str">
        <f>+VLOOKUP(Table_1[[#This Row],[Account]],BV_Data_An_Cour!$L:$Q,6,0)</f>
        <v>10-Compte compteur</v>
      </c>
      <c r="H241" s="170"/>
    </row>
    <row r="242" spans="1:8" ht="15" hidden="1" customHeight="1">
      <c r="A242" s="575" t="s">
        <v>2046</v>
      </c>
      <c r="B242" s="581" t="s">
        <v>2045</v>
      </c>
      <c r="C242" s="166" t="s">
        <v>175</v>
      </c>
      <c r="D242" s="166" t="s">
        <v>182</v>
      </c>
      <c r="E242" s="205" t="s">
        <v>1917</v>
      </c>
      <c r="F242" s="170" t="s">
        <v>1920</v>
      </c>
      <c r="G242" s="205" t="str">
        <f>+VLOOKUP(Table_1[[#This Row],[Account]],BV_Data_An_Cour!$L:$Q,6,0)</f>
        <v>5-Ventes</v>
      </c>
      <c r="H242" s="170"/>
    </row>
    <row r="243" spans="1:8" ht="15" hidden="1" customHeight="1">
      <c r="A243" s="575" t="s">
        <v>2557</v>
      </c>
      <c r="B243" s="581" t="s">
        <v>2556</v>
      </c>
      <c r="C243" s="166" t="s">
        <v>175</v>
      </c>
      <c r="D243" s="166" t="s">
        <v>182</v>
      </c>
      <c r="E243" s="162" t="s">
        <v>1915</v>
      </c>
      <c r="F243" s="170"/>
      <c r="G243" s="205" t="str">
        <f>+VLOOKUP(Table_1[[#This Row],[Account]],BV_Data_An_Cour!$L:$Q,6,0)</f>
        <v>10-Compte compteur</v>
      </c>
      <c r="H243" s="170"/>
    </row>
    <row r="244" spans="1:8" ht="15" hidden="1" customHeight="1">
      <c r="A244" s="579" t="s">
        <v>2035</v>
      </c>
      <c r="B244" s="581" t="s">
        <v>2034</v>
      </c>
      <c r="C244" s="166" t="s">
        <v>175</v>
      </c>
      <c r="D244" s="166" t="s">
        <v>186</v>
      </c>
      <c r="E244" s="205" t="s">
        <v>1917</v>
      </c>
      <c r="F244" s="170" t="s">
        <v>1920</v>
      </c>
      <c r="G244" s="205" t="str">
        <f>+VLOOKUP(Table_1[[#This Row],[Account]],BV_Data_An_Cour!$L:$Q,6,0)</f>
        <v>5-Ventes</v>
      </c>
      <c r="H244" s="170"/>
    </row>
    <row r="245" spans="1:8" ht="15" hidden="1" customHeight="1">
      <c r="A245" s="164" t="s">
        <v>2558</v>
      </c>
      <c r="B245" s="165" t="s">
        <v>2034</v>
      </c>
      <c r="C245" s="166" t="s">
        <v>175</v>
      </c>
      <c r="D245" s="166" t="s">
        <v>186</v>
      </c>
      <c r="E245" s="162" t="s">
        <v>1915</v>
      </c>
      <c r="F245" s="170"/>
      <c r="G245" s="205" t="str">
        <f>+VLOOKUP(Table_1[[#This Row],[Account]],BV_Data_An_Cour!$L:$Q,6,0)</f>
        <v>10-Compte compteur</v>
      </c>
      <c r="H245" s="170"/>
    </row>
    <row r="246" spans="1:8" ht="15" hidden="1" customHeight="1">
      <c r="A246" s="575" t="s">
        <v>2121</v>
      </c>
      <c r="B246" s="581" t="s">
        <v>2120</v>
      </c>
      <c r="C246" s="166" t="s">
        <v>175</v>
      </c>
      <c r="D246" s="166" t="s">
        <v>186</v>
      </c>
      <c r="E246" s="205" t="s">
        <v>1917</v>
      </c>
      <c r="F246" s="170" t="s">
        <v>1920</v>
      </c>
      <c r="G246" s="205" t="e">
        <f>+VLOOKUP(Table_1[[#This Row],[Account]],BV_Data_An_Cour!$L:$Q,6,0)</f>
        <v>#N/A</v>
      </c>
      <c r="H246" s="170"/>
    </row>
    <row r="247" spans="1:8" ht="15" hidden="1" customHeight="1">
      <c r="A247" s="164" t="s">
        <v>2215</v>
      </c>
      <c r="B247" s="165" t="s">
        <v>2214</v>
      </c>
      <c r="C247" s="166"/>
      <c r="D247" s="166"/>
      <c r="F247" s="170"/>
      <c r="G247" s="205" t="e">
        <f>+VLOOKUP(Table_1[[#This Row],[Account]],BV_Data_An_Cour!$L:$Q,6,0)</f>
        <v>#N/A</v>
      </c>
      <c r="H247" s="170"/>
    </row>
    <row r="248" spans="1:8" ht="15" hidden="1" customHeight="1">
      <c r="A248" s="575" t="s">
        <v>2328</v>
      </c>
      <c r="B248" s="581" t="s">
        <v>2327</v>
      </c>
      <c r="C248" s="166"/>
      <c r="D248" s="166"/>
      <c r="E248" s="205"/>
      <c r="F248" s="205"/>
      <c r="G248" s="205" t="str">
        <f>+VLOOKUP(Table_1[[#This Row],[Account]],BV_Data_An_Cour!$L:$Q,6,0)</f>
        <v>1-Mémo</v>
      </c>
      <c r="H248" s="170"/>
    </row>
    <row r="249" spans="1:8" ht="15" hidden="1" customHeight="1">
      <c r="A249" s="581" t="s">
        <v>2841</v>
      </c>
      <c r="B249" s="581" t="s">
        <v>2840</v>
      </c>
      <c r="C249" s="166" t="s">
        <v>75</v>
      </c>
      <c r="D249" s="166" t="s">
        <v>96</v>
      </c>
      <c r="E249" s="205" t="s">
        <v>1917</v>
      </c>
      <c r="F249" s="170"/>
      <c r="G249" s="205" t="str">
        <f>+VLOOKUP(Table_1[[#This Row],[Account]],BV_Data_An_Cour!$L:$Q,6,0)</f>
        <v>6-Coût des ventes</v>
      </c>
      <c r="H249" s="170"/>
    </row>
    <row r="250" spans="1:8" ht="15" hidden="1" customHeight="1">
      <c r="A250" s="575" t="s">
        <v>2447</v>
      </c>
      <c r="B250" s="581" t="s">
        <v>2446</v>
      </c>
      <c r="C250" s="166" t="s">
        <v>75</v>
      </c>
      <c r="D250" s="166" t="s">
        <v>89</v>
      </c>
      <c r="E250" s="205" t="s">
        <v>1917</v>
      </c>
      <c r="F250" s="205"/>
      <c r="G250" s="205" t="e">
        <f>+VLOOKUP(Table_1[[#This Row],[Account]],BV_Data_An_Cour!$L:$Q,6,0)</f>
        <v>#N/A</v>
      </c>
      <c r="H250" s="170"/>
    </row>
    <row r="251" spans="1:8" ht="15" hidden="1" customHeight="1">
      <c r="A251" s="180" t="s">
        <v>2449</v>
      </c>
      <c r="B251" s="181" t="s">
        <v>2448</v>
      </c>
      <c r="C251" s="166" t="s">
        <v>75</v>
      </c>
      <c r="D251" s="166" t="s">
        <v>89</v>
      </c>
      <c r="E251" s="205" t="s">
        <v>1917</v>
      </c>
      <c r="F251" s="205"/>
      <c r="G251" s="205" t="e">
        <f>+VLOOKUP(Table_1[[#This Row],[Account]],BV_Data_An_Cour!$L:$Q,6,0)</f>
        <v>#N/A</v>
      </c>
      <c r="H251" s="170"/>
    </row>
    <row r="252" spans="1:8" ht="15" hidden="1" customHeight="1">
      <c r="A252" s="575" t="s">
        <v>2843</v>
      </c>
      <c r="B252" s="581" t="s">
        <v>2842</v>
      </c>
      <c r="C252" s="166" t="s">
        <v>75</v>
      </c>
      <c r="D252" s="166" t="s">
        <v>89</v>
      </c>
      <c r="E252" s="205" t="s">
        <v>1917</v>
      </c>
      <c r="F252" s="205"/>
      <c r="G252" s="205" t="str">
        <f>+VLOOKUP(Table_1[[#This Row],[Account]],BV_Data_An_Cour!$L:$Q,6,0)</f>
        <v>6-Coût des ventes</v>
      </c>
      <c r="H252" s="170"/>
    </row>
    <row r="253" spans="1:8" ht="15" hidden="1" customHeight="1">
      <c r="A253" s="180" t="s">
        <v>2451</v>
      </c>
      <c r="B253" s="181" t="s">
        <v>2450</v>
      </c>
      <c r="C253" s="166" t="s">
        <v>75</v>
      </c>
      <c r="D253" s="166" t="s">
        <v>89</v>
      </c>
      <c r="E253" s="205" t="s">
        <v>1917</v>
      </c>
      <c r="F253" s="205"/>
      <c r="G253" s="205" t="e">
        <f>+VLOOKUP(Table_1[[#This Row],[Account]],BV_Data_An_Cour!$L:$Q,6,0)</f>
        <v>#N/A</v>
      </c>
      <c r="H253" s="170"/>
    </row>
    <row r="254" spans="1:8" ht="15" hidden="1" customHeight="1">
      <c r="A254" s="575" t="s">
        <v>1526</v>
      </c>
      <c r="B254" s="581" t="s">
        <v>2329</v>
      </c>
      <c r="C254" s="166"/>
      <c r="D254" s="166"/>
      <c r="E254" s="205"/>
      <c r="F254" s="205"/>
      <c r="G254" s="205" t="str">
        <f>+VLOOKUP(Table_1[[#This Row],[Account]],BV_Data_An_Cour!$L:$Q,6,0)</f>
        <v>1-Mémo</v>
      </c>
      <c r="H254" s="170"/>
    </row>
    <row r="255" spans="1:8" ht="15" hidden="1" customHeight="1">
      <c r="A255" s="793" t="s">
        <v>2845</v>
      </c>
      <c r="B255" s="182" t="s">
        <v>2844</v>
      </c>
      <c r="C255" s="166" t="s">
        <v>75</v>
      </c>
      <c r="D255" s="166" t="s">
        <v>89</v>
      </c>
      <c r="E255" s="205" t="s">
        <v>1917</v>
      </c>
      <c r="F255" s="205"/>
      <c r="G255" s="205" t="str">
        <f>+VLOOKUP(Table_1[[#This Row],[Account]],BV_Data_An_Cour!$L:$Q,6,0)</f>
        <v>6-Coût des ventes</v>
      </c>
      <c r="H255" s="170"/>
    </row>
    <row r="256" spans="1:8" ht="15" hidden="1" customHeight="1">
      <c r="A256" s="602" t="s">
        <v>2453</v>
      </c>
      <c r="B256" s="581" t="s">
        <v>2452</v>
      </c>
      <c r="C256" s="166" t="s">
        <v>75</v>
      </c>
      <c r="D256" s="166" t="s">
        <v>89</v>
      </c>
      <c r="E256" s="205" t="s">
        <v>1917</v>
      </c>
      <c r="F256" s="205"/>
      <c r="G256" s="205" t="e">
        <f>+VLOOKUP(Table_1[[#This Row],[Account]],BV_Data_An_Cour!$L:$Q,6,0)</f>
        <v>#N/A</v>
      </c>
      <c r="H256" s="170"/>
    </row>
    <row r="257" spans="1:8" ht="15" hidden="1" customHeight="1">
      <c r="A257" s="793" t="s">
        <v>2455</v>
      </c>
      <c r="B257" s="181" t="s">
        <v>2454</v>
      </c>
      <c r="C257" s="166" t="s">
        <v>75</v>
      </c>
      <c r="D257" s="166" t="s">
        <v>89</v>
      </c>
      <c r="E257" s="205" t="s">
        <v>1917</v>
      </c>
      <c r="F257" s="205"/>
      <c r="G257" s="205" t="e">
        <f>+VLOOKUP(Table_1[[#This Row],[Account]],BV_Data_An_Cour!$L:$Q,6,0)</f>
        <v>#N/A</v>
      </c>
      <c r="H257" s="170"/>
    </row>
    <row r="258" spans="1:8" ht="15" hidden="1" customHeight="1">
      <c r="A258" s="602" t="s">
        <v>2851</v>
      </c>
      <c r="B258" s="581" t="s">
        <v>2850</v>
      </c>
      <c r="C258" s="166" t="s">
        <v>75</v>
      </c>
      <c r="D258" s="166" t="s">
        <v>90</v>
      </c>
      <c r="E258" s="205" t="s">
        <v>1917</v>
      </c>
      <c r="F258" s="205"/>
      <c r="G258" s="205" t="str">
        <f>+VLOOKUP(Table_1[[#This Row],[Account]],BV_Data_An_Cour!$L:$Q,6,0)</f>
        <v>6-Coût des ventes</v>
      </c>
      <c r="H258" s="170"/>
    </row>
    <row r="259" spans="1:8" ht="15" hidden="1" customHeight="1">
      <c r="A259" s="793" t="s">
        <v>884</v>
      </c>
      <c r="B259" s="182" t="s">
        <v>2330</v>
      </c>
      <c r="C259" s="166"/>
      <c r="D259" s="166"/>
      <c r="F259" s="205"/>
      <c r="G259" s="205" t="str">
        <f>+VLOOKUP(Table_1[[#This Row],[Account]],BV_Data_An_Cour!$L:$Q,6,0)</f>
        <v>1-Mémo</v>
      </c>
      <c r="H259" s="170"/>
    </row>
    <row r="260" spans="1:8" ht="15" hidden="1" customHeight="1">
      <c r="A260" s="604" t="s">
        <v>2837</v>
      </c>
      <c r="B260" s="584" t="s">
        <v>2836</v>
      </c>
      <c r="C260" s="166" t="s">
        <v>75</v>
      </c>
      <c r="D260" s="166" t="s">
        <v>89</v>
      </c>
      <c r="E260" s="205" t="s">
        <v>1917</v>
      </c>
      <c r="F260" s="205"/>
      <c r="G260" s="205" t="e">
        <f>+VLOOKUP(Table_1[[#This Row],[Account]],BV_Data_An_Cour!$L:$Q,6,0)</f>
        <v>#N/A</v>
      </c>
      <c r="H260" s="170"/>
    </row>
    <row r="261" spans="1:8" ht="15" hidden="1" customHeight="1">
      <c r="A261" s="178" t="s">
        <v>2856</v>
      </c>
      <c r="B261" s="179" t="s">
        <v>2855</v>
      </c>
      <c r="C261" s="166" t="s">
        <v>75</v>
      </c>
      <c r="D261" s="166" t="s">
        <v>90</v>
      </c>
      <c r="E261" s="205" t="s">
        <v>1917</v>
      </c>
      <c r="F261" s="205"/>
      <c r="G261" s="205" t="str">
        <f>+VLOOKUP(Table_1[[#This Row],[Account]],BV_Data_An_Cour!$L:$Q,6,0)</f>
        <v>6-Coût des ventes</v>
      </c>
      <c r="H261" s="170"/>
    </row>
    <row r="262" spans="1:8" ht="15" hidden="1" customHeight="1">
      <c r="A262" s="575" t="s">
        <v>2839</v>
      </c>
      <c r="B262" s="581" t="s">
        <v>2838</v>
      </c>
      <c r="C262" s="166" t="s">
        <v>75</v>
      </c>
      <c r="D262" s="166" t="s">
        <v>89</v>
      </c>
      <c r="E262" s="205" t="s">
        <v>1917</v>
      </c>
      <c r="F262" s="205"/>
      <c r="G262" s="205" t="str">
        <f>+VLOOKUP(Table_1[[#This Row],[Account]],BV_Data_An_Cour!$L:$Q,6,0)</f>
        <v>6-Coût des ventes</v>
      </c>
      <c r="H262" s="170"/>
    </row>
    <row r="263" spans="1:8" ht="15" hidden="1" customHeight="1">
      <c r="A263" s="180" t="s">
        <v>2457</v>
      </c>
      <c r="B263" s="181" t="s">
        <v>2456</v>
      </c>
      <c r="C263" s="166" t="s">
        <v>75</v>
      </c>
      <c r="D263" s="166" t="s">
        <v>94</v>
      </c>
      <c r="E263" s="205" t="s">
        <v>1917</v>
      </c>
      <c r="F263" s="205"/>
      <c r="G263" s="205" t="str">
        <f>+VLOOKUP(Table_1[[#This Row],[Account]],BV_Data_An_Cour!$L:$Q,6,0)</f>
        <v>6-Coût des ventes</v>
      </c>
      <c r="H263" s="170"/>
    </row>
    <row r="264" spans="1:8" ht="15" hidden="1" customHeight="1">
      <c r="A264" s="575" t="s">
        <v>2849</v>
      </c>
      <c r="B264" s="581" t="s">
        <v>2456</v>
      </c>
      <c r="C264" s="166" t="s">
        <v>75</v>
      </c>
      <c r="D264" s="166" t="s">
        <v>94</v>
      </c>
      <c r="E264" s="205" t="s">
        <v>1917</v>
      </c>
      <c r="F264" s="205"/>
      <c r="G264" s="205" t="str">
        <f>+VLOOKUP(Table_1[[#This Row],[Account]],BV_Data_An_Cour!$L:$Q,6,0)</f>
        <v>6-Coût des ventes</v>
      </c>
      <c r="H264" s="170"/>
    </row>
    <row r="265" spans="1:8" ht="15" hidden="1" customHeight="1">
      <c r="A265" s="180" t="s">
        <v>2332</v>
      </c>
      <c r="B265" s="181" t="s">
        <v>2331</v>
      </c>
      <c r="C265" s="166"/>
      <c r="D265" s="166"/>
      <c r="F265" s="205"/>
      <c r="G265" s="205" t="str">
        <f>+VLOOKUP(Table_1[[#This Row],[Account]],BV_Data_An_Cour!$L:$Q,6,0)</f>
        <v>1-Mémo</v>
      </c>
      <c r="H265" s="170"/>
    </row>
    <row r="266" spans="1:8" ht="15" hidden="1" customHeight="1">
      <c r="A266" s="575" t="s">
        <v>2334</v>
      </c>
      <c r="B266" s="581" t="s">
        <v>2333</v>
      </c>
      <c r="C266" s="166"/>
      <c r="D266" s="166"/>
      <c r="E266" s="205"/>
      <c r="F266" s="205"/>
      <c r="G266" s="205" t="str">
        <f>+VLOOKUP(Table_1[[#This Row],[Account]],BV_Data_An_Cour!$L:$Q,6,0)</f>
        <v>1-Mémo</v>
      </c>
      <c r="H266" s="170"/>
    </row>
    <row r="267" spans="1:8" ht="15" hidden="1" customHeight="1">
      <c r="A267" s="180" t="s">
        <v>2336</v>
      </c>
      <c r="B267" s="181" t="s">
        <v>2335</v>
      </c>
      <c r="C267" s="166"/>
      <c r="D267" s="166"/>
      <c r="F267" s="205"/>
      <c r="G267" s="205" t="str">
        <f>+VLOOKUP(Table_1[[#This Row],[Account]],BV_Data_An_Cour!$L:$Q,6,0)</f>
        <v>1-Mémo</v>
      </c>
      <c r="H267" s="170"/>
    </row>
    <row r="268" spans="1:8" ht="15" hidden="1" customHeight="1">
      <c r="A268" s="575" t="s">
        <v>2853</v>
      </c>
      <c r="B268" s="581" t="s">
        <v>2852</v>
      </c>
      <c r="C268" s="166" t="s">
        <v>144</v>
      </c>
      <c r="D268" s="166" t="s">
        <v>146</v>
      </c>
      <c r="E268" s="205" t="s">
        <v>1917</v>
      </c>
      <c r="F268" s="205"/>
      <c r="G268" s="205" t="str">
        <f>+VLOOKUP(Table_1[[#This Row],[Account]],BV_Data_An_Cour!$L:$Q,6,0)</f>
        <v>6-Coût des ventes</v>
      </c>
      <c r="H268" s="170"/>
    </row>
    <row r="269" spans="1:8" ht="15" hidden="1" customHeight="1">
      <c r="A269" s="180" t="s">
        <v>2831</v>
      </c>
      <c r="B269" s="181" t="s">
        <v>2830</v>
      </c>
      <c r="C269" s="166" t="s">
        <v>144</v>
      </c>
      <c r="D269" s="166" t="s">
        <v>146</v>
      </c>
      <c r="E269" s="205" t="s">
        <v>1917</v>
      </c>
      <c r="F269" s="205"/>
      <c r="G269" s="205" t="str">
        <f>+VLOOKUP(Table_1[[#This Row],[Account]],BV_Data_An_Cour!$L:$Q,6,0)</f>
        <v>6-Coût des ventes</v>
      </c>
      <c r="H269" s="170"/>
    </row>
    <row r="270" spans="1:8" ht="15" hidden="1" customHeight="1">
      <c r="A270" s="164" t="s">
        <v>2338</v>
      </c>
      <c r="B270" s="165" t="s">
        <v>2337</v>
      </c>
      <c r="C270" s="166"/>
      <c r="D270" s="166"/>
      <c r="E270" s="205"/>
      <c r="F270" s="205"/>
      <c r="G270" s="205" t="str">
        <f>+VLOOKUP(Table_1[[#This Row],[Account]],BV_Data_An_Cour!$L:$Q,6,0)</f>
        <v>1-Mémo</v>
      </c>
      <c r="H270" s="170"/>
    </row>
    <row r="271" spans="1:8" ht="15" hidden="1" customHeight="1">
      <c r="A271" s="164" t="s">
        <v>2619</v>
      </c>
      <c r="B271" s="165" t="s">
        <v>2618</v>
      </c>
      <c r="C271" s="166" t="s">
        <v>144</v>
      </c>
      <c r="D271" s="166" t="s">
        <v>147</v>
      </c>
      <c r="E271" s="205" t="s">
        <v>1917</v>
      </c>
      <c r="F271" s="205"/>
      <c r="G271" s="205" t="e">
        <f>+VLOOKUP(Table_1[[#This Row],[Account]],BV_Data_An_Cour!$L:$Q,6,0)</f>
        <v>#N/A</v>
      </c>
      <c r="H271" s="170"/>
    </row>
    <row r="272" spans="1:8" ht="15" hidden="1" customHeight="1">
      <c r="A272" s="577" t="s">
        <v>2459</v>
      </c>
      <c r="B272" s="582" t="s">
        <v>2458</v>
      </c>
      <c r="C272" s="166" t="s">
        <v>144</v>
      </c>
      <c r="D272" s="166" t="s">
        <v>147</v>
      </c>
      <c r="E272" s="205" t="s">
        <v>1917</v>
      </c>
      <c r="F272" s="205"/>
      <c r="G272" s="205" t="e">
        <f>+VLOOKUP(Table_1[[#This Row],[Account]],BV_Data_An_Cour!$L:$Q,6,0)</f>
        <v>#N/A</v>
      </c>
      <c r="H272" s="170"/>
    </row>
    <row r="273" spans="1:8" ht="15" hidden="1" customHeight="1">
      <c r="A273" s="164" t="s">
        <v>2340</v>
      </c>
      <c r="B273" s="165" t="s">
        <v>2339</v>
      </c>
      <c r="C273" s="166"/>
      <c r="D273" s="166"/>
      <c r="E273" s="205"/>
      <c r="F273" s="205"/>
      <c r="G273" s="205" t="str">
        <f>+VLOOKUP(Table_1[[#This Row],[Account]],BV_Data_An_Cour!$L:$Q,6,0)</f>
        <v>1-Mémo</v>
      </c>
      <c r="H273" s="170"/>
    </row>
    <row r="274" spans="1:8" ht="15" hidden="1" customHeight="1">
      <c r="A274" s="164" t="s">
        <v>2342</v>
      </c>
      <c r="B274" s="165" t="s">
        <v>2341</v>
      </c>
      <c r="C274" s="166"/>
      <c r="D274" s="166"/>
      <c r="E274" s="205"/>
      <c r="F274" s="205"/>
      <c r="G274" s="205" t="str">
        <f>+VLOOKUP(Table_1[[#This Row],[Account]],BV_Data_An_Cour!$L:$Q,6,0)</f>
        <v>1-Mémo</v>
      </c>
      <c r="H274" s="170"/>
    </row>
    <row r="275" spans="1:8" ht="15" hidden="1" customHeight="1">
      <c r="A275" s="581" t="s">
        <v>2344</v>
      </c>
      <c r="B275" s="581" t="s">
        <v>2343</v>
      </c>
      <c r="C275" s="166"/>
      <c r="D275" s="166"/>
      <c r="E275" s="205"/>
      <c r="F275" s="205"/>
      <c r="G275" s="205" t="str">
        <f>+VLOOKUP(Table_1[[#This Row],[Account]],BV_Data_An_Cour!$L:$Q,6,0)</f>
        <v>1-Mémo</v>
      </c>
      <c r="H275" s="170"/>
    </row>
    <row r="276" spans="1:8" ht="15" hidden="1" customHeight="1">
      <c r="A276" s="576" t="s">
        <v>2827</v>
      </c>
      <c r="B276" s="584" t="s">
        <v>2038</v>
      </c>
      <c r="C276" s="166" t="s">
        <v>144</v>
      </c>
      <c r="D276" s="166" t="s">
        <v>147</v>
      </c>
      <c r="E276" s="205" t="s">
        <v>1917</v>
      </c>
      <c r="F276" s="205"/>
      <c r="G276" s="205" t="str">
        <f>+VLOOKUP(Table_1[[#This Row],[Account]],BV_Data_An_Cour!$L:$Q,6,0)</f>
        <v>6-Coût des ventes</v>
      </c>
      <c r="H276" s="170"/>
    </row>
    <row r="277" spans="1:8" ht="15" hidden="1" customHeight="1">
      <c r="A277" s="581" t="s">
        <v>2673</v>
      </c>
      <c r="B277" s="581" t="s">
        <v>2672</v>
      </c>
      <c r="C277" s="166" t="s">
        <v>144</v>
      </c>
      <c r="D277" s="166" t="s">
        <v>147</v>
      </c>
      <c r="E277" s="205" t="s">
        <v>1917</v>
      </c>
      <c r="F277" s="205"/>
      <c r="G277" s="205" t="e">
        <f>+VLOOKUP(Table_1[[#This Row],[Account]],BV_Data_An_Cour!$L:$Q,6,0)</f>
        <v>#N/A</v>
      </c>
      <c r="H277" s="170"/>
    </row>
    <row r="278" spans="1:8" ht="15" hidden="1" customHeight="1">
      <c r="A278" s="164" t="s">
        <v>2848</v>
      </c>
      <c r="B278" s="165" t="s">
        <v>2006</v>
      </c>
      <c r="C278" s="166" t="s">
        <v>144</v>
      </c>
      <c r="D278" s="166" t="s">
        <v>150</v>
      </c>
      <c r="E278" s="205" t="s">
        <v>1917</v>
      </c>
      <c r="F278" s="205"/>
      <c r="G278" s="205" t="str">
        <f>+VLOOKUP(Table_1[[#This Row],[Account]],BV_Data_An_Cour!$L:$Q,6,0)</f>
        <v>6-Coût des ventes</v>
      </c>
      <c r="H278" s="170"/>
    </row>
    <row r="279" spans="1:8" ht="15" hidden="1" customHeight="1">
      <c r="A279" s="178" t="s">
        <v>2829</v>
      </c>
      <c r="B279" s="179" t="s">
        <v>2828</v>
      </c>
      <c r="C279" s="166" t="s">
        <v>155</v>
      </c>
      <c r="D279" s="166" t="s">
        <v>159</v>
      </c>
      <c r="E279" s="205" t="s">
        <v>1917</v>
      </c>
      <c r="F279" s="205"/>
      <c r="G279" s="205" t="str">
        <f>+VLOOKUP(Table_1[[#This Row],[Account]],BV_Data_An_Cour!$L:$Q,6,0)</f>
        <v>6-Coût des ventes</v>
      </c>
      <c r="H279" s="170"/>
    </row>
    <row r="280" spans="1:8" ht="15" hidden="1" customHeight="1">
      <c r="A280" s="164" t="s">
        <v>2567</v>
      </c>
      <c r="B280" s="165" t="s">
        <v>2566</v>
      </c>
      <c r="C280" s="166" t="s">
        <v>155</v>
      </c>
      <c r="D280" s="166" t="s">
        <v>163</v>
      </c>
      <c r="E280" s="205" t="s">
        <v>1917</v>
      </c>
      <c r="F280" s="205"/>
      <c r="G280" s="205" t="e">
        <f>+VLOOKUP(Table_1[[#This Row],[Account]],BV_Data_An_Cour!$L:$Q,6,0)</f>
        <v>#N/A</v>
      </c>
      <c r="H280" s="170"/>
    </row>
    <row r="281" spans="1:8" ht="15" hidden="1" customHeight="1">
      <c r="A281" s="169" t="s">
        <v>2792</v>
      </c>
      <c r="B281" s="165" t="s">
        <v>2791</v>
      </c>
      <c r="C281" s="166" t="s">
        <v>155</v>
      </c>
      <c r="D281" s="166" t="s">
        <v>161</v>
      </c>
      <c r="E281" s="205" t="s">
        <v>1917</v>
      </c>
      <c r="F281" s="205"/>
      <c r="G281" s="205" t="str">
        <f>+VLOOKUP(Table_1[[#This Row],[Account]],BV_Data_An_Cour!$L:$Q,6,0)</f>
        <v>6-Coût des ventes</v>
      </c>
      <c r="H281" s="170"/>
    </row>
    <row r="282" spans="1:8" ht="15" hidden="1" customHeight="1">
      <c r="A282" s="164" t="s">
        <v>2778</v>
      </c>
      <c r="B282" s="165" t="s">
        <v>2777</v>
      </c>
      <c r="C282" s="166" t="s">
        <v>155</v>
      </c>
      <c r="D282" s="166" t="s">
        <v>162</v>
      </c>
      <c r="E282" s="205" t="s">
        <v>1917</v>
      </c>
      <c r="F282" s="205"/>
      <c r="G282" s="205" t="str">
        <f>+VLOOKUP(Table_1[[#This Row],[Account]],BV_Data_An_Cour!$L:$Q,6,0)</f>
        <v>6-Coût des ventes</v>
      </c>
      <c r="H282" s="170"/>
    </row>
    <row r="283" spans="1:8" ht="15" hidden="1" customHeight="1">
      <c r="A283" s="164" t="s">
        <v>2346</v>
      </c>
      <c r="B283" s="165" t="s">
        <v>2345</v>
      </c>
      <c r="C283" s="166"/>
      <c r="D283" s="166"/>
      <c r="E283" s="205"/>
      <c r="F283" s="205"/>
      <c r="G283" s="205" t="str">
        <f>+VLOOKUP(Table_1[[#This Row],[Account]],BV_Data_An_Cour!$L:$Q,6,0)</f>
        <v>1-Mémo</v>
      </c>
      <c r="H283" s="170"/>
    </row>
    <row r="284" spans="1:8" ht="15" hidden="1" customHeight="1">
      <c r="A284" s="164" t="s">
        <v>2726</v>
      </c>
      <c r="B284" s="165" t="s">
        <v>2725</v>
      </c>
      <c r="C284" s="166" t="s">
        <v>155</v>
      </c>
      <c r="D284" s="166" t="s">
        <v>164</v>
      </c>
      <c r="E284" s="205" t="s">
        <v>1917</v>
      </c>
      <c r="F284" s="205"/>
      <c r="G284" s="205" t="str">
        <f>+VLOOKUP(Table_1[[#This Row],[Account]],BV_Data_An_Cour!$L:$Q,6,0)</f>
        <v>6-Coût des ventes</v>
      </c>
      <c r="H284" s="170"/>
    </row>
    <row r="285" spans="1:8" ht="15" hidden="1" customHeight="1">
      <c r="A285" s="180" t="s">
        <v>2349</v>
      </c>
      <c r="B285" s="181" t="s">
        <v>2348</v>
      </c>
      <c r="C285" s="166"/>
      <c r="D285" s="166"/>
      <c r="F285" s="205"/>
      <c r="G285" s="205" t="str">
        <f>+VLOOKUP(Table_1[[#This Row],[Account]],BV_Data_An_Cour!$L:$Q,6,0)</f>
        <v>1-Mémo</v>
      </c>
      <c r="H285" s="170"/>
    </row>
    <row r="286" spans="1:8" ht="15" hidden="1" customHeight="1">
      <c r="A286" s="164" t="s">
        <v>2802</v>
      </c>
      <c r="B286" s="165" t="s">
        <v>2071</v>
      </c>
      <c r="C286" s="166" t="s">
        <v>175</v>
      </c>
      <c r="D286" s="166" t="s">
        <v>187</v>
      </c>
      <c r="E286" s="205" t="s">
        <v>1917</v>
      </c>
      <c r="F286" s="205"/>
      <c r="G286" s="205" t="str">
        <f>+VLOOKUP(Table_1[[#This Row],[Account]],BV_Data_An_Cour!$L:$Q,6,0)</f>
        <v>6-Coût des ventes</v>
      </c>
      <c r="H286" s="170"/>
    </row>
    <row r="287" spans="1:8" ht="15" hidden="1" customHeight="1">
      <c r="A287" s="575" t="s">
        <v>2713</v>
      </c>
      <c r="B287" s="581" t="s">
        <v>2144</v>
      </c>
      <c r="C287" s="166" t="s">
        <v>155</v>
      </c>
      <c r="D287" s="166" t="s">
        <v>167</v>
      </c>
      <c r="E287" s="205" t="s">
        <v>1917</v>
      </c>
      <c r="F287" s="205"/>
      <c r="G287" s="205" t="str">
        <f>+VLOOKUP(Table_1[[#This Row],[Account]],BV_Data_An_Cour!$L:$Q,6,0)</f>
        <v>6-Coût des ventes</v>
      </c>
      <c r="H287" s="170"/>
    </row>
    <row r="288" spans="1:8" ht="15" hidden="1" customHeight="1">
      <c r="A288" s="178" t="s">
        <v>2688</v>
      </c>
      <c r="B288" s="179" t="s">
        <v>2687</v>
      </c>
      <c r="C288" s="166" t="s">
        <v>155</v>
      </c>
      <c r="D288" s="166" t="s">
        <v>167</v>
      </c>
      <c r="E288" s="205" t="s">
        <v>1917</v>
      </c>
      <c r="G288" s="162" t="str">
        <f>+VLOOKUP(Table_1[[#This Row],[Account]],BV_Data_An_Cour!$L:$Q,6,0)</f>
        <v>6-Coût des ventes</v>
      </c>
      <c r="H288" s="170"/>
    </row>
    <row r="289" spans="1:8" ht="15" hidden="1" customHeight="1">
      <c r="A289" s="164" t="s">
        <v>2790</v>
      </c>
      <c r="B289" s="165" t="s">
        <v>2789</v>
      </c>
      <c r="C289" s="166" t="s">
        <v>155</v>
      </c>
      <c r="D289" s="166" t="s">
        <v>167</v>
      </c>
      <c r="E289" s="205" t="s">
        <v>1917</v>
      </c>
      <c r="F289" s="205"/>
      <c r="G289" s="205" t="str">
        <f>+VLOOKUP(Table_1[[#This Row],[Account]],BV_Data_An_Cour!$L:$Q,6,0)</f>
        <v>6-Coût des ventes</v>
      </c>
      <c r="H289" s="170"/>
    </row>
    <row r="290" spans="1:8" ht="15" hidden="1" customHeight="1">
      <c r="A290" s="164" t="s">
        <v>2351</v>
      </c>
      <c r="B290" s="165" t="s">
        <v>2350</v>
      </c>
      <c r="C290" s="166"/>
      <c r="D290" s="166"/>
      <c r="E290" s="205"/>
      <c r="F290" s="205"/>
      <c r="G290" s="205" t="str">
        <f>+VLOOKUP(Table_1[[#This Row],[Account]],BV_Data_An_Cour!$L:$Q,6,0)</f>
        <v>1-Mémo</v>
      </c>
      <c r="H290" s="170"/>
    </row>
    <row r="291" spans="1:8" ht="15" hidden="1" customHeight="1">
      <c r="A291" s="178" t="s">
        <v>2353</v>
      </c>
      <c r="B291" s="179" t="s">
        <v>2352</v>
      </c>
      <c r="C291" s="166"/>
      <c r="D291" s="166"/>
      <c r="F291" s="205"/>
      <c r="G291" s="205" t="str">
        <f>+VLOOKUP(Table_1[[#This Row],[Account]],BV_Data_An_Cour!$L:$Q,6,0)</f>
        <v>1-Mémo</v>
      </c>
      <c r="H291" s="170"/>
    </row>
    <row r="292" spans="1:8" ht="15" hidden="1" customHeight="1">
      <c r="A292" s="164" t="s">
        <v>2799</v>
      </c>
      <c r="B292" s="165" t="s">
        <v>2798</v>
      </c>
      <c r="C292" s="166" t="s">
        <v>171</v>
      </c>
      <c r="D292" s="166" t="s">
        <v>172</v>
      </c>
      <c r="E292" s="205" t="s">
        <v>1917</v>
      </c>
      <c r="F292" s="205"/>
      <c r="G292" s="205" t="str">
        <f>+VLOOKUP(Table_1[[#This Row],[Account]],BV_Data_An_Cour!$L:$Q,6,0)</f>
        <v>6-Coût des ventes</v>
      </c>
      <c r="H292" s="170"/>
    </row>
    <row r="293" spans="1:8" ht="15" hidden="1" customHeight="1">
      <c r="A293" s="169" t="s">
        <v>2809</v>
      </c>
      <c r="B293" s="165" t="s">
        <v>2808</v>
      </c>
      <c r="C293" s="166" t="s">
        <v>171</v>
      </c>
      <c r="D293" s="166" t="s">
        <v>172</v>
      </c>
      <c r="E293" s="205" t="s">
        <v>1917</v>
      </c>
      <c r="F293" s="205"/>
      <c r="G293" s="205" t="str">
        <f>+VLOOKUP(Table_1[[#This Row],[Account]],BV_Data_An_Cour!$L:$Q,6,0)</f>
        <v>6-Coût des ventes</v>
      </c>
      <c r="H293" s="170"/>
    </row>
    <row r="294" spans="1:8" ht="15" hidden="1" customHeight="1">
      <c r="A294" s="164" t="s">
        <v>2768</v>
      </c>
      <c r="B294" s="165" t="s">
        <v>2767</v>
      </c>
      <c r="C294" s="166" t="s">
        <v>171</v>
      </c>
      <c r="D294" s="166" t="s">
        <v>172</v>
      </c>
      <c r="E294" s="205" t="s">
        <v>1917</v>
      </c>
      <c r="F294" s="205"/>
      <c r="G294" s="205" t="str">
        <f>+VLOOKUP(Table_1[[#This Row],[Account]],BV_Data_An_Cour!$L:$Q,6,0)</f>
        <v>6-Coût des ventes</v>
      </c>
      <c r="H294" s="170"/>
    </row>
    <row r="295" spans="1:8" ht="15" hidden="1" customHeight="1">
      <c r="A295" s="164" t="s">
        <v>2833</v>
      </c>
      <c r="B295" s="185" t="s">
        <v>2832</v>
      </c>
      <c r="C295" s="166" t="s">
        <v>175</v>
      </c>
      <c r="D295" s="166" t="s">
        <v>177</v>
      </c>
      <c r="E295" s="205" t="s">
        <v>1917</v>
      </c>
      <c r="F295" s="205"/>
      <c r="G295" s="205" t="str">
        <f>+VLOOKUP(Table_1[[#This Row],[Account]],BV_Data_An_Cour!$L:$Q,6,0)</f>
        <v>6-Coût des ventes</v>
      </c>
      <c r="H295" s="170"/>
    </row>
    <row r="296" spans="1:8" ht="15" hidden="1" customHeight="1">
      <c r="A296" s="164" t="s">
        <v>2705</v>
      </c>
      <c r="B296" s="185" t="s">
        <v>2658</v>
      </c>
      <c r="C296" s="166" t="s">
        <v>155</v>
      </c>
      <c r="D296" s="166" t="s">
        <v>159</v>
      </c>
      <c r="E296" s="205" t="s">
        <v>1917</v>
      </c>
      <c r="F296" s="205"/>
      <c r="G296" s="205" t="str">
        <f>+VLOOKUP(Table_1[[#This Row],[Account]],BV_Data_An_Cour!$L:$Q,6,0)</f>
        <v>6-Coût des ventes</v>
      </c>
      <c r="H296" s="170"/>
    </row>
    <row r="297" spans="1:8" ht="15" hidden="1" customHeight="1">
      <c r="A297" s="576" t="s">
        <v>2815</v>
      </c>
      <c r="B297" s="182" t="s">
        <v>2814</v>
      </c>
      <c r="C297" s="166" t="s">
        <v>175</v>
      </c>
      <c r="D297" s="166" t="s">
        <v>179</v>
      </c>
      <c r="E297" s="205" t="s">
        <v>1917</v>
      </c>
      <c r="F297" s="205"/>
      <c r="G297" s="205" t="str">
        <f>+VLOOKUP(Table_1[[#This Row],[Account]],BV_Data_An_Cour!$L:$Q,6,0)</f>
        <v>6-Coût des ventes</v>
      </c>
      <c r="H297" s="170"/>
    </row>
    <row r="298" spans="1:8" ht="15" hidden="1" customHeight="1">
      <c r="A298" s="164" t="s">
        <v>2812</v>
      </c>
      <c r="B298" s="185" t="s">
        <v>2811</v>
      </c>
      <c r="C298" s="166" t="s">
        <v>175</v>
      </c>
      <c r="D298" s="166" t="s">
        <v>180</v>
      </c>
      <c r="E298" s="205" t="s">
        <v>1917</v>
      </c>
      <c r="F298" s="205"/>
      <c r="G298" s="205" t="str">
        <f>+VLOOKUP(Table_1[[#This Row],[Account]],BV_Data_An_Cour!$L:$Q,6,0)</f>
        <v>6-Coût des ventes</v>
      </c>
      <c r="H298" s="170"/>
    </row>
    <row r="299" spans="1:8" ht="15" hidden="1" customHeight="1">
      <c r="A299" s="178" t="s">
        <v>2659</v>
      </c>
      <c r="B299" s="183" t="s">
        <v>2658</v>
      </c>
      <c r="C299" s="166" t="s">
        <v>155</v>
      </c>
      <c r="D299" s="166" t="s">
        <v>162</v>
      </c>
      <c r="E299" s="205" t="s">
        <v>1917</v>
      </c>
      <c r="F299" s="205"/>
      <c r="G299" s="205" t="str">
        <f>+VLOOKUP(Table_1[[#This Row],[Account]],BV_Data_An_Cour!$L:$Q,6,0)</f>
        <v>6-Coût des ventes</v>
      </c>
      <c r="H299" s="170"/>
    </row>
    <row r="300" spans="1:8" ht="15" hidden="1" customHeight="1">
      <c r="A300" s="164" t="s">
        <v>2728</v>
      </c>
      <c r="B300" s="581" t="s">
        <v>2460</v>
      </c>
      <c r="C300" s="166" t="s">
        <v>175</v>
      </c>
      <c r="D300" s="166" t="s">
        <v>177</v>
      </c>
      <c r="E300" s="205" t="s">
        <v>1917</v>
      </c>
      <c r="F300" s="205"/>
      <c r="G300" s="205" t="str">
        <f>+VLOOKUP(Table_1[[#This Row],[Account]],BV_Data_An_Cour!$L:$Q,6,0)</f>
        <v>6-Coût des ventes</v>
      </c>
      <c r="H300" s="170"/>
    </row>
    <row r="301" spans="1:8" ht="15" hidden="1" customHeight="1">
      <c r="A301" s="178" t="s">
        <v>2461</v>
      </c>
      <c r="B301" s="179" t="s">
        <v>2460</v>
      </c>
      <c r="C301" s="166" t="s">
        <v>175</v>
      </c>
      <c r="D301" s="166" t="s">
        <v>177</v>
      </c>
      <c r="E301" s="205" t="s">
        <v>1917</v>
      </c>
      <c r="F301" s="205"/>
      <c r="G301" s="205" t="e">
        <f>+VLOOKUP(Table_1[[#This Row],[Account]],BV_Data_An_Cour!$L:$Q,6,0)</f>
        <v>#N/A</v>
      </c>
      <c r="H301" s="170"/>
    </row>
    <row r="302" spans="1:8" ht="15" hidden="1" customHeight="1">
      <c r="A302" s="164" t="s">
        <v>2755</v>
      </c>
      <c r="B302" s="581" t="s">
        <v>2754</v>
      </c>
      <c r="C302" s="166" t="s">
        <v>175</v>
      </c>
      <c r="D302" s="166" t="s">
        <v>178</v>
      </c>
      <c r="E302" s="205" t="s">
        <v>1917</v>
      </c>
      <c r="F302" s="205"/>
      <c r="G302" s="205" t="str">
        <f>+VLOOKUP(Table_1[[#This Row],[Account]],BV_Data_An_Cour!$L:$Q,6,0)</f>
        <v>6-Coût des ventes</v>
      </c>
      <c r="H302" s="170"/>
    </row>
    <row r="303" spans="1:8" ht="15" hidden="1" customHeight="1">
      <c r="A303" s="576" t="s">
        <v>2788</v>
      </c>
      <c r="B303" s="584" t="s">
        <v>2787</v>
      </c>
      <c r="C303" s="166" t="s">
        <v>175</v>
      </c>
      <c r="D303" s="166" t="s">
        <v>178</v>
      </c>
      <c r="E303" s="205" t="s">
        <v>1917</v>
      </c>
      <c r="F303" s="205"/>
      <c r="G303" s="205" t="str">
        <f>+VLOOKUP(Table_1[[#This Row],[Account]],BV_Data_An_Cour!$L:$Q,6,0)</f>
        <v>6-Coût des ventes</v>
      </c>
      <c r="H303" s="170"/>
    </row>
    <row r="304" spans="1:8" ht="15" hidden="1" customHeight="1">
      <c r="A304" s="169" t="s">
        <v>2669</v>
      </c>
      <c r="B304" s="165" t="s">
        <v>2668</v>
      </c>
      <c r="C304" s="166" t="s">
        <v>175</v>
      </c>
      <c r="D304" s="166" t="s">
        <v>178</v>
      </c>
      <c r="E304" s="205" t="s">
        <v>1917</v>
      </c>
      <c r="F304" s="205"/>
      <c r="G304" s="205" t="str">
        <f>+VLOOKUP(Table_1[[#This Row],[Account]],BV_Data_An_Cour!$L:$Q,6,0)</f>
        <v>6-Coût des ventes</v>
      </c>
      <c r="H304" s="170"/>
    </row>
    <row r="305" spans="1:8" ht="15" hidden="1" customHeight="1">
      <c r="A305" s="575" t="s">
        <v>2795</v>
      </c>
      <c r="B305" s="581" t="s">
        <v>2794</v>
      </c>
      <c r="C305" s="166" t="s">
        <v>175</v>
      </c>
      <c r="D305" s="166" t="s">
        <v>181</v>
      </c>
      <c r="E305" s="205" t="s">
        <v>1917</v>
      </c>
      <c r="F305" s="205"/>
      <c r="G305" s="205" t="str">
        <f>+VLOOKUP(Table_1[[#This Row],[Account]],BV_Data_An_Cour!$L:$Q,6,0)</f>
        <v>6-Coût des ventes</v>
      </c>
      <c r="H305" s="170"/>
    </row>
    <row r="306" spans="1:8" ht="15" hidden="1" customHeight="1">
      <c r="A306" s="164" t="s">
        <v>2817</v>
      </c>
      <c r="B306" s="165" t="s">
        <v>2816</v>
      </c>
      <c r="C306" s="166" t="s">
        <v>175</v>
      </c>
      <c r="D306" s="166" t="s">
        <v>182</v>
      </c>
      <c r="E306" s="205" t="s">
        <v>1917</v>
      </c>
      <c r="F306" s="205"/>
      <c r="G306" s="205" t="str">
        <f>+VLOOKUP(Table_1[[#This Row],[Account]],BV_Data_An_Cour!$L:$Q,6,0)</f>
        <v>6-Coût des ventes</v>
      </c>
      <c r="H306" s="170"/>
    </row>
    <row r="307" spans="1:8" ht="15" hidden="1" customHeight="1">
      <c r="A307" s="575" t="s">
        <v>2821</v>
      </c>
      <c r="B307" s="581" t="s">
        <v>2820</v>
      </c>
      <c r="C307" s="166" t="s">
        <v>175</v>
      </c>
      <c r="D307" s="166" t="s">
        <v>186</v>
      </c>
      <c r="E307" s="205" t="s">
        <v>1917</v>
      </c>
      <c r="F307" s="205"/>
      <c r="G307" s="205" t="str">
        <f>+VLOOKUP(Table_1[[#This Row],[Account]],BV_Data_An_Cour!$L:$Q,6,0)</f>
        <v>6-Coût des ventes</v>
      </c>
      <c r="H307" s="170"/>
    </row>
    <row r="308" spans="1:8" ht="15" hidden="1" customHeight="1">
      <c r="A308" s="164" t="s">
        <v>2730</v>
      </c>
      <c r="B308" s="165" t="s">
        <v>2729</v>
      </c>
      <c r="C308" s="166" t="s">
        <v>175</v>
      </c>
      <c r="D308" s="166" t="s">
        <v>186</v>
      </c>
      <c r="E308" s="205" t="s">
        <v>1917</v>
      </c>
      <c r="F308" s="205"/>
      <c r="G308" s="205" t="e">
        <f>+VLOOKUP(Table_1[[#This Row],[Account]],BV_Data_An_Cour!$L:$Q,6,0)</f>
        <v>#N/A</v>
      </c>
      <c r="H308" s="170"/>
    </row>
    <row r="309" spans="1:8" ht="15" hidden="1" customHeight="1">
      <c r="A309" s="576" t="s">
        <v>2137</v>
      </c>
      <c r="B309" s="584" t="s">
        <v>2462</v>
      </c>
      <c r="C309" s="166" t="s">
        <v>175</v>
      </c>
      <c r="D309" s="166" t="s">
        <v>184</v>
      </c>
      <c r="E309" s="205" t="s">
        <v>1917</v>
      </c>
      <c r="F309" s="205"/>
      <c r="G309" s="205" t="e">
        <f>+VLOOKUP(Table_1[[#This Row],[Account]],BV_Data_An_Cour!$L:$Q,6,0)</f>
        <v>#N/A</v>
      </c>
      <c r="H309" s="170"/>
    </row>
    <row r="310" spans="1:8" ht="15" hidden="1" customHeight="1">
      <c r="A310" s="164" t="s">
        <v>2136</v>
      </c>
      <c r="B310" s="165" t="s">
        <v>2135</v>
      </c>
      <c r="C310" s="166" t="s">
        <v>175</v>
      </c>
      <c r="D310" s="166" t="s">
        <v>183</v>
      </c>
      <c r="E310" s="205" t="s">
        <v>1917</v>
      </c>
      <c r="F310" s="205"/>
      <c r="G310" s="205" t="str">
        <f>+VLOOKUP(Table_1[[#This Row],[Account]],BV_Data_An_Cour!$L:$Q,6,0)</f>
        <v>6-Coût des ventes</v>
      </c>
      <c r="H310" s="170"/>
    </row>
    <row r="311" spans="1:8" ht="15" hidden="1" customHeight="1">
      <c r="A311" s="179" t="s">
        <v>2217</v>
      </c>
      <c r="B311" s="179" t="s">
        <v>2216</v>
      </c>
      <c r="C311" s="166"/>
      <c r="D311" s="166"/>
      <c r="F311" s="205"/>
      <c r="G311" s="205" t="e">
        <f>+VLOOKUP(Table_1[[#This Row],[Account]],BV_Data_An_Cour!$L:$Q,6,0)</f>
        <v>#N/A</v>
      </c>
      <c r="H311" s="170"/>
    </row>
    <row r="312" spans="1:8" ht="15" hidden="1" customHeight="1">
      <c r="A312" s="164" t="s">
        <v>2781</v>
      </c>
      <c r="B312" s="165" t="s">
        <v>1523</v>
      </c>
      <c r="C312" s="166" t="s">
        <v>75</v>
      </c>
      <c r="D312" s="166" t="s">
        <v>103</v>
      </c>
      <c r="E312" s="205" t="s">
        <v>1917</v>
      </c>
      <c r="F312" s="205"/>
      <c r="G312" s="205" t="str">
        <f>+VLOOKUP(Table_1[[#This Row],[Account]],BV_Data_An_Cour!$L:$Q,6,0)</f>
        <v>7-Dépenses</v>
      </c>
      <c r="H312" s="170"/>
    </row>
    <row r="313" spans="1:8" ht="15" hidden="1" customHeight="1">
      <c r="A313" s="164" t="s">
        <v>2770</v>
      </c>
      <c r="B313" s="165" t="s">
        <v>1442</v>
      </c>
      <c r="C313" s="166" t="s">
        <v>75</v>
      </c>
      <c r="D313" s="166" t="s">
        <v>104</v>
      </c>
      <c r="E313" s="205" t="s">
        <v>1917</v>
      </c>
      <c r="F313" s="205"/>
      <c r="G313" s="205" t="str">
        <f>+VLOOKUP(Table_1[[#This Row],[Account]],BV_Data_An_Cour!$L:$Q,6,0)</f>
        <v>7-Dépenses</v>
      </c>
      <c r="H313" s="170"/>
    </row>
    <row r="314" spans="1:8" ht="15" hidden="1" customHeight="1">
      <c r="A314" s="164" t="s">
        <v>2706</v>
      </c>
      <c r="B314" s="165" t="s">
        <v>399</v>
      </c>
      <c r="C314" s="166" t="s">
        <v>75</v>
      </c>
      <c r="D314" s="166" t="s">
        <v>106</v>
      </c>
      <c r="E314" s="205" t="s">
        <v>1917</v>
      </c>
      <c r="F314" s="205"/>
      <c r="G314" s="205" t="str">
        <f>+VLOOKUP(Table_1[[#This Row],[Account]],BV_Data_An_Cour!$L:$Q,6,0)</f>
        <v>7-Dépenses</v>
      </c>
      <c r="H314" s="170"/>
    </row>
    <row r="315" spans="1:8" ht="15" hidden="1" customHeight="1">
      <c r="A315" s="164" t="s">
        <v>2759</v>
      </c>
      <c r="B315" s="165" t="s">
        <v>2757</v>
      </c>
      <c r="C315" s="166" t="s">
        <v>75</v>
      </c>
      <c r="D315" s="166" t="s">
        <v>107</v>
      </c>
      <c r="E315" s="205" t="s">
        <v>1917</v>
      </c>
      <c r="F315" s="205"/>
      <c r="G315" s="205" t="str">
        <f>+VLOOKUP(Table_1[[#This Row],[Account]],BV_Data_An_Cour!$L:$Q,6,0)</f>
        <v>7-Dépenses</v>
      </c>
      <c r="H315" s="170"/>
    </row>
    <row r="316" spans="1:8" ht="15" hidden="1" customHeight="1">
      <c r="A316" s="179" t="s">
        <v>2612</v>
      </c>
      <c r="B316" s="179" t="s">
        <v>938</v>
      </c>
      <c r="C316" s="166" t="s">
        <v>75</v>
      </c>
      <c r="D316" s="166" t="s">
        <v>109</v>
      </c>
      <c r="E316" s="205" t="s">
        <v>1917</v>
      </c>
      <c r="F316" s="205"/>
      <c r="G316" s="205" t="str">
        <f>+VLOOKUP(Table_1[[#This Row],[Account]],BV_Data_An_Cour!$L:$Q,6,0)</f>
        <v>7-Dépenses</v>
      </c>
      <c r="H316" s="170"/>
    </row>
    <row r="317" spans="1:8" ht="15" hidden="1" customHeight="1">
      <c r="A317" s="164" t="s">
        <v>2696</v>
      </c>
      <c r="B317" s="165" t="s">
        <v>1407</v>
      </c>
      <c r="C317" s="166" t="s">
        <v>75</v>
      </c>
      <c r="D317" s="166" t="s">
        <v>105</v>
      </c>
      <c r="E317" s="205" t="s">
        <v>1917</v>
      </c>
      <c r="F317" s="205"/>
      <c r="G317" s="205" t="str">
        <f>+VLOOKUP(Table_1[[#This Row],[Account]],BV_Data_An_Cour!$L:$Q,6,0)</f>
        <v>7-Dépenses</v>
      </c>
      <c r="H317" s="170"/>
    </row>
    <row r="318" spans="1:8" ht="15" hidden="1" customHeight="1">
      <c r="A318" s="179" t="s">
        <v>2113</v>
      </c>
      <c r="B318" s="179" t="s">
        <v>1374</v>
      </c>
      <c r="C318" s="166" t="s">
        <v>75</v>
      </c>
      <c r="D318" s="166" t="s">
        <v>108</v>
      </c>
      <c r="E318" s="205" t="s">
        <v>1917</v>
      </c>
      <c r="F318" s="205"/>
      <c r="G318" s="205" t="str">
        <f>+VLOOKUP(Table_1[[#This Row],[Account]],BV_Data_An_Cour!$L:$Q,6,0)</f>
        <v>7-Dépenses</v>
      </c>
      <c r="H318" s="170"/>
    </row>
    <row r="319" spans="1:8" ht="15" hidden="1" customHeight="1">
      <c r="A319" s="575" t="s">
        <v>2112</v>
      </c>
      <c r="B319" s="581" t="s">
        <v>2111</v>
      </c>
      <c r="C319" s="166" t="s">
        <v>75</v>
      </c>
      <c r="D319" s="166" t="s">
        <v>108</v>
      </c>
      <c r="E319" s="205" t="s">
        <v>1917</v>
      </c>
      <c r="F319" s="205"/>
      <c r="G319" s="205" t="str">
        <f>+VLOOKUP(Table_1[[#This Row],[Account]],BV_Data_An_Cour!$L:$Q,6,0)</f>
        <v>7-Dépenses</v>
      </c>
      <c r="H319" s="170"/>
    </row>
    <row r="320" spans="1:8" ht="15" hidden="1" customHeight="1">
      <c r="A320" s="164" t="s">
        <v>2648</v>
      </c>
      <c r="B320" s="165" t="s">
        <v>1259</v>
      </c>
      <c r="C320" s="166" t="s">
        <v>75</v>
      </c>
      <c r="D320" s="166" t="s">
        <v>213</v>
      </c>
      <c r="E320" s="205" t="s">
        <v>1917</v>
      </c>
      <c r="F320" s="205"/>
      <c r="G320" s="205" t="str">
        <f>+VLOOKUP(Table_1[[#This Row],[Account]],BV_Data_An_Cour!$L:$Q,6,0)</f>
        <v>7-Dépenses</v>
      </c>
      <c r="H320" s="170"/>
    </row>
    <row r="321" spans="1:8" ht="15" hidden="1" customHeight="1">
      <c r="A321" s="582" t="s">
        <v>2626</v>
      </c>
      <c r="B321" s="582" t="s">
        <v>2624</v>
      </c>
      <c r="C321" s="166" t="s">
        <v>75</v>
      </c>
      <c r="D321" s="166" t="s">
        <v>112</v>
      </c>
      <c r="E321" s="205" t="s">
        <v>1917</v>
      </c>
      <c r="F321" s="205"/>
      <c r="G321" s="205" t="str">
        <f>+VLOOKUP(Table_1[[#This Row],[Account]],BV_Data_An_Cour!$L:$Q,6,0)</f>
        <v>7-Dépenses</v>
      </c>
      <c r="H321" s="170"/>
    </row>
    <row r="322" spans="1:8" ht="15" hidden="1" customHeight="1">
      <c r="A322" s="164" t="s">
        <v>2679</v>
      </c>
      <c r="B322" s="165" t="s">
        <v>1342</v>
      </c>
      <c r="C322" s="166" t="s">
        <v>75</v>
      </c>
      <c r="D322" s="166" t="s">
        <v>113</v>
      </c>
      <c r="E322" s="205" t="s">
        <v>1917</v>
      </c>
      <c r="F322" s="205"/>
      <c r="G322" s="205" t="str">
        <f>+VLOOKUP(Table_1[[#This Row],[Account]],BV_Data_An_Cour!$L:$Q,6,0)</f>
        <v>7-Dépenses</v>
      </c>
      <c r="H322" s="170"/>
    </row>
    <row r="323" spans="1:8" ht="15" hidden="1" customHeight="1">
      <c r="A323" s="179" t="s">
        <v>2735</v>
      </c>
      <c r="B323" s="179" t="s">
        <v>1249</v>
      </c>
      <c r="C323" s="166" t="s">
        <v>75</v>
      </c>
      <c r="D323" s="166" t="s">
        <v>114</v>
      </c>
      <c r="E323" s="205" t="s">
        <v>1917</v>
      </c>
      <c r="F323" s="205"/>
      <c r="G323" s="205" t="str">
        <f>+VLOOKUP(Table_1[[#This Row],[Account]],BV_Data_An_Cour!$L:$Q,6,0)</f>
        <v>7-Dépenses</v>
      </c>
      <c r="H323" s="170"/>
    </row>
    <row r="324" spans="1:8" ht="15" customHeight="1">
      <c r="A324" s="169" t="s">
        <v>2641</v>
      </c>
      <c r="B324" s="165" t="s">
        <v>1445</v>
      </c>
      <c r="C324" s="166" t="s">
        <v>75</v>
      </c>
      <c r="D324" s="166" t="s">
        <v>116</v>
      </c>
      <c r="E324" s="205" t="s">
        <v>1917</v>
      </c>
      <c r="F324" s="205"/>
      <c r="G324" s="205" t="str">
        <f>+VLOOKUP(Table_1[[#This Row],[Account]],BV_Data_An_Cour!$L:$Q,6,0)</f>
        <v>7-Dépenses</v>
      </c>
      <c r="H324" s="170"/>
    </row>
    <row r="325" spans="1:8" ht="15" hidden="1" customHeight="1">
      <c r="A325" s="164" t="s">
        <v>2586</v>
      </c>
      <c r="B325" s="165" t="s">
        <v>1252</v>
      </c>
      <c r="C325" s="166" t="s">
        <v>75</v>
      </c>
      <c r="D325" s="166" t="s">
        <v>119</v>
      </c>
      <c r="E325" s="205" t="s">
        <v>1917</v>
      </c>
      <c r="F325" s="205"/>
      <c r="G325" s="205" t="e">
        <f>+VLOOKUP(Table_1[[#This Row],[Account]],BV_Data_An_Cour!$L:$Q,6,0)</f>
        <v>#N/A</v>
      </c>
      <c r="H325" s="170"/>
    </row>
    <row r="326" spans="1:8" ht="15" hidden="1" customHeight="1">
      <c r="A326" s="164" t="s">
        <v>2685</v>
      </c>
      <c r="B326" s="165" t="s">
        <v>1283</v>
      </c>
      <c r="C326" s="166" t="s">
        <v>75</v>
      </c>
      <c r="D326" s="166" t="s">
        <v>117</v>
      </c>
      <c r="E326" s="205" t="s">
        <v>1917</v>
      </c>
      <c r="F326" s="205"/>
      <c r="G326" s="205" t="str">
        <f>+VLOOKUP(Table_1[[#This Row],[Account]],BV_Data_An_Cour!$L:$Q,6,0)</f>
        <v>7-Dépenses</v>
      </c>
      <c r="H326" s="170"/>
    </row>
    <row r="327" spans="1:8" ht="15" hidden="1" customHeight="1">
      <c r="A327" s="179" t="s">
        <v>2694</v>
      </c>
      <c r="B327" s="179" t="s">
        <v>1414</v>
      </c>
      <c r="C327" s="166" t="s">
        <v>75</v>
      </c>
      <c r="D327" s="166" t="s">
        <v>118</v>
      </c>
      <c r="E327" s="205" t="s">
        <v>1917</v>
      </c>
      <c r="F327" s="205"/>
      <c r="G327" s="205" t="str">
        <f>+VLOOKUP(Table_1[[#This Row],[Account]],BV_Data_An_Cour!$L:$Q,6,0)</f>
        <v>7-Dépenses</v>
      </c>
      <c r="H327" s="170"/>
    </row>
    <row r="328" spans="1:8" ht="15" hidden="1" customHeight="1">
      <c r="A328" s="169" t="s">
        <v>2355</v>
      </c>
      <c r="B328" s="171" t="s">
        <v>2354</v>
      </c>
      <c r="C328" s="166"/>
      <c r="D328" s="166"/>
      <c r="E328" s="205"/>
      <c r="F328" s="205"/>
      <c r="G328" s="205" t="str">
        <f>+VLOOKUP(Table_1[[#This Row],[Account]],BV_Data_An_Cour!$L:$Q,6,0)</f>
        <v>1-Mémo</v>
      </c>
      <c r="H328" s="170"/>
    </row>
    <row r="329" spans="1:8" ht="15" hidden="1" customHeight="1">
      <c r="A329" s="179" t="s">
        <v>2563</v>
      </c>
      <c r="B329" s="179" t="s">
        <v>1157</v>
      </c>
      <c r="C329" s="166" t="s">
        <v>75</v>
      </c>
      <c r="D329" s="166" t="s">
        <v>127</v>
      </c>
      <c r="E329" s="205" t="s">
        <v>1917</v>
      </c>
      <c r="F329" s="205"/>
      <c r="G329" s="205" t="e">
        <f>+VLOOKUP(Table_1[[#This Row],[Account]],BV_Data_An_Cour!$L:$Q,6,0)</f>
        <v>#N/A</v>
      </c>
      <c r="H329" s="170"/>
    </row>
    <row r="330" spans="1:8" ht="15" hidden="1" customHeight="1">
      <c r="A330" s="581" t="s">
        <v>2159</v>
      </c>
      <c r="B330" s="581" t="s">
        <v>932</v>
      </c>
      <c r="C330" s="166" t="s">
        <v>75</v>
      </c>
      <c r="D330" s="166" t="s">
        <v>128</v>
      </c>
      <c r="E330" s="205" t="s">
        <v>1917</v>
      </c>
      <c r="F330" s="205"/>
      <c r="G330" s="205" t="e">
        <f>+VLOOKUP(Table_1[[#This Row],[Account]],BV_Data_An_Cour!$L:$Q,6,0)</f>
        <v>#N/A</v>
      </c>
      <c r="H330" s="170"/>
    </row>
    <row r="331" spans="1:8" ht="15" hidden="1" customHeight="1">
      <c r="A331" s="165" t="s">
        <v>2561</v>
      </c>
      <c r="B331" s="165" t="s">
        <v>934</v>
      </c>
      <c r="C331" s="166" t="s">
        <v>75</v>
      </c>
      <c r="D331" s="166" t="s">
        <v>133</v>
      </c>
      <c r="E331" s="205" t="s">
        <v>1917</v>
      </c>
      <c r="F331" s="205"/>
      <c r="G331" s="205" t="str">
        <f>+VLOOKUP(Table_1[[#This Row],[Account]],BV_Data_An_Cour!$L:$Q,6,0)</f>
        <v>7-Dépenses</v>
      </c>
      <c r="H331" s="170"/>
    </row>
    <row r="332" spans="1:8" ht="15" hidden="1" customHeight="1">
      <c r="A332" s="575" t="s">
        <v>2632</v>
      </c>
      <c r="B332" s="581" t="s">
        <v>1186</v>
      </c>
      <c r="C332" s="166" t="s">
        <v>75</v>
      </c>
      <c r="D332" s="166" t="s">
        <v>123</v>
      </c>
      <c r="E332" s="205" t="s">
        <v>1917</v>
      </c>
      <c r="F332" s="205"/>
      <c r="G332" s="205" t="str">
        <f>+VLOOKUP(Table_1[[#This Row],[Account]],BV_Data_An_Cour!$L:$Q,6,0)</f>
        <v>7-Dépenses</v>
      </c>
      <c r="H332" s="170"/>
    </row>
    <row r="333" spans="1:8" ht="15" hidden="1" customHeight="1">
      <c r="A333" s="179" t="s">
        <v>2581</v>
      </c>
      <c r="B333" s="179" t="s">
        <v>1180</v>
      </c>
      <c r="C333" s="166" t="s">
        <v>75</v>
      </c>
      <c r="D333" s="166" t="s">
        <v>131</v>
      </c>
      <c r="E333" s="205" t="s">
        <v>1917</v>
      </c>
      <c r="F333" s="205"/>
      <c r="G333" s="205" t="str">
        <f>+VLOOKUP(Table_1[[#This Row],[Account]],BV_Data_An_Cour!$L:$Q,6,0)</f>
        <v>7-Dépenses</v>
      </c>
      <c r="H333" s="170"/>
    </row>
    <row r="334" spans="1:8" ht="15" hidden="1" customHeight="1">
      <c r="A334" s="169" t="s">
        <v>2358</v>
      </c>
      <c r="B334" s="171" t="s">
        <v>2357</v>
      </c>
      <c r="C334" s="166"/>
      <c r="D334" s="166"/>
      <c r="E334" s="205"/>
      <c r="F334" s="205"/>
      <c r="G334" s="205" t="str">
        <f>+VLOOKUP(Table_1[[#This Row],[Account]],BV_Data_An_Cour!$L:$Q,6,0)</f>
        <v>1-Mémo</v>
      </c>
      <c r="H334" s="170"/>
    </row>
    <row r="335" spans="1:8" ht="15" hidden="1" customHeight="1">
      <c r="A335" s="179" t="s">
        <v>2702</v>
      </c>
      <c r="B335" s="179" t="s">
        <v>1286</v>
      </c>
      <c r="C335" s="166" t="s">
        <v>75</v>
      </c>
      <c r="D335" s="166" t="s">
        <v>124</v>
      </c>
      <c r="E335" s="205" t="s">
        <v>1917</v>
      </c>
      <c r="F335" s="205"/>
      <c r="G335" s="205" t="str">
        <f>+VLOOKUP(Table_1[[#This Row],[Account]],BV_Data_An_Cour!$L:$Q,6,0)</f>
        <v>7-Dépenses</v>
      </c>
      <c r="H335" s="170"/>
    </row>
    <row r="336" spans="1:8" ht="15" hidden="1" customHeight="1">
      <c r="A336" s="576" t="s">
        <v>2588</v>
      </c>
      <c r="B336" s="584" t="s">
        <v>1206</v>
      </c>
      <c r="C336" s="166" t="s">
        <v>75</v>
      </c>
      <c r="D336" s="166" t="s">
        <v>129</v>
      </c>
      <c r="E336" s="205" t="s">
        <v>1917</v>
      </c>
      <c r="F336" s="205"/>
      <c r="G336" s="205" t="str">
        <f>+VLOOKUP(Table_1[[#This Row],[Account]],BV_Data_An_Cour!$L:$Q,6,0)</f>
        <v>7-Dépenses</v>
      </c>
      <c r="H336" s="170"/>
    </row>
    <row r="337" spans="1:8" ht="15" hidden="1" customHeight="1">
      <c r="A337" s="179" t="s">
        <v>2592</v>
      </c>
      <c r="B337" s="179" t="s">
        <v>1154</v>
      </c>
      <c r="C337" s="166" t="s">
        <v>75</v>
      </c>
      <c r="D337" s="166" t="s">
        <v>130</v>
      </c>
      <c r="E337" s="205" t="s">
        <v>1917</v>
      </c>
      <c r="F337" s="205"/>
      <c r="G337" s="205" t="str">
        <f>+VLOOKUP(Table_1[[#This Row],[Account]],BV_Data_An_Cour!$L:$Q,6,0)</f>
        <v>7-Dépenses</v>
      </c>
      <c r="H337" s="170"/>
    </row>
    <row r="338" spans="1:8" ht="15" hidden="1" customHeight="1">
      <c r="A338" s="576" t="s">
        <v>2637</v>
      </c>
      <c r="B338" s="584" t="s">
        <v>1237</v>
      </c>
      <c r="C338" s="166" t="s">
        <v>75</v>
      </c>
      <c r="D338" s="166" t="s">
        <v>132</v>
      </c>
      <c r="E338" s="205" t="s">
        <v>1917</v>
      </c>
      <c r="F338" s="205"/>
      <c r="G338" s="205" t="str">
        <f>+VLOOKUP(Table_1[[#This Row],[Account]],BV_Data_An_Cour!$L:$Q,6,0)</f>
        <v>7-Dépenses</v>
      </c>
      <c r="H338" s="170"/>
    </row>
    <row r="339" spans="1:8" ht="15" hidden="1" customHeight="1">
      <c r="A339" s="582" t="s">
        <v>2470</v>
      </c>
      <c r="B339" s="582" t="s">
        <v>1315</v>
      </c>
      <c r="C339" s="166" t="s">
        <v>75</v>
      </c>
      <c r="D339" s="166" t="s">
        <v>125</v>
      </c>
      <c r="E339" s="205" t="s">
        <v>1917</v>
      </c>
      <c r="F339" s="205"/>
      <c r="G339" s="205" t="str">
        <f>+VLOOKUP(Table_1[[#This Row],[Account]],BV_Data_An_Cour!$L:$Q,6,0)</f>
        <v>7-Dépenses</v>
      </c>
      <c r="H339" s="170"/>
    </row>
    <row r="340" spans="1:8" ht="15" hidden="1" customHeight="1">
      <c r="A340" s="169" t="s">
        <v>2662</v>
      </c>
      <c r="B340" s="165" t="s">
        <v>1308</v>
      </c>
      <c r="C340" s="166" t="s">
        <v>75</v>
      </c>
      <c r="D340" s="166" t="s">
        <v>126</v>
      </c>
      <c r="E340" s="205" t="s">
        <v>1917</v>
      </c>
      <c r="F340" s="205"/>
      <c r="G340" s="205" t="str">
        <f>+VLOOKUP(Table_1[[#This Row],[Account]],BV_Data_An_Cour!$L:$Q,6,0)</f>
        <v>7-Dépenses</v>
      </c>
      <c r="H340" s="170"/>
    </row>
    <row r="341" spans="1:8" ht="15" hidden="1" customHeight="1">
      <c r="A341" s="575" t="s">
        <v>2653</v>
      </c>
      <c r="B341" s="581" t="s">
        <v>1333</v>
      </c>
      <c r="C341" s="166" t="s">
        <v>75</v>
      </c>
      <c r="D341" s="166" t="s">
        <v>260</v>
      </c>
      <c r="E341" s="205" t="s">
        <v>1917</v>
      </c>
      <c r="F341" s="205"/>
      <c r="G341" s="205" t="str">
        <f>+VLOOKUP(Table_1[[#This Row],[Account]],BV_Data_An_Cour!$L:$Q,6,0)</f>
        <v>7-Dépenses</v>
      </c>
    </row>
    <row r="342" spans="1:8" ht="15" hidden="1" customHeight="1">
      <c r="A342" s="164" t="s">
        <v>2463</v>
      </c>
      <c r="B342" s="165" t="s">
        <v>936</v>
      </c>
      <c r="C342" s="166" t="s">
        <v>75</v>
      </c>
      <c r="D342" s="166" t="s">
        <v>250</v>
      </c>
      <c r="E342" s="205" t="s">
        <v>1917</v>
      </c>
      <c r="F342" s="205"/>
      <c r="G342" s="205" t="e">
        <f>+VLOOKUP(Table_1[[#This Row],[Account]],BV_Data_An_Cour!$L:$Q,6,0)</f>
        <v>#N/A</v>
      </c>
    </row>
    <row r="343" spans="1:8" ht="15" hidden="1" customHeight="1">
      <c r="A343" s="164" t="s">
        <v>2604</v>
      </c>
      <c r="B343" s="165" t="s">
        <v>1332</v>
      </c>
      <c r="C343" s="166" t="s">
        <v>75</v>
      </c>
      <c r="D343" s="166" t="s">
        <v>244</v>
      </c>
      <c r="E343" s="205" t="s">
        <v>1917</v>
      </c>
      <c r="F343" s="205"/>
      <c r="G343" s="205" t="str">
        <f>+VLOOKUP(Table_1[[#This Row],[Account]],BV_Data_An_Cour!$L:$Q,6,0)</f>
        <v>7-Dépenses</v>
      </c>
      <c r="H343" s="170"/>
    </row>
    <row r="344" spans="1:8" ht="15" hidden="1" customHeight="1">
      <c r="A344" s="179" t="s">
        <v>2709</v>
      </c>
      <c r="B344" s="179" t="s">
        <v>1469</v>
      </c>
      <c r="C344" s="166" t="s">
        <v>75</v>
      </c>
      <c r="D344" s="166" t="s">
        <v>235</v>
      </c>
      <c r="E344" s="205" t="s">
        <v>1917</v>
      </c>
      <c r="F344" s="205"/>
      <c r="G344" s="205" t="str">
        <f>+VLOOKUP(Table_1[[#This Row],[Account]],BV_Data_An_Cour!$L:$Q,6,0)</f>
        <v>7-Dépenses</v>
      </c>
      <c r="H344" s="170"/>
    </row>
    <row r="345" spans="1:8" ht="15" hidden="1" customHeight="1">
      <c r="A345" s="164" t="s">
        <v>2594</v>
      </c>
      <c r="B345" s="165" t="s">
        <v>1366</v>
      </c>
      <c r="C345" s="166" t="s">
        <v>75</v>
      </c>
      <c r="D345" s="166" t="s">
        <v>242</v>
      </c>
      <c r="E345" s="205" t="s">
        <v>1917</v>
      </c>
      <c r="F345" s="205"/>
      <c r="G345" s="205" t="str">
        <f>+VLOOKUP(Table_1[[#This Row],[Account]],BV_Data_An_Cour!$L:$Q,6,0)</f>
        <v>7-Dépenses</v>
      </c>
      <c r="H345" s="170"/>
    </row>
    <row r="346" spans="1:8" ht="15" hidden="1" customHeight="1">
      <c r="A346" s="179" t="s">
        <v>2614</v>
      </c>
      <c r="B346" s="179" t="s">
        <v>1362</v>
      </c>
      <c r="C346" s="166" t="s">
        <v>75</v>
      </c>
      <c r="D346" s="166" t="s">
        <v>237</v>
      </c>
      <c r="E346" s="205" t="s">
        <v>1917</v>
      </c>
      <c r="F346" s="205"/>
      <c r="G346" s="205" t="str">
        <f>+VLOOKUP(Table_1[[#This Row],[Account]],BV_Data_An_Cour!$L:$Q,6,0)</f>
        <v>7-Dépenses</v>
      </c>
      <c r="H346" s="170"/>
    </row>
    <row r="347" spans="1:8" ht="15" hidden="1" customHeight="1">
      <c r="A347" s="576" t="s">
        <v>2597</v>
      </c>
      <c r="B347" s="584" t="s">
        <v>1296</v>
      </c>
      <c r="C347" s="166" t="s">
        <v>75</v>
      </c>
      <c r="D347" s="166" t="s">
        <v>239</v>
      </c>
      <c r="E347" s="205" t="s">
        <v>1917</v>
      </c>
      <c r="F347" s="205"/>
      <c r="G347" s="205" t="str">
        <f>+VLOOKUP(Table_1[[#This Row],[Account]],BV_Data_An_Cour!$L:$Q,6,0)</f>
        <v>7-Dépenses</v>
      </c>
      <c r="H347" s="170"/>
    </row>
    <row r="348" spans="1:8" ht="15" hidden="1" customHeight="1">
      <c r="A348" s="179" t="s">
        <v>2635</v>
      </c>
      <c r="B348" s="179" t="s">
        <v>1395</v>
      </c>
      <c r="C348" s="166" t="s">
        <v>75</v>
      </c>
      <c r="D348" s="166" t="s">
        <v>246</v>
      </c>
      <c r="E348" s="205" t="s">
        <v>1917</v>
      </c>
      <c r="F348" s="205"/>
      <c r="G348" s="205" t="str">
        <f>+VLOOKUP(Table_1[[#This Row],[Account]],BV_Data_An_Cour!$L:$Q,6,0)</f>
        <v>7-Dépenses</v>
      </c>
      <c r="H348" s="170"/>
    </row>
    <row r="349" spans="1:8" ht="15" hidden="1" customHeight="1">
      <c r="A349" s="579" t="s">
        <v>2780</v>
      </c>
      <c r="B349" s="578" t="s">
        <v>1483</v>
      </c>
      <c r="C349" s="166" t="s">
        <v>144</v>
      </c>
      <c r="D349" s="166" t="s">
        <v>103</v>
      </c>
      <c r="E349" s="205" t="s">
        <v>1917</v>
      </c>
      <c r="F349" s="205"/>
      <c r="G349" s="205" t="str">
        <f>+VLOOKUP(Table_1[[#This Row],[Account]],BV_Data_An_Cour!$L:$Q,6,0)</f>
        <v>7-Dépenses</v>
      </c>
      <c r="H349" s="170"/>
    </row>
    <row r="350" spans="1:8" ht="15" hidden="1" customHeight="1">
      <c r="A350" s="169" t="s">
        <v>2769</v>
      </c>
      <c r="B350" s="171" t="s">
        <v>1442</v>
      </c>
      <c r="C350" s="166" t="s">
        <v>144</v>
      </c>
      <c r="D350" s="166" t="s">
        <v>104</v>
      </c>
      <c r="E350" s="205" t="s">
        <v>1917</v>
      </c>
      <c r="F350" s="205"/>
      <c r="G350" s="205" t="str">
        <f>+VLOOKUP(Table_1[[#This Row],[Account]],BV_Data_An_Cour!$L:$Q,6,0)</f>
        <v>7-Dépenses</v>
      </c>
      <c r="H350" s="170"/>
    </row>
    <row r="351" spans="1:8" ht="15" hidden="1" customHeight="1">
      <c r="A351" s="582" t="s">
        <v>2751</v>
      </c>
      <c r="B351" s="582" t="s">
        <v>1230</v>
      </c>
      <c r="C351" s="166" t="s">
        <v>144</v>
      </c>
      <c r="D351" s="166" t="s">
        <v>106</v>
      </c>
      <c r="E351" s="205" t="s">
        <v>1917</v>
      </c>
      <c r="F351" s="205"/>
      <c r="G351" s="205" t="str">
        <f>+VLOOKUP(Table_1[[#This Row],[Account]],BV_Data_An_Cour!$L:$Q,6,0)</f>
        <v>7-Dépenses</v>
      </c>
      <c r="H351" s="170"/>
    </row>
    <row r="352" spans="1:8" ht="15" hidden="1" customHeight="1">
      <c r="A352" s="169" t="s">
        <v>2758</v>
      </c>
      <c r="B352" s="171" t="s">
        <v>2757</v>
      </c>
      <c r="C352" s="166" t="s">
        <v>144</v>
      </c>
      <c r="D352" s="166" t="s">
        <v>107</v>
      </c>
      <c r="E352" s="205" t="s">
        <v>1917</v>
      </c>
      <c r="F352" s="205"/>
      <c r="G352" s="205" t="str">
        <f>+VLOOKUP(Table_1[[#This Row],[Account]],BV_Data_An_Cour!$L:$Q,6,0)</f>
        <v>7-Dépenses</v>
      </c>
      <c r="H352" s="170"/>
    </row>
    <row r="353" spans="1:8" ht="15" hidden="1" customHeight="1">
      <c r="A353" s="179" t="s">
        <v>2611</v>
      </c>
      <c r="B353" s="179" t="s">
        <v>938</v>
      </c>
      <c r="C353" s="166" t="s">
        <v>144</v>
      </c>
      <c r="D353" s="166" t="s">
        <v>109</v>
      </c>
      <c r="E353" s="205" t="s">
        <v>1917</v>
      </c>
      <c r="F353" s="205"/>
      <c r="G353" s="205" t="str">
        <f>+VLOOKUP(Table_1[[#This Row],[Account]],BV_Data_An_Cour!$L:$Q,6,0)</f>
        <v>7-Dépenses</v>
      </c>
      <c r="H353" s="170"/>
    </row>
    <row r="354" spans="1:8" ht="15" hidden="1" customHeight="1">
      <c r="A354" s="169" t="s">
        <v>2695</v>
      </c>
      <c r="B354" s="171" t="s">
        <v>1407</v>
      </c>
      <c r="C354" s="166" t="s">
        <v>144</v>
      </c>
      <c r="D354" s="166" t="s">
        <v>105</v>
      </c>
      <c r="E354" s="205" t="s">
        <v>1917</v>
      </c>
      <c r="F354" s="205"/>
      <c r="G354" s="205" t="str">
        <f>+VLOOKUP(Table_1[[#This Row],[Account]],BV_Data_An_Cour!$L:$Q,6,0)</f>
        <v>7-Dépenses</v>
      </c>
      <c r="H354" s="170"/>
    </row>
    <row r="355" spans="1:8" ht="15" hidden="1" customHeight="1">
      <c r="A355" s="179" t="s">
        <v>2360</v>
      </c>
      <c r="B355" s="179" t="s">
        <v>2359</v>
      </c>
      <c r="C355" s="166"/>
      <c r="D355" s="166"/>
      <c r="E355" s="205"/>
      <c r="F355" s="205"/>
      <c r="G355" s="205" t="str">
        <f>+VLOOKUP(Table_1[[#This Row],[Account]],BV_Data_An_Cour!$L:$Q,6,0)</f>
        <v>1-Mémo</v>
      </c>
      <c r="H355" s="170"/>
    </row>
    <row r="356" spans="1:8" ht="15" hidden="1" customHeight="1">
      <c r="A356" s="574" t="s">
        <v>2774</v>
      </c>
      <c r="B356" s="583" t="s">
        <v>1374</v>
      </c>
      <c r="C356" s="166" t="s">
        <v>144</v>
      </c>
      <c r="D356" s="166" t="s">
        <v>108</v>
      </c>
      <c r="E356" s="205" t="s">
        <v>1917</v>
      </c>
      <c r="F356" s="205"/>
      <c r="G356" s="205" t="str">
        <f>+VLOOKUP(Table_1[[#This Row],[Account]],BV_Data_An_Cour!$L:$Q,6,0)</f>
        <v>7-Dépenses</v>
      </c>
      <c r="H356" s="170"/>
    </row>
    <row r="357" spans="1:8" ht="15" hidden="1" customHeight="1">
      <c r="A357" s="179" t="s">
        <v>2149</v>
      </c>
      <c r="B357" s="179" t="s">
        <v>2148</v>
      </c>
      <c r="C357" s="166" t="s">
        <v>144</v>
      </c>
      <c r="D357" s="166" t="s">
        <v>108</v>
      </c>
      <c r="E357" s="205" t="s">
        <v>1917</v>
      </c>
      <c r="F357" s="205"/>
      <c r="G357" s="205" t="str">
        <f>+VLOOKUP(Table_1[[#This Row],[Account]],BV_Data_An_Cour!$L:$Q,6,0)</f>
        <v>7-Dépenses</v>
      </c>
      <c r="H357" s="170"/>
    </row>
    <row r="358" spans="1:8" ht="15" hidden="1" customHeight="1">
      <c r="A358" s="574" t="s">
        <v>2362</v>
      </c>
      <c r="B358" s="583" t="s">
        <v>2361</v>
      </c>
      <c r="C358" s="166"/>
      <c r="D358" s="166"/>
      <c r="E358" s="205"/>
      <c r="F358" s="205"/>
      <c r="G358" s="205" t="str">
        <f>+VLOOKUP(Table_1[[#This Row],[Account]],BV_Data_An_Cour!$L:$Q,6,0)</f>
        <v>1-Mémo</v>
      </c>
      <c r="H358" s="170"/>
    </row>
    <row r="359" spans="1:8" ht="15" hidden="1" customHeight="1">
      <c r="A359" s="171" t="s">
        <v>2674</v>
      </c>
      <c r="B359" s="583" t="s">
        <v>1259</v>
      </c>
      <c r="C359" s="166" t="s">
        <v>144</v>
      </c>
      <c r="D359" s="166" t="s">
        <v>213</v>
      </c>
      <c r="E359" s="205" t="s">
        <v>1917</v>
      </c>
      <c r="F359" s="205"/>
      <c r="G359" s="205" t="str">
        <f>+VLOOKUP(Table_1[[#This Row],[Account]],BV_Data_An_Cour!$L:$Q,6,0)</f>
        <v>7-Dépenses</v>
      </c>
      <c r="H359" s="170"/>
    </row>
    <row r="360" spans="1:8" ht="15" hidden="1" customHeight="1">
      <c r="A360" s="574" t="s">
        <v>2748</v>
      </c>
      <c r="B360" s="583" t="s">
        <v>2624</v>
      </c>
      <c r="C360" s="166" t="s">
        <v>144</v>
      </c>
      <c r="D360" s="166" t="s">
        <v>112</v>
      </c>
      <c r="E360" s="205" t="s">
        <v>1917</v>
      </c>
      <c r="F360" s="205"/>
      <c r="G360" s="205" t="str">
        <f>+VLOOKUP(Table_1[[#This Row],[Account]],BV_Data_An_Cour!$L:$Q,6,0)</f>
        <v>7-Dépenses</v>
      </c>
      <c r="H360" s="170"/>
    </row>
    <row r="361" spans="1:8" ht="15" hidden="1" customHeight="1">
      <c r="A361" s="574" t="s">
        <v>2707</v>
      </c>
      <c r="B361" s="583" t="s">
        <v>1342</v>
      </c>
      <c r="C361" s="166" t="s">
        <v>144</v>
      </c>
      <c r="D361" s="166" t="s">
        <v>113</v>
      </c>
      <c r="E361" s="205" t="s">
        <v>1917</v>
      </c>
      <c r="F361" s="205"/>
      <c r="G361" s="205" t="str">
        <f>+VLOOKUP(Table_1[[#This Row],[Account]],BV_Data_An_Cour!$L:$Q,6,0)</f>
        <v>7-Dépenses</v>
      </c>
      <c r="H361" s="170"/>
    </row>
    <row r="362" spans="1:8" ht="15" hidden="1" customHeight="1">
      <c r="A362" s="169" t="s">
        <v>2776</v>
      </c>
      <c r="B362" s="171" t="s">
        <v>1412</v>
      </c>
      <c r="C362" s="166" t="s">
        <v>144</v>
      </c>
      <c r="D362" s="166" t="s">
        <v>114</v>
      </c>
      <c r="E362" s="205" t="s">
        <v>1917</v>
      </c>
      <c r="F362" s="205"/>
      <c r="G362" s="205" t="str">
        <f>+VLOOKUP(Table_1[[#This Row],[Account]],BV_Data_An_Cour!$L:$Q,6,0)</f>
        <v>7-Dépenses</v>
      </c>
      <c r="H362" s="170"/>
    </row>
    <row r="363" spans="1:8" ht="15" customHeight="1">
      <c r="A363" s="574" t="s">
        <v>2712</v>
      </c>
      <c r="B363" s="583" t="s">
        <v>1211</v>
      </c>
      <c r="C363" s="166" t="s">
        <v>144</v>
      </c>
      <c r="D363" s="166" t="s">
        <v>116</v>
      </c>
      <c r="E363" s="205" t="s">
        <v>1917</v>
      </c>
      <c r="F363" s="205"/>
      <c r="G363" s="205" t="str">
        <f>+VLOOKUP(Table_1[[#This Row],[Account]],BV_Data_An_Cour!$L:$Q,6,0)</f>
        <v>7-Dépenses</v>
      </c>
      <c r="H363" s="170"/>
    </row>
    <row r="364" spans="1:8" ht="15" hidden="1" customHeight="1">
      <c r="A364" s="173" t="s">
        <v>2697</v>
      </c>
      <c r="B364" s="172" t="s">
        <v>1252</v>
      </c>
      <c r="C364" s="166" t="s">
        <v>144</v>
      </c>
      <c r="D364" s="166" t="s">
        <v>119</v>
      </c>
      <c r="E364" s="205" t="s">
        <v>1917</v>
      </c>
      <c r="F364" s="205"/>
      <c r="G364" s="205" t="e">
        <f>+VLOOKUP(Table_1[[#This Row],[Account]],BV_Data_An_Cour!$L:$Q,6,0)</f>
        <v>#N/A</v>
      </c>
      <c r="H364" s="170"/>
    </row>
    <row r="365" spans="1:8" ht="15" hidden="1" customHeight="1">
      <c r="A365" s="173" t="s">
        <v>2717</v>
      </c>
      <c r="B365" s="172" t="s">
        <v>1283</v>
      </c>
      <c r="C365" s="166" t="s">
        <v>144</v>
      </c>
      <c r="D365" s="166" t="s">
        <v>117</v>
      </c>
      <c r="E365" s="205" t="s">
        <v>1917</v>
      </c>
      <c r="F365" s="205"/>
      <c r="G365" s="205" t="str">
        <f>+VLOOKUP(Table_1[[#This Row],[Account]],BV_Data_An_Cour!$L:$Q,6,0)</f>
        <v>7-Dépenses</v>
      </c>
      <c r="H365" s="170"/>
    </row>
    <row r="366" spans="1:8" ht="15" hidden="1" customHeight="1">
      <c r="A366" s="169" t="s">
        <v>2719</v>
      </c>
      <c r="B366" s="171" t="s">
        <v>1305</v>
      </c>
      <c r="C366" s="166" t="s">
        <v>144</v>
      </c>
      <c r="D366" s="166" t="s">
        <v>118</v>
      </c>
      <c r="E366" s="205" t="s">
        <v>1917</v>
      </c>
      <c r="F366" s="205"/>
      <c r="G366" s="205" t="str">
        <f>+VLOOKUP(Table_1[[#This Row],[Account]],BV_Data_An_Cour!$L:$Q,6,0)</f>
        <v>7-Dépenses</v>
      </c>
      <c r="H366" s="170"/>
    </row>
    <row r="367" spans="1:8" ht="15" hidden="1" customHeight="1">
      <c r="A367" s="574" t="s">
        <v>2364</v>
      </c>
      <c r="B367" s="583" t="s">
        <v>2363</v>
      </c>
      <c r="C367" s="166"/>
      <c r="D367" s="166"/>
      <c r="E367" s="205"/>
      <c r="F367" s="205"/>
      <c r="G367" s="205" t="str">
        <f>+VLOOKUP(Table_1[[#This Row],[Account]],BV_Data_An_Cour!$L:$Q,6,0)</f>
        <v>1-Mémo</v>
      </c>
      <c r="H367" s="170"/>
    </row>
    <row r="368" spans="1:8" ht="15" hidden="1" customHeight="1">
      <c r="A368" s="574" t="s">
        <v>2565</v>
      </c>
      <c r="B368" s="583" t="s">
        <v>1157</v>
      </c>
      <c r="C368" s="166" t="s">
        <v>144</v>
      </c>
      <c r="D368" s="166" t="s">
        <v>127</v>
      </c>
      <c r="E368" s="205" t="s">
        <v>1917</v>
      </c>
      <c r="F368" s="205"/>
      <c r="G368" s="205" t="e">
        <f>+VLOOKUP(Table_1[[#This Row],[Account]],BV_Data_An_Cour!$L:$Q,6,0)</f>
        <v>#N/A</v>
      </c>
      <c r="H368" s="170"/>
    </row>
    <row r="369" spans="1:12" ht="15" hidden="1" customHeight="1">
      <c r="A369" s="574" t="s">
        <v>2464</v>
      </c>
      <c r="B369" s="583" t="s">
        <v>932</v>
      </c>
      <c r="C369" s="166" t="s">
        <v>144</v>
      </c>
      <c r="D369" s="166" t="s">
        <v>128</v>
      </c>
      <c r="E369" s="205" t="s">
        <v>1917</v>
      </c>
      <c r="F369" s="205"/>
      <c r="G369" s="205" t="e">
        <f>+VLOOKUP(Table_1[[#This Row],[Account]],BV_Data_An_Cour!$L:$Q,6,0)</f>
        <v>#N/A</v>
      </c>
      <c r="H369" s="170"/>
    </row>
    <row r="370" spans="1:12" ht="15" hidden="1" customHeight="1">
      <c r="A370" s="179" t="s">
        <v>2564</v>
      </c>
      <c r="B370" s="179" t="s">
        <v>934</v>
      </c>
      <c r="C370" s="166" t="s">
        <v>144</v>
      </c>
      <c r="D370" s="166" t="s">
        <v>133</v>
      </c>
      <c r="E370" s="205" t="s">
        <v>1917</v>
      </c>
      <c r="F370" s="205"/>
      <c r="G370" s="205" t="str">
        <f>+VLOOKUP(Table_1[[#This Row],[Account]],BV_Data_An_Cour!$L:$Q,6,0)</f>
        <v>7-Dépenses</v>
      </c>
      <c r="H370" s="170"/>
      <c r="L370" s="2"/>
    </row>
    <row r="371" spans="1:12" ht="15" hidden="1" customHeight="1">
      <c r="A371" s="574" t="s">
        <v>2649</v>
      </c>
      <c r="B371" s="583" t="s">
        <v>1186</v>
      </c>
      <c r="C371" s="166" t="s">
        <v>144</v>
      </c>
      <c r="D371" s="166" t="s">
        <v>123</v>
      </c>
      <c r="E371" s="205" t="s">
        <v>1917</v>
      </c>
      <c r="F371" s="205"/>
      <c r="G371" s="205" t="str">
        <f>+VLOOKUP(Table_1[[#This Row],[Account]],BV_Data_An_Cour!$L:$Q,6,0)</f>
        <v>7-Dépenses</v>
      </c>
      <c r="H371" s="170"/>
    </row>
    <row r="372" spans="1:12" ht="15" hidden="1" customHeight="1">
      <c r="A372" s="179" t="s">
        <v>2584</v>
      </c>
      <c r="B372" s="179" t="s">
        <v>1180</v>
      </c>
      <c r="C372" s="166" t="s">
        <v>144</v>
      </c>
      <c r="D372" s="166" t="s">
        <v>131</v>
      </c>
      <c r="E372" s="205" t="s">
        <v>1917</v>
      </c>
      <c r="G372" s="162" t="str">
        <f>+VLOOKUP(Table_1[[#This Row],[Account]],BV_Data_An_Cour!$L:$Q,6,0)</f>
        <v>7-Dépenses</v>
      </c>
      <c r="H372" s="170"/>
    </row>
    <row r="373" spans="1:12" ht="15" hidden="1" customHeight="1">
      <c r="A373" s="574" t="s">
        <v>2723</v>
      </c>
      <c r="B373" s="583" t="s">
        <v>1286</v>
      </c>
      <c r="C373" s="166" t="s">
        <v>144</v>
      </c>
      <c r="D373" s="166" t="s">
        <v>124</v>
      </c>
      <c r="E373" s="205" t="s">
        <v>1917</v>
      </c>
      <c r="F373" s="205"/>
      <c r="G373" s="205" t="str">
        <f>+VLOOKUP(Table_1[[#This Row],[Account]],BV_Data_An_Cour!$L:$Q,6,0)</f>
        <v>7-Dépenses</v>
      </c>
      <c r="H373" s="170"/>
    </row>
    <row r="374" spans="1:12" ht="15" hidden="1" customHeight="1">
      <c r="A374" s="179" t="s">
        <v>2602</v>
      </c>
      <c r="B374" s="582" t="s">
        <v>1206</v>
      </c>
      <c r="C374" s="166" t="s">
        <v>144</v>
      </c>
      <c r="D374" s="166" t="s">
        <v>129</v>
      </c>
      <c r="E374" s="205" t="s">
        <v>1917</v>
      </c>
      <c r="F374" s="205"/>
      <c r="G374" s="205" t="str">
        <f>+VLOOKUP(Table_1[[#This Row],[Account]],BV_Data_An_Cour!$L:$Q,6,0)</f>
        <v>7-Dépenses</v>
      </c>
      <c r="H374" s="170"/>
    </row>
    <row r="375" spans="1:12" ht="15" hidden="1" customHeight="1">
      <c r="A375" s="169" t="s">
        <v>2595</v>
      </c>
      <c r="B375" s="171" t="s">
        <v>1154</v>
      </c>
      <c r="C375" s="166" t="s">
        <v>144</v>
      </c>
      <c r="D375" s="166" t="s">
        <v>130</v>
      </c>
      <c r="E375" s="205" t="s">
        <v>1917</v>
      </c>
      <c r="F375" s="205"/>
      <c r="G375" s="205" t="str">
        <f>+VLOOKUP(Table_1[[#This Row],[Account]],BV_Data_An_Cour!$L:$Q,6,0)</f>
        <v>7-Dépenses</v>
      </c>
      <c r="H375" s="170"/>
    </row>
    <row r="376" spans="1:12" ht="15" hidden="1" customHeight="1">
      <c r="A376" s="178" t="s">
        <v>2666</v>
      </c>
      <c r="B376" s="582" t="s">
        <v>1237</v>
      </c>
      <c r="C376" s="166" t="s">
        <v>144</v>
      </c>
      <c r="D376" s="166" t="s">
        <v>132</v>
      </c>
      <c r="E376" s="205" t="s">
        <v>1917</v>
      </c>
      <c r="F376" s="205"/>
      <c r="G376" s="205" t="str">
        <f>+VLOOKUP(Table_1[[#This Row],[Account]],BV_Data_An_Cour!$L:$Q,6,0)</f>
        <v>7-Dépenses</v>
      </c>
      <c r="H376" s="170"/>
    </row>
    <row r="377" spans="1:12" ht="15" hidden="1" customHeight="1">
      <c r="A377" s="169" t="s">
        <v>2676</v>
      </c>
      <c r="B377" s="171" t="s">
        <v>1247</v>
      </c>
      <c r="C377" s="166" t="s">
        <v>144</v>
      </c>
      <c r="D377" s="166" t="s">
        <v>125</v>
      </c>
      <c r="E377" s="205" t="s">
        <v>1917</v>
      </c>
      <c r="F377" s="205"/>
      <c r="G377" s="205" t="str">
        <f>+VLOOKUP(Table_1[[#This Row],[Account]],BV_Data_An_Cour!$L:$Q,6,0)</f>
        <v>7-Dépenses</v>
      </c>
      <c r="H377" s="170"/>
    </row>
    <row r="378" spans="1:12" ht="15" hidden="1" customHeight="1">
      <c r="A378" s="576" t="s">
        <v>2698</v>
      </c>
      <c r="B378" s="584" t="s">
        <v>1308</v>
      </c>
      <c r="C378" s="166" t="s">
        <v>144</v>
      </c>
      <c r="D378" s="166" t="s">
        <v>126</v>
      </c>
      <c r="E378" s="205" t="s">
        <v>1917</v>
      </c>
      <c r="G378" s="162" t="str">
        <f>+VLOOKUP(Table_1[[#This Row],[Account]],BV_Data_An_Cour!$L:$Q,6,0)</f>
        <v>7-Dépenses</v>
      </c>
      <c r="H378" s="170"/>
    </row>
    <row r="379" spans="1:12" ht="15" hidden="1" customHeight="1">
      <c r="A379" s="169" t="s">
        <v>2680</v>
      </c>
      <c r="B379" s="171" t="s">
        <v>1333</v>
      </c>
      <c r="C379" s="166" t="s">
        <v>144</v>
      </c>
      <c r="D379" s="166" t="s">
        <v>260</v>
      </c>
      <c r="E379" s="205" t="s">
        <v>1917</v>
      </c>
      <c r="F379" s="205"/>
      <c r="G379" s="205" t="str">
        <f>+VLOOKUP(Table_1[[#This Row],[Account]],BV_Data_An_Cour!$L:$Q,6,0)</f>
        <v>7-Dépenses</v>
      </c>
      <c r="H379" s="170"/>
    </row>
    <row r="380" spans="1:12" ht="15" hidden="1" customHeight="1">
      <c r="A380" s="169" t="s">
        <v>2465</v>
      </c>
      <c r="B380" s="171" t="s">
        <v>936</v>
      </c>
      <c r="C380" s="166" t="s">
        <v>144</v>
      </c>
      <c r="D380" s="166" t="s">
        <v>250</v>
      </c>
      <c r="E380" s="205" t="s">
        <v>1917</v>
      </c>
      <c r="F380" s="205"/>
      <c r="G380" s="205" t="e">
        <f>+VLOOKUP(Table_1[[#This Row],[Account]],BV_Data_An_Cour!$L:$Q,6,0)</f>
        <v>#N/A</v>
      </c>
      <c r="H380" s="170"/>
    </row>
    <row r="381" spans="1:12" ht="15" hidden="1" customHeight="1">
      <c r="A381" s="576" t="s">
        <v>2633</v>
      </c>
      <c r="B381" s="584" t="s">
        <v>1380</v>
      </c>
      <c r="C381" s="166" t="s">
        <v>144</v>
      </c>
      <c r="D381" s="166" t="s">
        <v>244</v>
      </c>
      <c r="E381" s="205" t="s">
        <v>1917</v>
      </c>
      <c r="F381" s="205"/>
      <c r="G381" s="205" t="str">
        <f>+VLOOKUP(Table_1[[#This Row],[Account]],BV_Data_An_Cour!$L:$Q,6,0)</f>
        <v>7-Dépenses</v>
      </c>
      <c r="H381" s="170"/>
    </row>
    <row r="382" spans="1:12" ht="15" hidden="1" customHeight="1">
      <c r="A382" s="169" t="s">
        <v>2724</v>
      </c>
      <c r="B382" s="171" t="s">
        <v>1462</v>
      </c>
      <c r="C382" s="166" t="s">
        <v>144</v>
      </c>
      <c r="D382" s="166" t="s">
        <v>235</v>
      </c>
      <c r="E382" s="205" t="s">
        <v>1917</v>
      </c>
      <c r="F382" s="205"/>
      <c r="G382" s="205" t="str">
        <f>+VLOOKUP(Table_1[[#This Row],[Account]],BV_Data_An_Cour!$L:$Q,6,0)</f>
        <v>7-Dépenses</v>
      </c>
      <c r="H382" s="170"/>
    </row>
    <row r="383" spans="1:12" ht="15" hidden="1" customHeight="1">
      <c r="A383" s="169" t="s">
        <v>2615</v>
      </c>
      <c r="B383" s="171" t="s">
        <v>1290</v>
      </c>
      <c r="C383" s="166" t="s">
        <v>144</v>
      </c>
      <c r="D383" s="166" t="s">
        <v>242</v>
      </c>
      <c r="E383" s="205" t="s">
        <v>1917</v>
      </c>
      <c r="F383" s="205"/>
      <c r="G383" s="205" t="str">
        <f>+VLOOKUP(Table_1[[#This Row],[Account]],BV_Data_An_Cour!$L:$Q,6,0)</f>
        <v>7-Dépenses</v>
      </c>
      <c r="H383" s="170"/>
    </row>
    <row r="384" spans="1:12" ht="15" hidden="1" customHeight="1">
      <c r="A384" s="180" t="s">
        <v>2651</v>
      </c>
      <c r="B384" s="181" t="s">
        <v>1203</v>
      </c>
      <c r="C384" s="166" t="s">
        <v>144</v>
      </c>
      <c r="D384" s="166" t="s">
        <v>237</v>
      </c>
      <c r="E384" s="205" t="s">
        <v>1917</v>
      </c>
      <c r="F384" s="205"/>
      <c r="G384" s="205" t="str">
        <f>+VLOOKUP(Table_1[[#This Row],[Account]],BV_Data_An_Cour!$L:$Q,6,0)</f>
        <v>7-Dépenses</v>
      </c>
      <c r="H384" s="170"/>
    </row>
    <row r="385" spans="1:8" ht="15" hidden="1" customHeight="1">
      <c r="A385" s="579" t="s">
        <v>2620</v>
      </c>
      <c r="B385" s="578" t="s">
        <v>1393</v>
      </c>
      <c r="C385" s="166" t="s">
        <v>144</v>
      </c>
      <c r="D385" s="166" t="s">
        <v>239</v>
      </c>
      <c r="E385" s="205" t="s">
        <v>1917</v>
      </c>
      <c r="F385" s="205"/>
      <c r="G385" s="205" t="str">
        <f>+VLOOKUP(Table_1[[#This Row],[Account]],BV_Data_An_Cour!$L:$Q,6,0)</f>
        <v>7-Dépenses</v>
      </c>
      <c r="H385" s="170"/>
    </row>
    <row r="386" spans="1:8" ht="15" hidden="1" customHeight="1">
      <c r="A386" s="576" t="s">
        <v>2664</v>
      </c>
      <c r="B386" s="584" t="s">
        <v>1318</v>
      </c>
      <c r="C386" s="166" t="s">
        <v>144</v>
      </c>
      <c r="D386" s="166" t="s">
        <v>246</v>
      </c>
      <c r="E386" s="205" t="s">
        <v>1917</v>
      </c>
      <c r="F386" s="205"/>
      <c r="G386" s="205" t="str">
        <f>+VLOOKUP(Table_1[[#This Row],[Account]],BV_Data_An_Cour!$L:$Q,6,0)</f>
        <v>7-Dépenses</v>
      </c>
      <c r="H386" s="170"/>
    </row>
    <row r="387" spans="1:8" ht="15" hidden="1" customHeight="1">
      <c r="A387" s="169" t="s">
        <v>2743</v>
      </c>
      <c r="B387" s="171" t="s">
        <v>1403</v>
      </c>
      <c r="C387" s="166" t="s">
        <v>155</v>
      </c>
      <c r="D387" s="166" t="s">
        <v>122</v>
      </c>
      <c r="E387" s="205" t="s">
        <v>1917</v>
      </c>
      <c r="F387" s="205"/>
      <c r="G387" s="205" t="str">
        <f>+VLOOKUP(Table_1[[#This Row],[Account]],BV_Data_An_Cour!$L:$Q,6,0)</f>
        <v>7-Dépenses</v>
      </c>
      <c r="H387" s="170"/>
    </row>
    <row r="388" spans="1:8" ht="15" hidden="1" customHeight="1">
      <c r="A388" s="179" t="s">
        <v>2677</v>
      </c>
      <c r="B388" s="179" t="s">
        <v>1450</v>
      </c>
      <c r="C388" s="166" t="s">
        <v>155</v>
      </c>
      <c r="D388" s="166" t="s">
        <v>122</v>
      </c>
      <c r="E388" s="205" t="s">
        <v>1917</v>
      </c>
      <c r="F388" s="205"/>
      <c r="G388" s="205" t="str">
        <f>+VLOOKUP(Table_1[[#This Row],[Account]],BV_Data_An_Cour!$L:$Q,6,0)</f>
        <v>7-Dépenses</v>
      </c>
      <c r="H388" s="170"/>
    </row>
    <row r="389" spans="1:8" ht="15" hidden="1" customHeight="1">
      <c r="A389" s="169" t="s">
        <v>2714</v>
      </c>
      <c r="B389" s="171" t="s">
        <v>1374</v>
      </c>
      <c r="C389" s="166" t="s">
        <v>155</v>
      </c>
      <c r="D389" s="166" t="s">
        <v>121</v>
      </c>
      <c r="E389" s="205" t="s">
        <v>1917</v>
      </c>
      <c r="F389" s="205"/>
      <c r="G389" s="205" t="str">
        <f>+VLOOKUP(Table_1[[#This Row],[Account]],BV_Data_An_Cour!$L:$Q,6,0)</f>
        <v>7-Dépenses</v>
      </c>
      <c r="H389" s="170"/>
    </row>
    <row r="390" spans="1:8" ht="15" hidden="1" customHeight="1">
      <c r="A390" s="179" t="s">
        <v>2711</v>
      </c>
      <c r="B390" s="179" t="s">
        <v>1259</v>
      </c>
      <c r="C390" s="166" t="s">
        <v>155</v>
      </c>
      <c r="D390" s="166" t="s">
        <v>213</v>
      </c>
      <c r="E390" s="205" t="s">
        <v>1917</v>
      </c>
      <c r="F390" s="205"/>
      <c r="G390" s="205" t="str">
        <f>+VLOOKUP(Table_1[[#This Row],[Account]],BV_Data_An_Cour!$L:$Q,6,0)</f>
        <v>7-Dépenses</v>
      </c>
      <c r="H390" s="170"/>
    </row>
    <row r="391" spans="1:8" ht="15" hidden="1" customHeight="1">
      <c r="A391" s="169" t="s">
        <v>2771</v>
      </c>
      <c r="B391" s="171" t="s">
        <v>2624</v>
      </c>
      <c r="C391" s="166" t="s">
        <v>155</v>
      </c>
      <c r="D391" s="166" t="s">
        <v>112</v>
      </c>
      <c r="E391" s="205" t="s">
        <v>1917</v>
      </c>
      <c r="F391" s="205"/>
      <c r="G391" s="205" t="str">
        <f>+VLOOKUP(Table_1[[#This Row],[Account]],BV_Data_An_Cour!$L:$Q,6,0)</f>
        <v>7-Dépenses</v>
      </c>
      <c r="H391" s="170"/>
    </row>
    <row r="392" spans="1:8" ht="15" hidden="1" customHeight="1">
      <c r="A392" s="179" t="s">
        <v>2766</v>
      </c>
      <c r="B392" s="179" t="s">
        <v>1266</v>
      </c>
      <c r="C392" s="166" t="s">
        <v>155</v>
      </c>
      <c r="D392" s="166" t="s">
        <v>113</v>
      </c>
      <c r="E392" s="205" t="s">
        <v>1917</v>
      </c>
      <c r="F392" s="205"/>
      <c r="G392" s="205" t="str">
        <f>+VLOOKUP(Table_1[[#This Row],[Account]],BV_Data_An_Cour!$L:$Q,6,0)</f>
        <v>7-Dépenses</v>
      </c>
      <c r="H392" s="170"/>
    </row>
    <row r="393" spans="1:8" ht="15" hidden="1" customHeight="1">
      <c r="A393" s="169" t="s">
        <v>2805</v>
      </c>
      <c r="B393" s="171" t="s">
        <v>1249</v>
      </c>
      <c r="C393" s="166" t="s">
        <v>155</v>
      </c>
      <c r="D393" s="166" t="s">
        <v>114</v>
      </c>
      <c r="E393" s="205" t="s">
        <v>1917</v>
      </c>
      <c r="F393" s="205"/>
      <c r="G393" s="205" t="str">
        <f>+VLOOKUP(Table_1[[#This Row],[Account]],BV_Data_An_Cour!$L:$Q,6,0)</f>
        <v>7-Dépenses</v>
      </c>
      <c r="H393" s="170"/>
    </row>
    <row r="394" spans="1:8" ht="15" hidden="1" customHeight="1">
      <c r="A394" s="582" t="s">
        <v>2810</v>
      </c>
      <c r="B394" s="582" t="s">
        <v>1330</v>
      </c>
      <c r="C394" s="166" t="s">
        <v>155</v>
      </c>
      <c r="D394" s="166" t="s">
        <v>115</v>
      </c>
      <c r="E394" s="205" t="s">
        <v>1917</v>
      </c>
      <c r="F394" s="205"/>
      <c r="G394" s="205" t="str">
        <f>+VLOOKUP(Table_1[[#This Row],[Account]],BV_Data_An_Cour!$L:$Q,6,0)</f>
        <v>7-Dépenses</v>
      </c>
      <c r="H394" s="170"/>
    </row>
    <row r="395" spans="1:8" ht="15" hidden="1" customHeight="1">
      <c r="A395" s="579" t="s">
        <v>2793</v>
      </c>
      <c r="B395" s="578" t="s">
        <v>1448</v>
      </c>
      <c r="C395" s="166" t="s">
        <v>155</v>
      </c>
      <c r="D395" s="166" t="s">
        <v>116</v>
      </c>
      <c r="E395" s="205" t="s">
        <v>1917</v>
      </c>
      <c r="F395" s="205"/>
      <c r="G395" s="205" t="str">
        <f>+VLOOKUP(Table_1[[#This Row],[Account]],BV_Data_An_Cour!$L:$Q,6,0)</f>
        <v>7-Dépenses</v>
      </c>
      <c r="H395" s="170"/>
    </row>
    <row r="396" spans="1:8" ht="15" hidden="1" customHeight="1">
      <c r="A396" s="582" t="s">
        <v>2732</v>
      </c>
      <c r="B396" s="582" t="s">
        <v>1252</v>
      </c>
      <c r="C396" s="166" t="s">
        <v>155</v>
      </c>
      <c r="D396" s="166" t="s">
        <v>119</v>
      </c>
      <c r="E396" s="205" t="s">
        <v>1917</v>
      </c>
      <c r="F396" s="205"/>
      <c r="G396" s="205" t="e">
        <f>+VLOOKUP(Table_1[[#This Row],[Account]],BV_Data_An_Cour!$L:$Q,6,0)</f>
        <v>#N/A</v>
      </c>
      <c r="H396" s="170"/>
    </row>
    <row r="397" spans="1:8" ht="15" hidden="1" customHeight="1">
      <c r="A397" s="579" t="s">
        <v>2779</v>
      </c>
      <c r="B397" s="578" t="s">
        <v>1283</v>
      </c>
      <c r="C397" s="166" t="s">
        <v>155</v>
      </c>
      <c r="D397" s="166" t="s">
        <v>117</v>
      </c>
      <c r="E397" s="205" t="s">
        <v>1917</v>
      </c>
      <c r="F397" s="205"/>
      <c r="G397" s="205" t="str">
        <f>+VLOOKUP(Table_1[[#This Row],[Account]],BV_Data_An_Cour!$L:$Q,6,0)</f>
        <v>7-Dépenses</v>
      </c>
      <c r="H397" s="170"/>
    </row>
    <row r="398" spans="1:8" ht="15" hidden="1" customHeight="1">
      <c r="A398" s="582" t="s">
        <v>2608</v>
      </c>
      <c r="B398" s="582" t="s">
        <v>1220</v>
      </c>
      <c r="C398" s="166" t="s">
        <v>155</v>
      </c>
      <c r="D398" s="166" t="s">
        <v>118</v>
      </c>
      <c r="E398" s="205" t="s">
        <v>1917</v>
      </c>
      <c r="F398" s="205"/>
      <c r="G398" s="205" t="str">
        <f>+VLOOKUP(Table_1[[#This Row],[Account]],BV_Data_An_Cour!$L:$Q,6,0)</f>
        <v>7-Dépenses</v>
      </c>
      <c r="H398" s="170"/>
    </row>
    <row r="399" spans="1:8" ht="15" hidden="1" customHeight="1">
      <c r="A399" s="173" t="s">
        <v>2742</v>
      </c>
      <c r="B399" s="172" t="s">
        <v>1305</v>
      </c>
      <c r="C399" s="166" t="s">
        <v>155</v>
      </c>
      <c r="D399" s="166" t="s">
        <v>118</v>
      </c>
      <c r="E399" s="205" t="s">
        <v>1917</v>
      </c>
      <c r="F399" s="205"/>
      <c r="G399" s="205" t="str">
        <f>+VLOOKUP(Table_1[[#This Row],[Account]],BV_Data_An_Cour!$L:$Q,6,0)</f>
        <v>7-Dépenses</v>
      </c>
      <c r="H399" s="170"/>
    </row>
    <row r="400" spans="1:8" ht="15" hidden="1" customHeight="1">
      <c r="A400" s="582" t="s">
        <v>2366</v>
      </c>
      <c r="B400" s="582" t="s">
        <v>2365</v>
      </c>
      <c r="C400" s="166"/>
      <c r="D400" s="567"/>
      <c r="E400" s="205"/>
      <c r="F400" s="205"/>
      <c r="G400" s="205" t="str">
        <f>+VLOOKUP(Table_1[[#This Row],[Account]],BV_Data_An_Cour!$L:$Q,6,0)</f>
        <v>1-Mémo</v>
      </c>
      <c r="H400" s="170"/>
    </row>
    <row r="401" spans="1:8" ht="15" hidden="1" customHeight="1">
      <c r="A401" s="173" t="s">
        <v>2466</v>
      </c>
      <c r="B401" s="172" t="s">
        <v>1178</v>
      </c>
      <c r="C401" s="166" t="s">
        <v>155</v>
      </c>
      <c r="D401" s="166" t="s">
        <v>122</v>
      </c>
      <c r="E401" s="205" t="s">
        <v>1917</v>
      </c>
      <c r="F401" s="205"/>
      <c r="G401" s="205" t="e">
        <f>+VLOOKUP(Table_1[[#This Row],[Account]],BV_Data_An_Cour!$L:$Q,6,0)</f>
        <v>#N/A</v>
      </c>
      <c r="H401" s="170"/>
    </row>
    <row r="402" spans="1:8" ht="15" hidden="1" customHeight="1">
      <c r="A402" s="579" t="s">
        <v>2655</v>
      </c>
      <c r="B402" s="578" t="s">
        <v>1157</v>
      </c>
      <c r="C402" s="166" t="s">
        <v>155</v>
      </c>
      <c r="D402" s="166" t="s">
        <v>127</v>
      </c>
      <c r="E402" s="205" t="s">
        <v>1917</v>
      </c>
      <c r="F402" s="205"/>
      <c r="G402" s="205" t="str">
        <f>+VLOOKUP(Table_1[[#This Row],[Account]],BV_Data_An_Cour!$L:$Q,6,0)</f>
        <v>7-Dépenses</v>
      </c>
      <c r="H402" s="170"/>
    </row>
    <row r="403" spans="1:8" ht="15" hidden="1" customHeight="1">
      <c r="A403" s="179" t="s">
        <v>2158</v>
      </c>
      <c r="B403" s="179" t="s">
        <v>932</v>
      </c>
      <c r="C403" s="166" t="s">
        <v>155</v>
      </c>
      <c r="D403" s="166" t="s">
        <v>128</v>
      </c>
      <c r="E403" s="205" t="s">
        <v>1917</v>
      </c>
      <c r="F403" s="205"/>
      <c r="G403" s="205" t="str">
        <f>+VLOOKUP(Table_1[[#This Row],[Account]],BV_Data_An_Cour!$L:$Q,6,0)</f>
        <v>7-Dépenses</v>
      </c>
      <c r="H403" s="170"/>
    </row>
    <row r="404" spans="1:8" ht="15" hidden="1" customHeight="1">
      <c r="A404" s="574" t="s">
        <v>2572</v>
      </c>
      <c r="B404" s="583" t="s">
        <v>934</v>
      </c>
      <c r="C404" s="166" t="s">
        <v>155</v>
      </c>
      <c r="D404" s="166" t="s">
        <v>133</v>
      </c>
      <c r="E404" s="205" t="s">
        <v>1917</v>
      </c>
      <c r="F404" s="205"/>
      <c r="G404" s="205" t="str">
        <f>+VLOOKUP(Table_1[[#This Row],[Account]],BV_Data_An_Cour!$L:$Q,6,0)</f>
        <v>7-Dépenses</v>
      </c>
      <c r="H404" s="170"/>
    </row>
    <row r="405" spans="1:8" ht="15" hidden="1" customHeight="1">
      <c r="A405" s="179" t="s">
        <v>2801</v>
      </c>
      <c r="B405" s="179" t="s">
        <v>1527</v>
      </c>
      <c r="C405" s="166" t="s">
        <v>155</v>
      </c>
      <c r="D405" s="166" t="s">
        <v>123</v>
      </c>
      <c r="E405" s="205" t="s">
        <v>1917</v>
      </c>
      <c r="F405" s="205"/>
      <c r="G405" s="205" t="str">
        <f>+VLOOKUP(Table_1[[#This Row],[Account]],BV_Data_An_Cour!$L:$Q,6,0)</f>
        <v>7-Dépenses</v>
      </c>
      <c r="H405" s="170"/>
    </row>
    <row r="406" spans="1:8" ht="15" hidden="1" customHeight="1">
      <c r="A406" s="173" t="s">
        <v>2609</v>
      </c>
      <c r="B406" s="172" t="s">
        <v>1180</v>
      </c>
      <c r="C406" s="166" t="s">
        <v>155</v>
      </c>
      <c r="D406" s="166" t="s">
        <v>131</v>
      </c>
      <c r="E406" s="205" t="s">
        <v>1917</v>
      </c>
      <c r="F406" s="205"/>
      <c r="G406" s="205" t="str">
        <f>+VLOOKUP(Table_1[[#This Row],[Account]],BV_Data_An_Cour!$L:$Q,6,0)</f>
        <v>7-Dépenses</v>
      </c>
      <c r="H406" s="170"/>
    </row>
    <row r="407" spans="1:8" ht="15" hidden="1" customHeight="1">
      <c r="A407" s="179" t="s">
        <v>2745</v>
      </c>
      <c r="B407" s="179" t="s">
        <v>1286</v>
      </c>
      <c r="C407" s="166" t="s">
        <v>155</v>
      </c>
      <c r="D407" s="166" t="s">
        <v>124</v>
      </c>
      <c r="E407" s="205" t="s">
        <v>1917</v>
      </c>
      <c r="F407" s="205"/>
      <c r="G407" s="205" t="str">
        <f>+VLOOKUP(Table_1[[#This Row],[Account]],BV_Data_An_Cour!$L:$Q,6,0)</f>
        <v>7-Dépenses</v>
      </c>
      <c r="H407" s="170"/>
    </row>
    <row r="408" spans="1:8" ht="15" hidden="1" customHeight="1">
      <c r="A408" s="579" t="s">
        <v>2644</v>
      </c>
      <c r="B408" s="578" t="s">
        <v>1206</v>
      </c>
      <c r="C408" s="166" t="s">
        <v>155</v>
      </c>
      <c r="D408" s="166" t="s">
        <v>129</v>
      </c>
      <c r="E408" s="205" t="s">
        <v>1917</v>
      </c>
      <c r="F408" s="205"/>
      <c r="G408" s="205" t="str">
        <f>+VLOOKUP(Table_1[[#This Row],[Account]],BV_Data_An_Cour!$L:$Q,6,0)</f>
        <v>7-Dépenses</v>
      </c>
      <c r="H408" s="170"/>
    </row>
    <row r="409" spans="1:8" ht="15" hidden="1" customHeight="1">
      <c r="A409" s="582" t="s">
        <v>2645</v>
      </c>
      <c r="B409" s="582" t="s">
        <v>1154</v>
      </c>
      <c r="C409" s="166" t="s">
        <v>155</v>
      </c>
      <c r="D409" s="166" t="s">
        <v>130</v>
      </c>
      <c r="E409" s="205" t="s">
        <v>1917</v>
      </c>
      <c r="F409" s="205"/>
      <c r="G409" s="205" t="str">
        <f>+VLOOKUP(Table_1[[#This Row],[Account]],BV_Data_An_Cour!$L:$Q,6,0)</f>
        <v>7-Dépenses</v>
      </c>
      <c r="H409" s="170"/>
    </row>
    <row r="410" spans="1:8" ht="15" hidden="1" customHeight="1">
      <c r="A410" s="579" t="s">
        <v>2700</v>
      </c>
      <c r="B410" s="578" t="s">
        <v>1237</v>
      </c>
      <c r="C410" s="166" t="s">
        <v>155</v>
      </c>
      <c r="D410" s="166" t="s">
        <v>132</v>
      </c>
      <c r="E410" s="205" t="s">
        <v>1917</v>
      </c>
      <c r="F410" s="205"/>
      <c r="G410" s="205" t="str">
        <f>+VLOOKUP(Table_1[[#This Row],[Account]],BV_Data_An_Cour!$L:$Q,6,0)</f>
        <v>7-Dépenses</v>
      </c>
      <c r="H410" s="170"/>
    </row>
    <row r="411" spans="1:8" ht="15" hidden="1" customHeight="1">
      <c r="A411" s="579" t="s">
        <v>2656</v>
      </c>
      <c r="B411" s="578" t="s">
        <v>1292</v>
      </c>
      <c r="C411" s="166" t="s">
        <v>155</v>
      </c>
      <c r="D411" s="166" t="s">
        <v>125</v>
      </c>
      <c r="E411" s="205" t="s">
        <v>1917</v>
      </c>
      <c r="F411" s="205"/>
      <c r="G411" s="205" t="str">
        <f>+VLOOKUP(Table_1[[#This Row],[Account]],BV_Data_An_Cour!$L:$Q,6,0)</f>
        <v>7-Dépenses</v>
      </c>
      <c r="H411" s="170"/>
    </row>
    <row r="412" spans="1:8" ht="15" hidden="1" customHeight="1">
      <c r="A412" s="582" t="s">
        <v>2736</v>
      </c>
      <c r="B412" s="582" t="s">
        <v>1308</v>
      </c>
      <c r="C412" s="166" t="s">
        <v>155</v>
      </c>
      <c r="D412" s="166" t="s">
        <v>126</v>
      </c>
      <c r="E412" s="205" t="s">
        <v>1917</v>
      </c>
      <c r="F412" s="205"/>
      <c r="G412" s="205" t="str">
        <f>+VLOOKUP(Table_1[[#This Row],[Account]],BV_Data_An_Cour!$L:$Q,6,0)</f>
        <v>7-Dépenses</v>
      </c>
      <c r="H412" s="170"/>
    </row>
    <row r="413" spans="1:8" ht="15" hidden="1" customHeight="1">
      <c r="A413" s="579" t="s">
        <v>2716</v>
      </c>
      <c r="B413" s="578" t="s">
        <v>1333</v>
      </c>
      <c r="C413" s="166" t="s">
        <v>155</v>
      </c>
      <c r="D413" s="166" t="s">
        <v>260</v>
      </c>
      <c r="E413" s="205" t="s">
        <v>1917</v>
      </c>
      <c r="F413" s="205"/>
      <c r="G413" s="205" t="str">
        <f>+VLOOKUP(Table_1[[#This Row],[Account]],BV_Data_An_Cour!$L:$Q,6,0)</f>
        <v>7-Dépenses</v>
      </c>
      <c r="H413" s="170"/>
    </row>
    <row r="414" spans="1:8" ht="15" hidden="1" customHeight="1">
      <c r="A414" s="179" t="s">
        <v>2607</v>
      </c>
      <c r="B414" s="179" t="s">
        <v>936</v>
      </c>
      <c r="C414" s="166" t="s">
        <v>155</v>
      </c>
      <c r="D414" s="166" t="s">
        <v>250</v>
      </c>
      <c r="E414" s="205" t="s">
        <v>1917</v>
      </c>
      <c r="F414" s="205"/>
      <c r="G414" s="205" t="e">
        <f>+VLOOKUP(Table_1[[#This Row],[Account]],BV_Data_An_Cour!$L:$Q,6,0)</f>
        <v>#N/A</v>
      </c>
      <c r="H414" s="170"/>
    </row>
    <row r="415" spans="1:8" ht="15" hidden="1" customHeight="1">
      <c r="A415" s="173" t="s">
        <v>2638</v>
      </c>
      <c r="B415" s="172" t="s">
        <v>1168</v>
      </c>
      <c r="C415" s="166" t="s">
        <v>155</v>
      </c>
      <c r="D415" s="166" t="s">
        <v>248</v>
      </c>
      <c r="E415" s="205" t="s">
        <v>1917</v>
      </c>
      <c r="F415" s="205"/>
      <c r="G415" s="205" t="str">
        <f>+VLOOKUP(Table_1[[#This Row],[Account]],BV_Data_An_Cour!$L:$Q,6,0)</f>
        <v>7-Dépenses</v>
      </c>
      <c r="H415" s="170"/>
    </row>
    <row r="416" spans="1:8" ht="15" hidden="1" customHeight="1">
      <c r="A416" s="574" t="s">
        <v>2670</v>
      </c>
      <c r="B416" s="583" t="s">
        <v>1311</v>
      </c>
      <c r="C416" s="166" t="s">
        <v>155</v>
      </c>
      <c r="D416" s="166" t="s">
        <v>244</v>
      </c>
      <c r="E416" s="205" t="s">
        <v>1917</v>
      </c>
      <c r="F416" s="205"/>
      <c r="G416" s="205" t="str">
        <f>+VLOOKUP(Table_1[[#This Row],[Account]],BV_Data_An_Cour!$L:$Q,6,0)</f>
        <v>7-Dépenses</v>
      </c>
      <c r="H416" s="170"/>
    </row>
    <row r="417" spans="1:8" ht="15" hidden="1" customHeight="1">
      <c r="A417" s="173" t="s">
        <v>2756</v>
      </c>
      <c r="B417" s="172" t="s">
        <v>1452</v>
      </c>
      <c r="C417" s="166" t="s">
        <v>155</v>
      </c>
      <c r="D417" s="166" t="s">
        <v>235</v>
      </c>
      <c r="E417" s="205" t="s">
        <v>1917</v>
      </c>
      <c r="F417" s="205"/>
      <c r="G417" s="205" t="str">
        <f>+VLOOKUP(Table_1[[#This Row],[Account]],BV_Data_An_Cour!$L:$Q,6,0)</f>
        <v>7-Dépenses</v>
      </c>
      <c r="H417" s="170"/>
    </row>
    <row r="418" spans="1:8" ht="15" hidden="1" customHeight="1">
      <c r="A418" s="582" t="s">
        <v>2657</v>
      </c>
      <c r="B418" s="582" t="s">
        <v>1347</v>
      </c>
      <c r="C418" s="166" t="s">
        <v>155</v>
      </c>
      <c r="D418" s="166" t="s">
        <v>242</v>
      </c>
      <c r="E418" s="205" t="s">
        <v>1917</v>
      </c>
      <c r="F418" s="205"/>
      <c r="G418" s="205" t="str">
        <f>+VLOOKUP(Table_1[[#This Row],[Account]],BV_Data_An_Cour!$L:$Q,6,0)</f>
        <v>7-Dépenses</v>
      </c>
      <c r="H418" s="170"/>
    </row>
    <row r="419" spans="1:8" ht="15" hidden="1" customHeight="1">
      <c r="A419" s="173" t="s">
        <v>2681</v>
      </c>
      <c r="B419" s="172" t="s">
        <v>1340</v>
      </c>
      <c r="C419" s="166" t="s">
        <v>155</v>
      </c>
      <c r="D419" s="166" t="s">
        <v>237</v>
      </c>
      <c r="E419" s="205" t="s">
        <v>1917</v>
      </c>
      <c r="F419" s="205"/>
      <c r="G419" s="205" t="str">
        <f>+VLOOKUP(Table_1[[#This Row],[Account]],BV_Data_An_Cour!$L:$Q,6,0)</f>
        <v>7-Dépenses</v>
      </c>
      <c r="H419" s="170"/>
    </row>
    <row r="420" spans="1:8" ht="15" hidden="1" customHeight="1">
      <c r="A420" s="579" t="s">
        <v>2663</v>
      </c>
      <c r="B420" s="578" t="s">
        <v>1274</v>
      </c>
      <c r="C420" s="166" t="s">
        <v>155</v>
      </c>
      <c r="D420" s="166" t="s">
        <v>239</v>
      </c>
      <c r="E420" s="205" t="s">
        <v>1917</v>
      </c>
      <c r="F420" s="205"/>
      <c r="G420" s="205" t="str">
        <f>+VLOOKUP(Table_1[[#This Row],[Account]],BV_Data_An_Cour!$L:$Q,6,0)</f>
        <v>7-Dépenses</v>
      </c>
      <c r="H420" s="170"/>
    </row>
    <row r="421" spans="1:8" ht="15" hidden="1" customHeight="1">
      <c r="A421" s="579" t="s">
        <v>2699</v>
      </c>
      <c r="B421" s="578" t="s">
        <v>1367</v>
      </c>
      <c r="C421" s="166" t="s">
        <v>155</v>
      </c>
      <c r="D421" s="166" t="s">
        <v>246</v>
      </c>
      <c r="E421" s="205" t="s">
        <v>1917</v>
      </c>
      <c r="F421" s="205"/>
      <c r="G421" s="205" t="str">
        <f>+VLOOKUP(Table_1[[#This Row],[Account]],BV_Data_An_Cour!$L:$Q,6,0)</f>
        <v>7-Dépenses</v>
      </c>
      <c r="H421" s="170"/>
    </row>
    <row r="422" spans="1:8" ht="15" hidden="1" customHeight="1">
      <c r="A422" s="582" t="s">
        <v>2627</v>
      </c>
      <c r="B422" s="582" t="s">
        <v>399</v>
      </c>
      <c r="C422" s="166" t="s">
        <v>171</v>
      </c>
      <c r="D422" s="166" t="s">
        <v>122</v>
      </c>
      <c r="E422" s="205" t="s">
        <v>1917</v>
      </c>
      <c r="F422" s="205"/>
      <c r="G422" s="205" t="str">
        <f>+VLOOKUP(Table_1[[#This Row],[Account]],BV_Data_An_Cour!$L:$Q,6,0)</f>
        <v>7-Dépenses</v>
      </c>
      <c r="H422" s="170"/>
    </row>
    <row r="423" spans="1:8" ht="15" hidden="1" customHeight="1">
      <c r="A423" s="579" t="s">
        <v>2369</v>
      </c>
      <c r="B423" s="578" t="s">
        <v>2368</v>
      </c>
      <c r="C423" s="166"/>
      <c r="D423" s="166"/>
      <c r="E423" s="205"/>
      <c r="F423" s="205"/>
      <c r="G423" s="205" t="str">
        <f>+VLOOKUP(Table_1[[#This Row],[Account]],BV_Data_An_Cour!$L:$Q,6,0)</f>
        <v>1-Mémo</v>
      </c>
      <c r="H423" s="170"/>
    </row>
    <row r="424" spans="1:8" ht="15" hidden="1" customHeight="1">
      <c r="A424" s="169" t="s">
        <v>2559</v>
      </c>
      <c r="B424" s="171" t="s">
        <v>1374</v>
      </c>
      <c r="C424" s="166" t="s">
        <v>171</v>
      </c>
      <c r="D424" s="166" t="s">
        <v>121</v>
      </c>
      <c r="E424" s="205" t="s">
        <v>1917</v>
      </c>
      <c r="F424" s="205"/>
      <c r="G424" s="205" t="str">
        <f>+VLOOKUP(Table_1[[#This Row],[Account]],BV_Data_An_Cour!$L:$Q,6,0)</f>
        <v>7-Dépenses</v>
      </c>
      <c r="H424" s="170"/>
    </row>
    <row r="425" spans="1:8" ht="15" hidden="1" customHeight="1">
      <c r="A425" s="180" t="s">
        <v>2371</v>
      </c>
      <c r="B425" s="181" t="s">
        <v>2370</v>
      </c>
      <c r="C425" s="166"/>
      <c r="D425" s="166"/>
      <c r="E425" s="205"/>
      <c r="F425" s="205"/>
      <c r="G425" s="205" t="str">
        <f>+VLOOKUP(Table_1[[#This Row],[Account]],BV_Data_An_Cour!$L:$Q,6,0)</f>
        <v>1-Mémo</v>
      </c>
      <c r="H425" s="170"/>
    </row>
    <row r="426" spans="1:8" ht="15" hidden="1" customHeight="1">
      <c r="A426" s="169" t="s">
        <v>2647</v>
      </c>
      <c r="B426" s="171" t="s">
        <v>1259</v>
      </c>
      <c r="C426" s="166" t="s">
        <v>171</v>
      </c>
      <c r="D426" s="166" t="s">
        <v>213</v>
      </c>
      <c r="E426" s="205" t="s">
        <v>1917</v>
      </c>
      <c r="F426" s="205"/>
      <c r="G426" s="205" t="str">
        <f>+VLOOKUP(Table_1[[#This Row],[Account]],BV_Data_An_Cour!$L:$Q,6,0)</f>
        <v>7-Dépenses</v>
      </c>
      <c r="H426" s="170"/>
    </row>
    <row r="427" spans="1:8" ht="15" hidden="1" customHeight="1">
      <c r="A427" s="579" t="s">
        <v>2625</v>
      </c>
      <c r="B427" s="578" t="s">
        <v>2624</v>
      </c>
      <c r="C427" s="166" t="s">
        <v>171</v>
      </c>
      <c r="D427" s="166" t="s">
        <v>112</v>
      </c>
      <c r="E427" s="205" t="s">
        <v>1917</v>
      </c>
      <c r="F427" s="205"/>
      <c r="G427" s="205" t="str">
        <f>+VLOOKUP(Table_1[[#This Row],[Account]],BV_Data_An_Cour!$L:$Q,6,0)</f>
        <v>7-Dépenses</v>
      </c>
      <c r="H427" s="170"/>
    </row>
    <row r="428" spans="1:8" ht="15" hidden="1" customHeight="1">
      <c r="A428" s="579" t="s">
        <v>2678</v>
      </c>
      <c r="B428" s="578" t="s">
        <v>1266</v>
      </c>
      <c r="C428" s="166" t="s">
        <v>171</v>
      </c>
      <c r="D428" s="166" t="s">
        <v>113</v>
      </c>
      <c r="E428" s="205" t="s">
        <v>1917</v>
      </c>
      <c r="F428" s="205"/>
      <c r="G428" s="205" t="str">
        <f>+VLOOKUP(Table_1[[#This Row],[Account]],BV_Data_An_Cour!$L:$Q,6,0)</f>
        <v>7-Dépenses</v>
      </c>
      <c r="H428" s="170"/>
    </row>
    <row r="429" spans="1:8" ht="15" hidden="1" customHeight="1">
      <c r="A429" s="579" t="s">
        <v>2734</v>
      </c>
      <c r="B429" s="578" t="s">
        <v>1249</v>
      </c>
      <c r="C429" s="166" t="s">
        <v>171</v>
      </c>
      <c r="D429" s="166" t="s">
        <v>114</v>
      </c>
      <c r="E429" s="205" t="s">
        <v>1917</v>
      </c>
      <c r="F429" s="205"/>
      <c r="G429" s="205" t="str">
        <f>+VLOOKUP(Table_1[[#This Row],[Account]],BV_Data_An_Cour!$L:$Q,6,0)</f>
        <v>7-Dépenses</v>
      </c>
      <c r="H429" s="170"/>
    </row>
    <row r="430" spans="1:8" ht="15" hidden="1" customHeight="1">
      <c r="A430" s="579" t="s">
        <v>2720</v>
      </c>
      <c r="B430" s="578" t="s">
        <v>1330</v>
      </c>
      <c r="C430" s="166" t="s">
        <v>171</v>
      </c>
      <c r="D430" s="166" t="s">
        <v>115</v>
      </c>
      <c r="E430" s="205" t="s">
        <v>1917</v>
      </c>
      <c r="F430" s="205"/>
      <c r="G430" s="205" t="str">
        <f>+VLOOKUP(Table_1[[#This Row],[Account]],BV_Data_An_Cour!$L:$Q,6,0)</f>
        <v>7-Dépenses</v>
      </c>
      <c r="H430" s="170"/>
    </row>
    <row r="431" spans="1:8" ht="15" customHeight="1">
      <c r="A431" s="577" t="s">
        <v>2640</v>
      </c>
      <c r="B431" s="582" t="s">
        <v>1211</v>
      </c>
      <c r="C431" s="166" t="s">
        <v>171</v>
      </c>
      <c r="D431" s="166" t="s">
        <v>116</v>
      </c>
      <c r="E431" s="205" t="s">
        <v>1917</v>
      </c>
      <c r="F431" s="205"/>
      <c r="G431" s="205" t="str">
        <f>+VLOOKUP(Table_1[[#This Row],[Account]],BV_Data_An_Cour!$L:$Q,6,0)</f>
        <v>7-Dépenses</v>
      </c>
      <c r="H431" s="170"/>
    </row>
    <row r="432" spans="1:8" ht="15" hidden="1" customHeight="1">
      <c r="A432" s="579" t="s">
        <v>2585</v>
      </c>
      <c r="B432" s="578" t="s">
        <v>1252</v>
      </c>
      <c r="C432" s="166" t="s">
        <v>171</v>
      </c>
      <c r="D432" s="166" t="s">
        <v>119</v>
      </c>
      <c r="E432" s="205" t="s">
        <v>1917</v>
      </c>
      <c r="F432" s="205"/>
      <c r="G432" s="205" t="e">
        <f>+VLOOKUP(Table_1[[#This Row],[Account]],BV_Data_An_Cour!$L:$Q,6,0)</f>
        <v>#N/A</v>
      </c>
      <c r="H432" s="170"/>
    </row>
    <row r="433" spans="1:8" ht="15" hidden="1" customHeight="1">
      <c r="A433" s="169" t="s">
        <v>2684</v>
      </c>
      <c r="B433" s="171" t="s">
        <v>1283</v>
      </c>
      <c r="C433" s="166" t="s">
        <v>171</v>
      </c>
      <c r="D433" s="166" t="s">
        <v>117</v>
      </c>
      <c r="E433" s="205" t="s">
        <v>1917</v>
      </c>
      <c r="F433" s="205"/>
      <c r="G433" s="205" t="str">
        <f>+VLOOKUP(Table_1[[#This Row],[Account]],BV_Data_An_Cour!$L:$Q,6,0)</f>
        <v>7-Dépenses</v>
      </c>
      <c r="H433" s="170"/>
    </row>
    <row r="434" spans="1:8" ht="15" hidden="1" customHeight="1">
      <c r="A434" s="579" t="s">
        <v>2693</v>
      </c>
      <c r="B434" s="578" t="s">
        <v>1305</v>
      </c>
      <c r="C434" s="166" t="s">
        <v>171</v>
      </c>
      <c r="D434" s="166" t="s">
        <v>118</v>
      </c>
      <c r="E434" s="205" t="s">
        <v>1917</v>
      </c>
      <c r="F434" s="205"/>
      <c r="G434" s="205" t="str">
        <f>+VLOOKUP(Table_1[[#This Row],[Account]],BV_Data_An_Cour!$L:$Q,6,0)</f>
        <v>7-Dépenses</v>
      </c>
      <c r="H434" s="170"/>
    </row>
    <row r="435" spans="1:8" ht="15" hidden="1" customHeight="1">
      <c r="A435" s="169" t="s">
        <v>2373</v>
      </c>
      <c r="B435" s="171" t="s">
        <v>2372</v>
      </c>
      <c r="C435" s="166"/>
      <c r="D435" s="166"/>
      <c r="E435" s="205" t="s">
        <v>1917</v>
      </c>
      <c r="F435" s="205"/>
      <c r="G435" s="205" t="str">
        <f>+VLOOKUP(Table_1[[#This Row],[Account]],BV_Data_An_Cour!$L:$Q,6,0)</f>
        <v>1-Mémo</v>
      </c>
      <c r="H435" s="170"/>
    </row>
    <row r="436" spans="1:8" ht="15" hidden="1" customHeight="1">
      <c r="A436" s="173" t="s">
        <v>2562</v>
      </c>
      <c r="B436" s="172" t="s">
        <v>1157</v>
      </c>
      <c r="C436" s="166" t="s">
        <v>171</v>
      </c>
      <c r="D436" s="166" t="s">
        <v>127</v>
      </c>
      <c r="E436" s="205" t="s">
        <v>1917</v>
      </c>
      <c r="F436" s="205"/>
      <c r="G436" s="205" t="e">
        <f>+VLOOKUP(Table_1[[#This Row],[Account]],BV_Data_An_Cour!$L:$Q,6,0)</f>
        <v>#N/A</v>
      </c>
      <c r="H436" s="170"/>
    </row>
    <row r="437" spans="1:8" ht="15" hidden="1" customHeight="1">
      <c r="A437" s="180" t="s">
        <v>2468</v>
      </c>
      <c r="B437" s="181" t="s">
        <v>1196</v>
      </c>
      <c r="C437" s="166" t="s">
        <v>171</v>
      </c>
      <c r="D437" s="166" t="s">
        <v>128</v>
      </c>
      <c r="E437" s="205" t="s">
        <v>1917</v>
      </c>
      <c r="F437" s="205"/>
      <c r="G437" s="205" t="e">
        <f>+VLOOKUP(Table_1[[#This Row],[Account]],BV_Data_An_Cour!$L:$Q,6,0)</f>
        <v>#N/A</v>
      </c>
      <c r="H437" s="170"/>
    </row>
    <row r="438" spans="1:8" ht="15" hidden="1" customHeight="1">
      <c r="A438" s="173" t="s">
        <v>2560</v>
      </c>
      <c r="B438" s="172" t="s">
        <v>934</v>
      </c>
      <c r="C438" s="166" t="s">
        <v>171</v>
      </c>
      <c r="D438" s="166" t="s">
        <v>133</v>
      </c>
      <c r="E438" s="205" t="s">
        <v>1917</v>
      </c>
      <c r="F438" s="205"/>
      <c r="G438" s="205" t="str">
        <f>+VLOOKUP(Table_1[[#This Row],[Account]],BV_Data_An_Cour!$L:$Q,6,0)</f>
        <v>7-Dépenses</v>
      </c>
      <c r="H438" s="170"/>
    </row>
    <row r="439" spans="1:8" ht="15" hidden="1" customHeight="1">
      <c r="A439" s="579" t="s">
        <v>2654</v>
      </c>
      <c r="B439" s="578" t="s">
        <v>1186</v>
      </c>
      <c r="C439" s="166" t="s">
        <v>171</v>
      </c>
      <c r="D439" s="166" t="s">
        <v>123</v>
      </c>
      <c r="E439" s="205" t="s">
        <v>1917</v>
      </c>
      <c r="F439" s="205"/>
      <c r="G439" s="205" t="str">
        <f>+VLOOKUP(Table_1[[#This Row],[Account]],BV_Data_An_Cour!$L:$Q,6,0)</f>
        <v>7-Dépenses</v>
      </c>
      <c r="H439" s="170"/>
    </row>
    <row r="440" spans="1:8" ht="15" hidden="1" customHeight="1">
      <c r="A440" s="577" t="s">
        <v>2580</v>
      </c>
      <c r="B440" s="582" t="s">
        <v>1180</v>
      </c>
      <c r="C440" s="166" t="s">
        <v>171</v>
      </c>
      <c r="D440" s="166" t="s">
        <v>131</v>
      </c>
      <c r="E440" s="205" t="s">
        <v>1917</v>
      </c>
      <c r="F440" s="205"/>
      <c r="G440" s="205" t="str">
        <f>+VLOOKUP(Table_1[[#This Row],[Account]],BV_Data_An_Cour!$L:$Q,6,0)</f>
        <v>7-Dépenses</v>
      </c>
      <c r="H440" s="170"/>
    </row>
    <row r="441" spans="1:8" ht="15" hidden="1" customHeight="1">
      <c r="A441" s="577" t="s">
        <v>2375</v>
      </c>
      <c r="B441" s="582" t="s">
        <v>2374</v>
      </c>
      <c r="C441" s="166"/>
      <c r="D441" s="166"/>
      <c r="E441" s="205"/>
      <c r="G441" s="162" t="str">
        <f>+VLOOKUP(Table_1[[#This Row],[Account]],BV_Data_An_Cour!$L:$Q,6,0)</f>
        <v>1-Mémo</v>
      </c>
      <c r="H441" s="170"/>
    </row>
    <row r="442" spans="1:8" ht="15" hidden="1" customHeight="1">
      <c r="A442" s="169" t="s">
        <v>2701</v>
      </c>
      <c r="B442" s="171" t="s">
        <v>1286</v>
      </c>
      <c r="C442" s="166" t="s">
        <v>171</v>
      </c>
      <c r="D442" s="166" t="s">
        <v>124</v>
      </c>
      <c r="E442" s="205" t="s">
        <v>1917</v>
      </c>
      <c r="F442" s="205"/>
      <c r="G442" s="205" t="str">
        <f>+VLOOKUP(Table_1[[#This Row],[Account]],BV_Data_An_Cour!$L:$Q,6,0)</f>
        <v>7-Dépenses</v>
      </c>
      <c r="H442" s="170"/>
    </row>
    <row r="443" spans="1:8" ht="15" hidden="1" customHeight="1">
      <c r="A443" s="178" t="s">
        <v>2587</v>
      </c>
      <c r="B443" s="179" t="s">
        <v>1206</v>
      </c>
      <c r="C443" s="166" t="s">
        <v>171</v>
      </c>
      <c r="D443" s="166" t="s">
        <v>129</v>
      </c>
      <c r="E443" s="205" t="s">
        <v>1917</v>
      </c>
      <c r="G443" s="162" t="str">
        <f>+VLOOKUP(Table_1[[#This Row],[Account]],BV_Data_An_Cour!$L:$Q,6,0)</f>
        <v>7-Dépenses</v>
      </c>
      <c r="H443" s="170"/>
    </row>
    <row r="444" spans="1:8" ht="15" hidden="1" customHeight="1">
      <c r="A444" s="169" t="s">
        <v>2591</v>
      </c>
      <c r="B444" s="583" t="s">
        <v>1154</v>
      </c>
      <c r="C444" s="166" t="s">
        <v>171</v>
      </c>
      <c r="D444" s="166" t="s">
        <v>130</v>
      </c>
      <c r="E444" s="205" t="s">
        <v>1917</v>
      </c>
      <c r="F444" s="205"/>
      <c r="G444" s="205" t="str">
        <f>+VLOOKUP(Table_1[[#This Row],[Account]],BV_Data_An_Cour!$L:$Q,6,0)</f>
        <v>7-Dépenses</v>
      </c>
      <c r="H444" s="170"/>
    </row>
    <row r="445" spans="1:8" ht="15" hidden="1" customHeight="1">
      <c r="A445" s="576" t="s">
        <v>2636</v>
      </c>
      <c r="B445" s="584" t="s">
        <v>1237</v>
      </c>
      <c r="C445" s="166" t="s">
        <v>171</v>
      </c>
      <c r="D445" s="166" t="s">
        <v>132</v>
      </c>
      <c r="E445" s="205" t="s">
        <v>1917</v>
      </c>
      <c r="G445" s="162" t="str">
        <f>+VLOOKUP(Table_1[[#This Row],[Account]],BV_Data_An_Cour!$L:$Q,6,0)</f>
        <v>7-Dépenses</v>
      </c>
      <c r="H445" s="170"/>
    </row>
    <row r="446" spans="1:8" ht="15" hidden="1" customHeight="1">
      <c r="A446" s="576" t="s">
        <v>2469</v>
      </c>
      <c r="B446" s="584" t="s">
        <v>1217</v>
      </c>
      <c r="C446" s="166" t="s">
        <v>171</v>
      </c>
      <c r="D446" s="166" t="s">
        <v>125</v>
      </c>
      <c r="E446" s="205" t="s">
        <v>1917</v>
      </c>
      <c r="F446" s="205"/>
      <c r="G446" s="205" t="str">
        <f>+VLOOKUP(Table_1[[#This Row],[Account]],BV_Data_An_Cour!$L:$Q,6,0)</f>
        <v>7-Dépenses</v>
      </c>
      <c r="H446" s="170"/>
    </row>
    <row r="447" spans="1:8" ht="15" hidden="1" customHeight="1">
      <c r="A447" s="178" t="s">
        <v>2661</v>
      </c>
      <c r="B447" s="179" t="s">
        <v>1308</v>
      </c>
      <c r="C447" s="166" t="s">
        <v>171</v>
      </c>
      <c r="D447" s="166" t="s">
        <v>126</v>
      </c>
      <c r="E447" s="205" t="s">
        <v>1917</v>
      </c>
      <c r="G447" s="162" t="str">
        <f>+VLOOKUP(Table_1[[#This Row],[Account]],BV_Data_An_Cour!$L:$Q,6,0)</f>
        <v>7-Dépenses</v>
      </c>
      <c r="H447" s="170"/>
    </row>
    <row r="448" spans="1:8" ht="15" hidden="1" customHeight="1">
      <c r="A448" s="169" t="s">
        <v>2652</v>
      </c>
      <c r="B448" s="171" t="s">
        <v>1333</v>
      </c>
      <c r="C448" s="166" t="s">
        <v>171</v>
      </c>
      <c r="D448" s="166" t="s">
        <v>260</v>
      </c>
      <c r="E448" s="205" t="s">
        <v>1917</v>
      </c>
      <c r="F448" s="205"/>
      <c r="G448" s="205" t="str">
        <f>+VLOOKUP(Table_1[[#This Row],[Account]],BV_Data_An_Cour!$L:$Q,6,0)</f>
        <v>7-Dépenses</v>
      </c>
      <c r="H448" s="170"/>
    </row>
    <row r="449" spans="1:29" ht="15" hidden="1" customHeight="1">
      <c r="A449" s="178" t="s">
        <v>2471</v>
      </c>
      <c r="B449" s="179" t="s">
        <v>936</v>
      </c>
      <c r="C449" s="166" t="s">
        <v>171</v>
      </c>
      <c r="D449" s="166" t="s">
        <v>250</v>
      </c>
      <c r="E449" s="205" t="s">
        <v>1917</v>
      </c>
      <c r="F449" s="205"/>
      <c r="G449" s="205" t="e">
        <f>+VLOOKUP(Table_1[[#This Row],[Account]],BV_Data_An_Cour!$L:$Q,6,0)</f>
        <v>#N/A</v>
      </c>
      <c r="H449" s="170"/>
    </row>
    <row r="450" spans="1:29" ht="15" hidden="1" customHeight="1">
      <c r="A450" s="179" t="s">
        <v>2377</v>
      </c>
      <c r="B450" s="179" t="s">
        <v>2376</v>
      </c>
      <c r="C450" s="166" t="s">
        <v>171</v>
      </c>
      <c r="D450" s="166" t="s">
        <v>248</v>
      </c>
      <c r="E450" s="205" t="s">
        <v>1917</v>
      </c>
      <c r="F450" s="205"/>
      <c r="G450" s="205" t="str">
        <f>+VLOOKUP(Table_1[[#This Row],[Account]],BV_Data_An_Cour!$L:$Q,6,0)</f>
        <v>1-Mémo</v>
      </c>
      <c r="H450" s="170"/>
    </row>
    <row r="451" spans="1:29" ht="15" hidden="1" customHeight="1">
      <c r="A451" s="169" t="s">
        <v>2603</v>
      </c>
      <c r="B451" s="171" t="s">
        <v>1244</v>
      </c>
      <c r="C451" s="166" t="s">
        <v>171</v>
      </c>
      <c r="D451" s="166" t="s">
        <v>244</v>
      </c>
      <c r="E451" s="205" t="s">
        <v>1917</v>
      </c>
      <c r="F451" s="205"/>
      <c r="G451" s="205" t="str">
        <f>+VLOOKUP(Table_1[[#This Row],[Account]],BV_Data_An_Cour!$L:$Q,6,0)</f>
        <v>7-Dépenses</v>
      </c>
      <c r="H451" s="170"/>
    </row>
    <row r="452" spans="1:29" ht="15" hidden="1" customHeight="1">
      <c r="A452" s="576" t="s">
        <v>2708</v>
      </c>
      <c r="B452" s="584" t="s">
        <v>1398</v>
      </c>
      <c r="C452" s="166" t="s">
        <v>171</v>
      </c>
      <c r="D452" s="166" t="s">
        <v>235</v>
      </c>
      <c r="E452" s="205" t="s">
        <v>1917</v>
      </c>
      <c r="F452" s="205"/>
      <c r="G452" s="205" t="str">
        <f>+VLOOKUP(Table_1[[#This Row],[Account]],BV_Data_An_Cour!$L:$Q,6,0)</f>
        <v>7-Dépenses</v>
      </c>
      <c r="H452" s="170"/>
    </row>
    <row r="453" spans="1:29" ht="15" hidden="1" customHeight="1">
      <c r="A453" s="171" t="s">
        <v>2593</v>
      </c>
      <c r="B453" s="171" t="s">
        <v>1255</v>
      </c>
      <c r="C453" s="166" t="s">
        <v>171</v>
      </c>
      <c r="D453" s="166" t="s">
        <v>242</v>
      </c>
      <c r="E453" s="205" t="s">
        <v>1917</v>
      </c>
      <c r="F453" s="205"/>
      <c r="G453" s="205" t="str">
        <f>+VLOOKUP(Table_1[[#This Row],[Account]],BV_Data_An_Cour!$L:$Q,6,0)</f>
        <v>7-Dépenses</v>
      </c>
      <c r="H453" s="170"/>
    </row>
    <row r="454" spans="1:29" ht="15" hidden="1" customHeight="1">
      <c r="A454" s="171" t="s">
        <v>2613</v>
      </c>
      <c r="B454" s="171" t="s">
        <v>1264</v>
      </c>
      <c r="C454" s="166" t="s">
        <v>171</v>
      </c>
      <c r="D454" s="166" t="s">
        <v>237</v>
      </c>
      <c r="E454" s="205" t="s">
        <v>1917</v>
      </c>
      <c r="F454" s="205"/>
      <c r="G454" s="205" t="str">
        <f>+VLOOKUP(Table_1[[#This Row],[Account]],BV_Data_An_Cour!$L:$Q,6,0)</f>
        <v>7-Dépenses</v>
      </c>
      <c r="H454" s="170"/>
    </row>
    <row r="455" spans="1:29" ht="15" hidden="1" customHeight="1">
      <c r="A455" s="178" t="s">
        <v>2596</v>
      </c>
      <c r="B455" s="179" t="s">
        <v>1225</v>
      </c>
      <c r="C455" s="166" t="s">
        <v>171</v>
      </c>
      <c r="D455" s="166" t="s">
        <v>239</v>
      </c>
      <c r="E455" s="205" t="s">
        <v>1917</v>
      </c>
      <c r="F455" s="205"/>
      <c r="G455" s="205" t="str">
        <f>+VLOOKUP(Table_1[[#This Row],[Account]],BV_Data_An_Cour!$L:$Q,6,0)</f>
        <v>7-Dépenses</v>
      </c>
      <c r="H455" s="170"/>
    </row>
    <row r="456" spans="1:29" ht="15" hidden="1" customHeight="1">
      <c r="A456" s="178" t="s">
        <v>2634</v>
      </c>
      <c r="B456" s="179" t="s">
        <v>1271</v>
      </c>
      <c r="C456" s="166" t="s">
        <v>171</v>
      </c>
      <c r="D456" s="166" t="s">
        <v>246</v>
      </c>
      <c r="E456" s="205" t="s">
        <v>1917</v>
      </c>
      <c r="F456" s="205"/>
      <c r="G456" s="205" t="str">
        <f>+VLOOKUP(Table_1[[#This Row],[Account]],BV_Data_An_Cour!$L:$Q,6,0)</f>
        <v>7-Dépenses</v>
      </c>
      <c r="H456" s="170"/>
    </row>
    <row r="457" spans="1:29" ht="15" hidden="1" customHeight="1">
      <c r="A457" s="171" t="s">
        <v>2379</v>
      </c>
      <c r="B457" s="171" t="s">
        <v>2378</v>
      </c>
      <c r="C457" s="567"/>
      <c r="D457" s="567"/>
      <c r="E457" s="205"/>
      <c r="F457" s="205"/>
      <c r="G457" s="205" t="str">
        <f>+VLOOKUP(Table_1[[#This Row],[Account]],BV_Data_An_Cour!$L:$Q,6,0)</f>
        <v>1-Mémo</v>
      </c>
      <c r="H457" s="170"/>
    </row>
    <row r="458" spans="1:29" ht="15" hidden="1" customHeight="1">
      <c r="A458" s="576" t="s">
        <v>2381</v>
      </c>
      <c r="B458" s="584" t="s">
        <v>2380</v>
      </c>
      <c r="C458" s="567"/>
      <c r="D458" s="567"/>
      <c r="E458" s="205"/>
      <c r="G458" s="162" t="str">
        <f>+VLOOKUP(Table_1[[#This Row],[Account]],BV_Data_An_Cour!$L:$Q,6,0)</f>
        <v>1-Mémo</v>
      </c>
      <c r="H458" s="170"/>
    </row>
    <row r="459" spans="1:29" ht="15" hidden="1" customHeight="1">
      <c r="A459" s="169" t="s">
        <v>2383</v>
      </c>
      <c r="B459" s="171" t="s">
        <v>2382</v>
      </c>
      <c r="C459" s="166"/>
      <c r="D459" s="166"/>
      <c r="E459" s="205"/>
      <c r="F459" s="205"/>
      <c r="G459" s="205" t="str">
        <f>+VLOOKUP(Table_1[[#This Row],[Account]],BV_Data_An_Cour!$L:$Q,6,0)</f>
        <v>1-Mémo</v>
      </c>
      <c r="H459" s="170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9" t="s">
        <v>2385</v>
      </c>
      <c r="B460" s="171" t="s">
        <v>2384</v>
      </c>
      <c r="C460" s="166"/>
      <c r="D460" s="166"/>
      <c r="E460" s="205"/>
      <c r="F460" s="205"/>
      <c r="G460" s="205" t="str">
        <f>+VLOOKUP(Table_1[[#This Row],[Account]],BV_Data_An_Cour!$L:$Q,6,0)</f>
        <v>1-Mémo</v>
      </c>
      <c r="H460" s="170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576" t="s">
        <v>2472</v>
      </c>
      <c r="B461" s="584" t="s">
        <v>399</v>
      </c>
      <c r="C461" s="166" t="s">
        <v>175</v>
      </c>
      <c r="D461" s="166" t="s">
        <v>122</v>
      </c>
      <c r="E461" s="205" t="s">
        <v>1917</v>
      </c>
      <c r="F461" s="205"/>
      <c r="G461" s="205" t="str">
        <f>+VLOOKUP(Table_1[[#This Row],[Account]],BV_Data_An_Cour!$L:$Q,6,0)</f>
        <v>7-Dépenses</v>
      </c>
      <c r="H461" s="170"/>
    </row>
    <row r="462" spans="1:29" ht="15" hidden="1" customHeight="1">
      <c r="A462" s="169" t="s">
        <v>2473</v>
      </c>
      <c r="B462" s="171" t="s">
        <v>1391</v>
      </c>
      <c r="C462" s="166" t="s">
        <v>175</v>
      </c>
      <c r="D462" s="166" t="s">
        <v>122</v>
      </c>
      <c r="E462" s="205" t="s">
        <v>1917</v>
      </c>
      <c r="F462" s="205"/>
      <c r="G462" s="205" t="e">
        <f>+VLOOKUP(Table_1[[#This Row],[Account]],BV_Data_An_Cour!$L:$Q,6,0)</f>
        <v>#N/A</v>
      </c>
      <c r="H462" s="170"/>
    </row>
    <row r="463" spans="1:29" ht="15" hidden="1" customHeight="1">
      <c r="A463" s="171" t="s">
        <v>2675</v>
      </c>
      <c r="B463" s="583" t="s">
        <v>1374</v>
      </c>
      <c r="C463" s="166" t="s">
        <v>175</v>
      </c>
      <c r="D463" s="166" t="s">
        <v>121</v>
      </c>
      <c r="E463" s="205" t="s">
        <v>1917</v>
      </c>
      <c r="F463" s="205"/>
      <c r="G463" s="205" t="str">
        <f>+VLOOKUP(Table_1[[#This Row],[Account]],BV_Data_An_Cour!$L:$Q,6,0)</f>
        <v>7-Dépenses</v>
      </c>
      <c r="H463" s="170"/>
    </row>
    <row r="464" spans="1:29" ht="15" hidden="1" customHeight="1">
      <c r="A464" s="178" t="s">
        <v>2715</v>
      </c>
      <c r="B464" s="179" t="s">
        <v>1357</v>
      </c>
      <c r="C464" s="166" t="s">
        <v>175</v>
      </c>
      <c r="D464" s="166" t="s">
        <v>213</v>
      </c>
      <c r="E464" s="205" t="s">
        <v>1917</v>
      </c>
      <c r="F464" s="205"/>
      <c r="G464" s="205" t="str">
        <f>+VLOOKUP(Table_1[[#This Row],[Account]],BV_Data_An_Cour!$L:$Q,6,0)</f>
        <v>7-Dépenses</v>
      </c>
      <c r="H464" s="170"/>
    </row>
    <row r="465" spans="1:29" ht="15" hidden="1" customHeight="1">
      <c r="A465" s="171" t="s">
        <v>2765</v>
      </c>
      <c r="B465" s="583" t="s">
        <v>2624</v>
      </c>
      <c r="C465" s="166" t="s">
        <v>175</v>
      </c>
      <c r="D465" s="166" t="s">
        <v>112</v>
      </c>
      <c r="E465" s="205" t="s">
        <v>1917</v>
      </c>
      <c r="F465" s="205"/>
      <c r="G465" s="205" t="str">
        <f>+VLOOKUP(Table_1[[#This Row],[Account]],BV_Data_An_Cour!$L:$Q,6,0)</f>
        <v>7-Dépenses</v>
      </c>
      <c r="H465" s="170"/>
    </row>
    <row r="466" spans="1:29" ht="15" hidden="1" customHeight="1">
      <c r="A466" s="576" t="s">
        <v>2731</v>
      </c>
      <c r="B466" s="584" t="s">
        <v>1342</v>
      </c>
      <c r="C466" s="166" t="s">
        <v>175</v>
      </c>
      <c r="D466" s="166" t="s">
        <v>113</v>
      </c>
      <c r="E466" s="205" t="s">
        <v>1917</v>
      </c>
      <c r="F466" s="205"/>
      <c r="G466" s="205" t="str">
        <f>+VLOOKUP(Table_1[[#This Row],[Account]],BV_Data_An_Cour!$L:$Q,6,0)</f>
        <v>7-Dépenses</v>
      </c>
      <c r="H466" s="170"/>
      <c r="K466" s="2"/>
    </row>
    <row r="467" spans="1:29" ht="15" hidden="1" customHeight="1">
      <c r="A467" s="169" t="s">
        <v>2800</v>
      </c>
      <c r="B467" s="171" t="s">
        <v>1249</v>
      </c>
      <c r="C467" s="166" t="s">
        <v>175</v>
      </c>
      <c r="D467" s="166" t="s">
        <v>114</v>
      </c>
      <c r="E467" s="205" t="s">
        <v>1917</v>
      </c>
      <c r="F467" s="205"/>
      <c r="G467" s="205" t="str">
        <f>+VLOOKUP(Table_1[[#This Row],[Account]],BV_Data_An_Cour!$L:$Q,6,0)</f>
        <v>7-Dépenses</v>
      </c>
      <c r="H467" s="170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78" t="s">
        <v>2722</v>
      </c>
      <c r="B468" s="179" t="s">
        <v>1328</v>
      </c>
      <c r="C468" s="166" t="s">
        <v>175</v>
      </c>
      <c r="D468" s="166" t="s">
        <v>116</v>
      </c>
      <c r="E468" s="205" t="s">
        <v>1917</v>
      </c>
      <c r="F468" s="205"/>
      <c r="G468" s="205" t="str">
        <f>+VLOOKUP(Table_1[[#This Row],[Account]],BV_Data_An_Cour!$L:$Q,6,0)</f>
        <v>7-Dépenses</v>
      </c>
      <c r="H468" s="170"/>
    </row>
    <row r="469" spans="1:29" ht="15" hidden="1" customHeight="1">
      <c r="A469" s="169" t="s">
        <v>2667</v>
      </c>
      <c r="B469" s="171" t="s">
        <v>1252</v>
      </c>
      <c r="C469" s="166" t="s">
        <v>175</v>
      </c>
      <c r="D469" s="166" t="s">
        <v>116</v>
      </c>
      <c r="E469" s="205" t="s">
        <v>1917</v>
      </c>
      <c r="F469" s="205"/>
      <c r="G469" s="205" t="e">
        <f>+VLOOKUP(Table_1[[#This Row],[Account]],BV_Data_An_Cour!$L:$Q,6,0)</f>
        <v>#N/A</v>
      </c>
      <c r="H469" s="170"/>
    </row>
    <row r="470" spans="1:29" ht="15" hidden="1" customHeight="1">
      <c r="A470" s="178" t="s">
        <v>2733</v>
      </c>
      <c r="B470" s="179" t="s">
        <v>1283</v>
      </c>
      <c r="C470" s="166" t="s">
        <v>175</v>
      </c>
      <c r="D470" s="166" t="s">
        <v>119</v>
      </c>
      <c r="E470" s="205" t="s">
        <v>1917</v>
      </c>
      <c r="F470" s="205"/>
      <c r="G470" s="205" t="str">
        <f>+VLOOKUP(Table_1[[#This Row],[Account]],BV_Data_An_Cour!$L:$Q,6,0)</f>
        <v>7-Dépenses</v>
      </c>
      <c r="H470" s="170"/>
    </row>
    <row r="471" spans="1:29" ht="15" hidden="1" customHeight="1">
      <c r="A471" s="169" t="s">
        <v>2578</v>
      </c>
      <c r="B471" s="171" t="s">
        <v>1164</v>
      </c>
      <c r="C471" s="166" t="s">
        <v>175</v>
      </c>
      <c r="D471" s="166" t="s">
        <v>117</v>
      </c>
      <c r="E471" s="205" t="s">
        <v>1917</v>
      </c>
      <c r="F471" s="205"/>
      <c r="G471" s="205" t="str">
        <f>+VLOOKUP(Table_1[[#This Row],[Account]],BV_Data_An_Cour!$L:$Q,6,0)</f>
        <v>7-Dépenses</v>
      </c>
      <c r="H471" s="170"/>
    </row>
    <row r="472" spans="1:29" ht="15" hidden="1" customHeight="1">
      <c r="A472" s="178" t="s">
        <v>2744</v>
      </c>
      <c r="B472" s="179" t="s">
        <v>1305</v>
      </c>
      <c r="C472" s="166" t="s">
        <v>175</v>
      </c>
      <c r="D472" s="166" t="s">
        <v>118</v>
      </c>
      <c r="E472" s="205" t="s">
        <v>1917</v>
      </c>
      <c r="F472" s="205"/>
      <c r="G472" s="205" t="str">
        <f>+VLOOKUP(Table_1[[#This Row],[Account]],BV_Data_An_Cour!$L:$Q,6,0)</f>
        <v>7-Dépenses</v>
      </c>
      <c r="H472" s="170"/>
    </row>
    <row r="473" spans="1:29" ht="15" hidden="1" customHeight="1">
      <c r="A473" s="169" t="s">
        <v>2598</v>
      </c>
      <c r="B473" s="171" t="s">
        <v>1157</v>
      </c>
      <c r="C473" s="166" t="s">
        <v>175</v>
      </c>
      <c r="D473" s="166" t="s">
        <v>127</v>
      </c>
      <c r="E473" s="205" t="s">
        <v>1917</v>
      </c>
      <c r="F473" s="205"/>
      <c r="G473" s="205" t="str">
        <f>+VLOOKUP(Table_1[[#This Row],[Account]],BV_Data_An_Cour!$L:$Q,6,0)</f>
        <v>7-Dépenses</v>
      </c>
      <c r="H473" s="170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hidden="1" customHeight="1">
      <c r="A474" s="178" t="s">
        <v>2474</v>
      </c>
      <c r="B474" s="179" t="s">
        <v>932</v>
      </c>
      <c r="C474" s="166" t="s">
        <v>175</v>
      </c>
      <c r="D474" s="166" t="s">
        <v>128</v>
      </c>
      <c r="E474" s="205" t="s">
        <v>1917</v>
      </c>
      <c r="F474" s="205"/>
      <c r="G474" s="205" t="e">
        <f>+VLOOKUP(Table_1[[#This Row],[Account]],BV_Data_An_Cour!$L:$Q,6,0)</f>
        <v>#N/A</v>
      </c>
      <c r="H474" s="170"/>
      <c r="K474" s="2"/>
    </row>
    <row r="475" spans="1:29" ht="15" hidden="1" customHeight="1">
      <c r="A475" s="169" t="s">
        <v>2573</v>
      </c>
      <c r="B475" s="171" t="s">
        <v>934</v>
      </c>
      <c r="C475" s="166" t="s">
        <v>175</v>
      </c>
      <c r="D475" s="166" t="s">
        <v>133</v>
      </c>
      <c r="E475" s="205" t="s">
        <v>1917</v>
      </c>
      <c r="F475" s="205"/>
      <c r="G475" s="205" t="str">
        <f>+VLOOKUP(Table_1[[#This Row],[Account]],BV_Data_An_Cour!$L:$Q,6,0)</f>
        <v>7-Dépenses</v>
      </c>
      <c r="H475" s="170"/>
    </row>
    <row r="476" spans="1:29" ht="15" hidden="1" customHeight="1">
      <c r="A476" s="178" t="s">
        <v>2631</v>
      </c>
      <c r="B476" s="179" t="s">
        <v>1186</v>
      </c>
      <c r="C476" s="166" t="s">
        <v>175</v>
      </c>
      <c r="D476" s="166" t="s">
        <v>123</v>
      </c>
      <c r="E476" s="205" t="s">
        <v>1917</v>
      </c>
      <c r="F476" s="205"/>
      <c r="G476" s="205" t="str">
        <f>+VLOOKUP(Table_1[[#This Row],[Account]],BV_Data_An_Cour!$L:$Q,6,0)</f>
        <v>7-Dépenses</v>
      </c>
      <c r="H476" s="170"/>
    </row>
    <row r="477" spans="1:29" ht="15" hidden="1" customHeight="1">
      <c r="A477" s="165" t="s">
        <v>2610</v>
      </c>
      <c r="B477" s="165" t="s">
        <v>1180</v>
      </c>
      <c r="C477" s="166" t="s">
        <v>175</v>
      </c>
      <c r="D477" s="166" t="s">
        <v>131</v>
      </c>
      <c r="E477" s="205" t="s">
        <v>1917</v>
      </c>
      <c r="F477" s="170"/>
      <c r="G477" s="205" t="str">
        <f>+VLOOKUP(Table_1[[#This Row],[Account]],BV_Data_An_Cour!$L:$Q,6,0)</f>
        <v>7-Dépenses</v>
      </c>
      <c r="H477" s="170"/>
    </row>
    <row r="478" spans="1:29" ht="15" hidden="1" customHeight="1">
      <c r="A478" s="164" t="s">
        <v>2739</v>
      </c>
      <c r="B478" s="165" t="s">
        <v>1286</v>
      </c>
      <c r="C478" s="166" t="s">
        <v>175</v>
      </c>
      <c r="D478" s="166" t="s">
        <v>124</v>
      </c>
      <c r="E478" s="205" t="s">
        <v>1917</v>
      </c>
      <c r="F478" s="170"/>
      <c r="G478" s="205" t="str">
        <f>+VLOOKUP(Table_1[[#This Row],[Account]],BV_Data_An_Cour!$L:$Q,6,0)</f>
        <v>7-Dépenses</v>
      </c>
      <c r="H478" s="170"/>
    </row>
    <row r="479" spans="1:29" ht="15" hidden="1" customHeight="1">
      <c r="A479" s="164" t="s">
        <v>2646</v>
      </c>
      <c r="B479" s="165" t="s">
        <v>1206</v>
      </c>
      <c r="C479" s="166" t="s">
        <v>175</v>
      </c>
      <c r="D479" s="166" t="s">
        <v>129</v>
      </c>
      <c r="E479" s="205" t="s">
        <v>1917</v>
      </c>
      <c r="F479" s="170"/>
      <c r="G479" s="205" t="str">
        <f>+VLOOKUP(Table_1[[#This Row],[Account]],BV_Data_An_Cour!$L:$Q,6,0)</f>
        <v>7-Dépenses</v>
      </c>
      <c r="H479" s="167"/>
    </row>
    <row r="480" spans="1:29" ht="15" hidden="1" customHeight="1">
      <c r="A480" s="164" t="s">
        <v>2630</v>
      </c>
      <c r="B480" s="165" t="s">
        <v>1154</v>
      </c>
      <c r="C480" s="166" t="s">
        <v>175</v>
      </c>
      <c r="D480" s="166" t="s">
        <v>130</v>
      </c>
      <c r="E480" s="205" t="s">
        <v>1917</v>
      </c>
      <c r="F480" s="170"/>
      <c r="G480" s="205" t="str">
        <f>+VLOOKUP(Table_1[[#This Row],[Account]],BV_Data_An_Cour!$L:$Q,6,0)</f>
        <v>7-Dépenses</v>
      </c>
      <c r="H480" s="170"/>
    </row>
    <row r="481" spans="1:29" ht="15" hidden="1" customHeight="1">
      <c r="A481" s="602" t="s">
        <v>2704</v>
      </c>
      <c r="B481" s="185" t="s">
        <v>1237</v>
      </c>
      <c r="C481" s="166" t="s">
        <v>175</v>
      </c>
      <c r="D481" s="166" t="s">
        <v>132</v>
      </c>
      <c r="E481" s="205" t="s">
        <v>1917</v>
      </c>
      <c r="F481" s="170"/>
      <c r="G481" s="205" t="str">
        <f>+VLOOKUP(Table_1[[#This Row],[Account]],BV_Data_An_Cour!$L:$Q,6,0)</f>
        <v>7-Dépenses</v>
      </c>
      <c r="H481" s="170"/>
    </row>
    <row r="482" spans="1:29" ht="15" hidden="1" customHeight="1">
      <c r="A482" s="164" t="s">
        <v>2475</v>
      </c>
      <c r="B482" s="165" t="s">
        <v>1294</v>
      </c>
      <c r="C482" s="166" t="s">
        <v>175</v>
      </c>
      <c r="D482" s="166" t="s">
        <v>125</v>
      </c>
      <c r="E482" s="205" t="s">
        <v>1917</v>
      </c>
      <c r="F482" s="170"/>
      <c r="G482" s="205" t="str">
        <f>+VLOOKUP(Table_1[[#This Row],[Account]],BV_Data_An_Cour!$L:$Q,6,0)</f>
        <v>7-Dépenses</v>
      </c>
      <c r="H482" s="170"/>
    </row>
    <row r="483" spans="1:29" ht="15" hidden="1" customHeight="1">
      <c r="A483" s="164" t="s">
        <v>2775</v>
      </c>
      <c r="B483" s="165" t="s">
        <v>1308</v>
      </c>
      <c r="C483" s="166" t="s">
        <v>175</v>
      </c>
      <c r="D483" s="166" t="s">
        <v>126</v>
      </c>
      <c r="E483" s="205" t="s">
        <v>1917</v>
      </c>
      <c r="F483" s="170"/>
      <c r="G483" s="205" t="str">
        <f>+VLOOKUP(Table_1[[#This Row],[Account]],BV_Data_An_Cour!$L:$Q,6,0)</f>
        <v>7-Dépenses</v>
      </c>
      <c r="H483" s="170"/>
    </row>
    <row r="484" spans="1:29" ht="15" hidden="1" customHeight="1">
      <c r="A484" s="169" t="s">
        <v>2718</v>
      </c>
      <c r="B484" s="171" t="s">
        <v>1333</v>
      </c>
      <c r="C484" s="166" t="s">
        <v>175</v>
      </c>
      <c r="D484" s="166" t="s">
        <v>260</v>
      </c>
      <c r="E484" s="205" t="s">
        <v>1917</v>
      </c>
      <c r="F484" s="555"/>
      <c r="G484" s="205" t="str">
        <f>+VLOOKUP(Table_1[[#This Row],[Account]],BV_Data_An_Cour!$L:$Q,6,0)</f>
        <v>7-Dépenses</v>
      </c>
      <c r="H484" s="170"/>
    </row>
    <row r="485" spans="1:29" ht="15" hidden="1" customHeight="1">
      <c r="A485" s="164" t="s">
        <v>2476</v>
      </c>
      <c r="B485" s="165" t="s">
        <v>936</v>
      </c>
      <c r="C485" s="166" t="s">
        <v>175</v>
      </c>
      <c r="D485" s="166" t="s">
        <v>250</v>
      </c>
      <c r="E485" s="205" t="s">
        <v>1917</v>
      </c>
      <c r="F485" s="170"/>
      <c r="G485" s="205" t="e">
        <f>+VLOOKUP(Table_1[[#This Row],[Account]],BV_Data_An_Cour!$L:$Q,6,0)</f>
        <v>#N/A</v>
      </c>
      <c r="H485" s="170"/>
    </row>
    <row r="486" spans="1:29" ht="15" hidden="1" customHeight="1">
      <c r="A486" s="164" t="s">
        <v>2387</v>
      </c>
      <c r="B486" s="165" t="s">
        <v>2386</v>
      </c>
      <c r="C486" s="166"/>
      <c r="D486" s="166"/>
      <c r="E486" s="205"/>
      <c r="F486" s="170"/>
      <c r="G486" s="205" t="str">
        <f>+VLOOKUP(Table_1[[#This Row],[Account]],BV_Data_An_Cour!$L:$Q,6,0)</f>
        <v>1-Mémo</v>
      </c>
      <c r="H486" s="170"/>
    </row>
    <row r="487" spans="1:29" ht="15" hidden="1" customHeight="1">
      <c r="A487" s="164" t="s">
        <v>2671</v>
      </c>
      <c r="B487" s="165" t="s">
        <v>1316</v>
      </c>
      <c r="C487" s="166" t="s">
        <v>175</v>
      </c>
      <c r="D487" s="166" t="s">
        <v>244</v>
      </c>
      <c r="E487" s="205" t="s">
        <v>1917</v>
      </c>
      <c r="F487" s="170"/>
      <c r="G487" s="205" t="str">
        <f>+VLOOKUP(Table_1[[#This Row],[Account]],BV_Data_An_Cour!$L:$Q,6,0)</f>
        <v>7-Dépenses</v>
      </c>
      <c r="H487" s="170"/>
    </row>
    <row r="488" spans="1:29" ht="15" hidden="1" customHeight="1">
      <c r="A488" s="164" t="s">
        <v>2760</v>
      </c>
      <c r="B488" s="165" t="s">
        <v>1457</v>
      </c>
      <c r="C488" s="166" t="s">
        <v>175</v>
      </c>
      <c r="D488" s="166" t="s">
        <v>235</v>
      </c>
      <c r="E488" s="205" t="s">
        <v>1917</v>
      </c>
      <c r="F488" s="170"/>
      <c r="G488" s="205" t="str">
        <f>+VLOOKUP(Table_1[[#This Row],[Account]],BV_Data_An_Cour!$L:$Q,6,0)</f>
        <v>7-Dépenses</v>
      </c>
      <c r="H488" s="170"/>
    </row>
    <row r="489" spans="1:29" ht="15" hidden="1" customHeight="1">
      <c r="A489" s="164" t="s">
        <v>2660</v>
      </c>
      <c r="B489" s="165" t="s">
        <v>1352</v>
      </c>
      <c r="C489" s="166" t="s">
        <v>175</v>
      </c>
      <c r="D489" s="166" t="s">
        <v>242</v>
      </c>
      <c r="E489" s="205" t="s">
        <v>1917</v>
      </c>
      <c r="F489" s="170"/>
      <c r="G489" s="205" t="str">
        <f>+VLOOKUP(Table_1[[#This Row],[Account]],BV_Data_An_Cour!$L:$Q,6,0)</f>
        <v>7-Dépenses</v>
      </c>
      <c r="H489" s="170"/>
    </row>
    <row r="490" spans="1:29" ht="15" hidden="1" customHeight="1">
      <c r="A490" s="164" t="s">
        <v>2686</v>
      </c>
      <c r="B490" s="165" t="s">
        <v>1344</v>
      </c>
      <c r="C490" s="166" t="s">
        <v>175</v>
      </c>
      <c r="D490" s="166" t="s">
        <v>237</v>
      </c>
      <c r="E490" s="205" t="s">
        <v>1917</v>
      </c>
      <c r="F490" s="170"/>
      <c r="G490" s="205" t="str">
        <f>+VLOOKUP(Table_1[[#This Row],[Account]],BV_Data_An_Cour!$L:$Q,6,0)</f>
        <v>7-Dépenses</v>
      </c>
      <c r="H490" s="170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64" t="s">
        <v>2665</v>
      </c>
      <c r="B491" s="165" t="s">
        <v>1278</v>
      </c>
      <c r="C491" s="166" t="s">
        <v>175</v>
      </c>
      <c r="D491" s="166" t="s">
        <v>239</v>
      </c>
      <c r="E491" s="205" t="s">
        <v>1917</v>
      </c>
      <c r="F491" s="170"/>
      <c r="G491" s="205" t="str">
        <f>+VLOOKUP(Table_1[[#This Row],[Account]],BV_Data_An_Cour!$L:$Q,6,0)</f>
        <v>7-Dépenses</v>
      </c>
      <c r="H491" s="170"/>
    </row>
    <row r="492" spans="1:29" ht="15" hidden="1" customHeight="1">
      <c r="A492" s="164" t="s">
        <v>2703</v>
      </c>
      <c r="B492" s="165" t="s">
        <v>1371</v>
      </c>
      <c r="C492" s="166" t="s">
        <v>175</v>
      </c>
      <c r="D492" s="166" t="s">
        <v>246</v>
      </c>
      <c r="E492" s="205" t="s">
        <v>1917</v>
      </c>
      <c r="F492" s="170"/>
      <c r="G492" s="205" t="str">
        <f>+VLOOKUP(Table_1[[#This Row],[Account]],BV_Data_An_Cour!$L:$Q,6,0)</f>
        <v>7-Dépenses</v>
      </c>
      <c r="H492" s="170"/>
    </row>
    <row r="493" spans="1:29" ht="15" hidden="1" customHeight="1">
      <c r="A493" s="165" t="s">
        <v>2219</v>
      </c>
      <c r="B493" s="165" t="s">
        <v>2218</v>
      </c>
      <c r="C493" s="166"/>
      <c r="D493" s="166"/>
      <c r="E493" s="205"/>
      <c r="F493" s="170"/>
      <c r="G493" s="205" t="e">
        <f>+VLOOKUP(Table_1[[#This Row],[Account]],BV_Data_An_Cour!$L:$Q,6,0)</f>
        <v>#N/A</v>
      </c>
      <c r="H493" s="170"/>
    </row>
    <row r="494" spans="1:29" ht="15" hidden="1" customHeight="1">
      <c r="A494" s="164" t="s">
        <v>2221</v>
      </c>
      <c r="B494" s="165" t="s">
        <v>2220</v>
      </c>
      <c r="C494" s="166"/>
      <c r="D494" s="166"/>
      <c r="E494" s="205"/>
      <c r="F494" s="170"/>
      <c r="G494" s="205" t="e">
        <f>+VLOOKUP(Table_1[[#This Row],[Account]],BV_Data_An_Cour!$L:$Q,6,0)</f>
        <v>#N/A</v>
      </c>
      <c r="H494" s="170"/>
    </row>
    <row r="495" spans="1:29" ht="15" hidden="1" customHeight="1">
      <c r="A495" s="164" t="s">
        <v>2223</v>
      </c>
      <c r="B495" s="165" t="s">
        <v>2222</v>
      </c>
      <c r="C495" s="166"/>
      <c r="D495" s="166"/>
      <c r="E495" s="205"/>
      <c r="F495" s="170"/>
      <c r="G495" s="205" t="e">
        <f>+VLOOKUP(Table_1[[#This Row],[Account]],BV_Data_An_Cour!$L:$Q,6,0)</f>
        <v>#N/A</v>
      </c>
      <c r="H495" s="170"/>
    </row>
    <row r="496" spans="1:29" ht="15" hidden="1" customHeight="1">
      <c r="A496" s="164" t="s">
        <v>2054</v>
      </c>
      <c r="B496" s="165" t="s">
        <v>2053</v>
      </c>
      <c r="C496" s="166" t="s">
        <v>75</v>
      </c>
      <c r="D496" s="166" t="s">
        <v>140</v>
      </c>
      <c r="E496" s="205" t="s">
        <v>1917</v>
      </c>
      <c r="F496" s="170"/>
      <c r="G496" s="205" t="str">
        <f>+VLOOKUP(Table_1[[#This Row],[Account]],BV_Data_An_Cour!$L:$Q,6,0)</f>
        <v>8-Autres revenus</v>
      </c>
      <c r="H496" s="170"/>
    </row>
    <row r="497" spans="1:8" ht="15" hidden="1" customHeight="1">
      <c r="A497" s="169" t="s">
        <v>2139</v>
      </c>
      <c r="B497" s="165" t="s">
        <v>2138</v>
      </c>
      <c r="C497" s="166" t="s">
        <v>175</v>
      </c>
      <c r="D497" s="166" t="s">
        <v>183</v>
      </c>
      <c r="E497" s="205" t="s">
        <v>1917</v>
      </c>
      <c r="F497" s="170"/>
      <c r="G497" s="205" t="str">
        <f>+VLOOKUP(Table_1[[#This Row],[Account]],BV_Data_An_Cour!$L:$Q,6,0)</f>
        <v>8-Autres revenus</v>
      </c>
      <c r="H497" s="170"/>
    </row>
    <row r="498" spans="1:8" ht="15" hidden="1" customHeight="1">
      <c r="A498" s="164" t="s">
        <v>2078</v>
      </c>
      <c r="B498" s="165" t="s">
        <v>2077</v>
      </c>
      <c r="C498" s="166" t="s">
        <v>75</v>
      </c>
      <c r="D498" s="166" t="s">
        <v>137</v>
      </c>
      <c r="E498" s="205" t="s">
        <v>1917</v>
      </c>
      <c r="F498" s="170"/>
      <c r="G498" s="205" t="str">
        <f>+VLOOKUP(Table_1[[#This Row],[Account]],BV_Data_An_Cour!$L:$Q,6,0)</f>
        <v>8-Autres revenus</v>
      </c>
      <c r="H498" s="170"/>
    </row>
    <row r="499" spans="1:8" ht="15" hidden="1" customHeight="1">
      <c r="A499" s="792" t="s">
        <v>2076</v>
      </c>
      <c r="B499" s="796" t="s">
        <v>2170</v>
      </c>
      <c r="C499" s="166" t="s">
        <v>75</v>
      </c>
      <c r="D499" s="166" t="s">
        <v>97</v>
      </c>
      <c r="E499" s="205" t="s">
        <v>1917</v>
      </c>
      <c r="F499" s="170" t="s">
        <v>2859</v>
      </c>
      <c r="G499" s="205" t="e">
        <f>+VLOOKUP(Table_1[[#This Row],[Account]],BV_Data_An_Cour!$L:$Q,6,0)</f>
        <v>#N/A</v>
      </c>
      <c r="H499" s="170"/>
    </row>
    <row r="500" spans="1:8" ht="15" hidden="1" customHeight="1">
      <c r="A500" s="164" t="s">
        <v>2085</v>
      </c>
      <c r="B500" s="165" t="s">
        <v>2084</v>
      </c>
      <c r="C500" s="166" t="s">
        <v>144</v>
      </c>
      <c r="D500" s="166" t="s">
        <v>97</v>
      </c>
      <c r="E500" s="205" t="s">
        <v>1917</v>
      </c>
      <c r="F500" s="170" t="s">
        <v>2859</v>
      </c>
      <c r="G500" s="205" t="str">
        <f>+VLOOKUP(Table_1[[#This Row],[Account]],BV_Data_An_Cour!$L:$Q,6,0)</f>
        <v>8-Autres revenus</v>
      </c>
      <c r="H500" s="170"/>
    </row>
    <row r="501" spans="1:8" ht="15" hidden="1" customHeight="1">
      <c r="A501" s="164" t="s">
        <v>2172</v>
      </c>
      <c r="B501" s="165" t="s">
        <v>2171</v>
      </c>
      <c r="C501" s="166" t="s">
        <v>75</v>
      </c>
      <c r="D501" s="166" t="s">
        <v>99</v>
      </c>
      <c r="E501" s="205" t="s">
        <v>1917</v>
      </c>
      <c r="F501" s="170" t="s">
        <v>2859</v>
      </c>
      <c r="G501" s="205" t="str">
        <f>+VLOOKUP(Table_1[[#This Row],[Account]],BV_Data_An_Cour!$L:$Q,6,0)</f>
        <v>8-Autres revenus</v>
      </c>
      <c r="H501" s="170"/>
    </row>
    <row r="502" spans="1:8" ht="15" hidden="1" customHeight="1">
      <c r="A502" s="164" t="s">
        <v>2180</v>
      </c>
      <c r="B502" s="165" t="s">
        <v>2179</v>
      </c>
      <c r="C502" s="166" t="s">
        <v>144</v>
      </c>
      <c r="D502" s="166" t="s">
        <v>99</v>
      </c>
      <c r="E502" s="205" t="s">
        <v>1917</v>
      </c>
      <c r="F502" s="170"/>
      <c r="G502" s="205" t="str">
        <f>+VLOOKUP(Table_1[[#This Row],[Account]],BV_Data_An_Cour!$L:$Q,6,0)</f>
        <v>8-Autres revenus</v>
      </c>
      <c r="H502" s="170"/>
    </row>
    <row r="503" spans="1:8" ht="15" hidden="1" customHeight="1">
      <c r="A503" s="164" t="s">
        <v>2093</v>
      </c>
      <c r="B503" s="165" t="s">
        <v>2092</v>
      </c>
      <c r="C503" s="166" t="s">
        <v>75</v>
      </c>
      <c r="D503" s="166" t="s">
        <v>98</v>
      </c>
      <c r="E503" s="205" t="s">
        <v>1917</v>
      </c>
      <c r="F503" s="170" t="s">
        <v>2859</v>
      </c>
      <c r="G503" s="205" t="str">
        <f>+VLOOKUP(Table_1[[#This Row],[Account]],BV_Data_An_Cour!$L:$Q,6,0)</f>
        <v>8-Autres revenus</v>
      </c>
      <c r="H503" s="170"/>
    </row>
    <row r="504" spans="1:8" ht="15" hidden="1" customHeight="1">
      <c r="A504" s="792" t="s">
        <v>2075</v>
      </c>
      <c r="B504" s="185" t="s">
        <v>2074</v>
      </c>
      <c r="C504" s="166" t="s">
        <v>75</v>
      </c>
      <c r="D504" s="166" t="s">
        <v>98</v>
      </c>
      <c r="E504" s="205" t="s">
        <v>1917</v>
      </c>
      <c r="F504" s="170" t="s">
        <v>2859</v>
      </c>
      <c r="G504" s="205" t="str">
        <f>+VLOOKUP(Table_1[[#This Row],[Account]],BV_Data_An_Cour!$L:$Q,6,0)</f>
        <v>8-Autres revenus</v>
      </c>
      <c r="H504" s="170"/>
    </row>
    <row r="505" spans="1:8" ht="15" hidden="1" customHeight="1">
      <c r="A505" s="164" t="s">
        <v>2089</v>
      </c>
      <c r="B505" s="797" t="s">
        <v>2088</v>
      </c>
      <c r="C505" s="166" t="s">
        <v>144</v>
      </c>
      <c r="D505" s="166" t="s">
        <v>98</v>
      </c>
      <c r="E505" s="205" t="s">
        <v>1917</v>
      </c>
      <c r="F505" s="170"/>
      <c r="G505" s="205" t="str">
        <f>+VLOOKUP(Table_1[[#This Row],[Account]],BV_Data_An_Cour!$L:$Q,6,0)</f>
        <v>8-Autres revenus</v>
      </c>
      <c r="H505" s="170"/>
    </row>
    <row r="506" spans="1:8" ht="15" hidden="1" customHeight="1">
      <c r="A506" s="580" t="s">
        <v>2097</v>
      </c>
      <c r="B506" s="187" t="s">
        <v>2096</v>
      </c>
      <c r="C506" s="166" t="s">
        <v>144</v>
      </c>
      <c r="D506" s="166" t="s">
        <v>98</v>
      </c>
      <c r="E506" s="205" t="s">
        <v>1917</v>
      </c>
      <c r="F506" s="170"/>
      <c r="G506" s="205" t="str">
        <f>+VLOOKUP(Table_1[[#This Row],[Account]],BV_Data_An_Cour!$L:$Q,6,0)</f>
        <v>8-Autres revenus</v>
      </c>
      <c r="H506" s="170"/>
    </row>
    <row r="507" spans="1:8" ht="15" hidden="1" customHeight="1">
      <c r="A507" s="792" t="s">
        <v>2081</v>
      </c>
      <c r="B507" s="185" t="s">
        <v>2080</v>
      </c>
      <c r="C507" s="166" t="s">
        <v>75</v>
      </c>
      <c r="D507" s="166" t="s">
        <v>141</v>
      </c>
      <c r="E507" s="205" t="s">
        <v>1917</v>
      </c>
      <c r="F507" s="170"/>
      <c r="G507" s="205" t="str">
        <f>+VLOOKUP(Table_1[[#This Row],[Account]],BV_Data_An_Cour!$L:$Q,6,0)</f>
        <v>8-Autres revenus</v>
      </c>
      <c r="H507" s="170"/>
    </row>
    <row r="508" spans="1:8" ht="15" hidden="1" customHeight="1">
      <c r="A508" s="164" t="s">
        <v>2063</v>
      </c>
      <c r="B508" s="185" t="s">
        <v>2062</v>
      </c>
      <c r="C508" s="166" t="s">
        <v>193</v>
      </c>
      <c r="D508" s="166" t="s">
        <v>255</v>
      </c>
      <c r="E508" s="205" t="s">
        <v>1917</v>
      </c>
      <c r="F508" s="170"/>
      <c r="G508" s="205" t="str">
        <f>+VLOOKUP(Table_1[[#This Row],[Account]],BV_Data_An_Cour!$L:$Q,6,0)</f>
        <v>8-Autres revenus</v>
      </c>
      <c r="H508" s="170"/>
    </row>
    <row r="509" spans="1:8" ht="15" hidden="1" customHeight="1">
      <c r="A509" s="164" t="s">
        <v>2176</v>
      </c>
      <c r="B509" s="165" t="s">
        <v>2650</v>
      </c>
      <c r="C509" s="166" t="s">
        <v>193</v>
      </c>
      <c r="D509" s="166" t="s">
        <v>262</v>
      </c>
      <c r="E509" s="205" t="s">
        <v>1917</v>
      </c>
      <c r="F509" s="170"/>
      <c r="G509" s="205" t="str">
        <f>+VLOOKUP(Table_1[[#This Row],[Account]],BV_Data_An_Cour!$L:$Q,6,0)</f>
        <v>9-Autres déductions</v>
      </c>
      <c r="H509" s="170"/>
    </row>
    <row r="510" spans="1:8" ht="15" hidden="1" customHeight="1">
      <c r="A510" s="164" t="s">
        <v>2175</v>
      </c>
      <c r="B510" s="165" t="s">
        <v>2174</v>
      </c>
      <c r="C510" s="166" t="s">
        <v>193</v>
      </c>
      <c r="D510" s="166" t="s">
        <v>261</v>
      </c>
      <c r="E510" s="205" t="s">
        <v>1917</v>
      </c>
      <c r="F510" s="170"/>
      <c r="G510" s="205" t="str">
        <f>+VLOOKUP(Table_1[[#This Row],[Account]],BV_Data_An_Cour!$L:$Q,6,0)</f>
        <v>9-Autres déductions</v>
      </c>
      <c r="H510" s="170"/>
    </row>
    <row r="511" spans="1:8" ht="15" hidden="1" customHeight="1">
      <c r="A511" s="164" t="s">
        <v>2599</v>
      </c>
      <c r="B511" s="165" t="s">
        <v>1389</v>
      </c>
      <c r="C511" s="166" t="s">
        <v>193</v>
      </c>
      <c r="D511" s="166" t="s">
        <v>262</v>
      </c>
      <c r="E511" s="205" t="s">
        <v>1917</v>
      </c>
      <c r="F511" s="170"/>
      <c r="G511" s="205" t="str">
        <f>+VLOOKUP(Table_1[[#This Row],[Account]],BV_Data_An_Cour!$L:$Q,6,0)</f>
        <v>9-Autres déductions</v>
      </c>
      <c r="H511" s="170"/>
    </row>
    <row r="512" spans="1:8" ht="15" hidden="1" customHeight="1">
      <c r="A512" s="164" t="s">
        <v>2782</v>
      </c>
      <c r="B512" s="165" t="s">
        <v>1385</v>
      </c>
      <c r="C512" s="166" t="s">
        <v>75</v>
      </c>
      <c r="D512" s="166" t="s">
        <v>134</v>
      </c>
      <c r="E512" s="205" t="s">
        <v>1917</v>
      </c>
      <c r="F512" s="170"/>
      <c r="G512" s="205" t="str">
        <f>+VLOOKUP(Table_1[[#This Row],[Account]],BV_Data_An_Cour!$L:$Q,6,0)</f>
        <v>9-Autres déductions</v>
      </c>
      <c r="H512" s="170"/>
    </row>
    <row r="513" spans="1:11" ht="15" hidden="1" customHeight="1">
      <c r="A513" s="169"/>
      <c r="B513" s="165"/>
      <c r="C513" s="166"/>
      <c r="D513" s="166"/>
      <c r="E513" s="205"/>
      <c r="F513" s="170"/>
      <c r="G513" s="205">
        <f>+VLOOKUP(Table_1[[#This Row],[Account]],BV_Data_An_Cour!$L:$Q,6,0)</f>
        <v>0</v>
      </c>
      <c r="H513" s="170"/>
    </row>
    <row r="514" spans="1:11" ht="15" hidden="1" customHeight="1">
      <c r="A514" s="164"/>
      <c r="B514" s="165"/>
      <c r="C514" s="166"/>
      <c r="D514" s="166"/>
      <c r="E514" s="205"/>
      <c r="F514" s="170"/>
      <c r="G514" s="205">
        <f>+VLOOKUP(Table_1[[#This Row],[Account]],BV_Data_An_Cour!$L:$Q,6,0)</f>
        <v>0</v>
      </c>
      <c r="H514" s="170"/>
    </row>
    <row r="515" spans="1:11" ht="15" hidden="1" customHeight="1">
      <c r="A515" s="164"/>
      <c r="B515" s="165"/>
      <c r="C515" s="166"/>
      <c r="D515" s="166"/>
      <c r="E515" s="205"/>
      <c r="F515" s="170"/>
      <c r="G515" s="205">
        <f>+VLOOKUP(Table_1[[#This Row],[Account]],BV_Data_An_Cour!$L:$Q,6,0)</f>
        <v>0</v>
      </c>
      <c r="H515" s="170"/>
    </row>
    <row r="516" spans="1:11" ht="15" hidden="1" customHeight="1">
      <c r="A516" s="164"/>
      <c r="B516" s="165"/>
      <c r="C516" s="166"/>
      <c r="D516" s="166"/>
      <c r="E516" s="205"/>
      <c r="F516" s="170"/>
      <c r="G516" s="205">
        <f>+VLOOKUP(Table_1[[#This Row],[Account]],BV_Data_An_Cour!$L:$Q,6,0)</f>
        <v>0</v>
      </c>
      <c r="H516" s="170"/>
      <c r="K516" s="2"/>
    </row>
    <row r="517" spans="1:11" ht="15" hidden="1" customHeight="1">
      <c r="A517" s="164"/>
      <c r="B517" s="165"/>
      <c r="C517" s="166"/>
      <c r="D517" s="166"/>
      <c r="E517" s="205"/>
      <c r="F517" s="170"/>
      <c r="G517" s="205">
        <f>+VLOOKUP(Table_1[[#This Row],[Account]],BV_Data_An_Cour!$L:$Q,6,0)</f>
        <v>0</v>
      </c>
      <c r="H517" s="170"/>
    </row>
    <row r="518" spans="1:11" ht="15" hidden="1" customHeight="1">
      <c r="A518" s="164"/>
      <c r="B518" s="165"/>
      <c r="C518" s="166"/>
      <c r="D518" s="166"/>
      <c r="E518" s="205"/>
      <c r="F518" s="170"/>
      <c r="G518" s="205">
        <f>+VLOOKUP(Table_1[[#This Row],[Account]],BV_Data_An_Cour!$L:$Q,6,0)</f>
        <v>0</v>
      </c>
      <c r="H518" s="170"/>
    </row>
    <row r="519" spans="1:11" ht="15" hidden="1" customHeight="1">
      <c r="A519" s="164"/>
      <c r="B519" s="165"/>
      <c r="C519" s="166"/>
      <c r="D519" s="166"/>
      <c r="E519" s="205"/>
      <c r="F519" s="170"/>
      <c r="G519" s="205">
        <f>+VLOOKUP(Table_1[[#This Row],[Account]],BV_Data_An_Cour!$L:$Q,6,0)</f>
        <v>0</v>
      </c>
      <c r="H519" s="170"/>
    </row>
    <row r="520" spans="1:11" ht="15" hidden="1" customHeight="1">
      <c r="A520" s="164"/>
      <c r="B520" s="165"/>
      <c r="C520" s="166"/>
      <c r="D520" s="166"/>
      <c r="E520" s="205"/>
      <c r="F520" s="170"/>
      <c r="G520" s="205">
        <f>+VLOOKUP(Table_1[[#This Row],[Account]],BV_Data_An_Cour!$L:$Q,6,0)</f>
        <v>0</v>
      </c>
      <c r="H520" s="170"/>
    </row>
    <row r="521" spans="1:11" ht="15" hidden="1" customHeight="1">
      <c r="A521" s="164"/>
      <c r="B521" s="165"/>
      <c r="C521" s="166"/>
      <c r="D521" s="166"/>
      <c r="E521" s="205"/>
      <c r="F521" s="170"/>
      <c r="G521" s="205">
        <f>+VLOOKUP(Table_1[[#This Row],[Account]],BV_Data_An_Cour!$L:$Q,6,0)</f>
        <v>0</v>
      </c>
      <c r="H521" s="170"/>
    </row>
    <row r="522" spans="1:11" ht="15" hidden="1" customHeight="1">
      <c r="A522" s="164"/>
      <c r="B522" s="165"/>
      <c r="C522" s="166"/>
      <c r="D522" s="166"/>
      <c r="E522" s="205"/>
      <c r="F522" s="170"/>
      <c r="G522" s="205">
        <f>+VLOOKUP(Table_1[[#This Row],[Account]],BV_Data_An_Cour!$L:$Q,6,0)</f>
        <v>0</v>
      </c>
      <c r="H522" s="170"/>
    </row>
    <row r="523" spans="1:11" ht="15" hidden="1" customHeight="1">
      <c r="A523" s="164"/>
      <c r="B523" s="165"/>
      <c r="C523" s="166"/>
      <c r="D523" s="166"/>
      <c r="E523" s="205"/>
      <c r="F523" s="170"/>
      <c r="G523" s="205">
        <f>+VLOOKUP(Table_1[[#This Row],[Account]],BV_Data_An_Cour!$L:$Q,6,0)</f>
        <v>0</v>
      </c>
      <c r="H523" s="170"/>
    </row>
    <row r="524" spans="1:11" ht="15" hidden="1" customHeight="1">
      <c r="A524" s="164"/>
      <c r="B524" s="165"/>
      <c r="C524" s="166"/>
      <c r="D524" s="166"/>
      <c r="E524" s="205"/>
      <c r="F524" s="170"/>
      <c r="G524" s="205">
        <f>+VLOOKUP(Table_1[[#This Row],[Account]],BV_Data_An_Cour!$L:$Q,6,0)</f>
        <v>0</v>
      </c>
      <c r="H524" s="170"/>
    </row>
    <row r="525" spans="1:11" ht="15" hidden="1" customHeight="1">
      <c r="A525" s="164"/>
      <c r="B525" s="165"/>
      <c r="C525" s="166"/>
      <c r="D525" s="166"/>
      <c r="E525" s="205"/>
      <c r="F525" s="170"/>
      <c r="G525" s="205">
        <f>+VLOOKUP(Table_1[[#This Row],[Account]],BV_Data_An_Cour!$L:$Q,6,0)</f>
        <v>0</v>
      </c>
      <c r="H525" s="170"/>
    </row>
    <row r="526" spans="1:11" ht="15" hidden="1" customHeight="1">
      <c r="A526" s="164"/>
      <c r="B526" s="165"/>
      <c r="C526" s="166"/>
      <c r="D526" s="166"/>
      <c r="E526" s="205"/>
      <c r="F526" s="170"/>
      <c r="G526" s="205">
        <f>+VLOOKUP(Table_1[[#This Row],[Account]],BV_Data_An_Cour!$L:$Q,6,0)</f>
        <v>0</v>
      </c>
      <c r="H526" s="170"/>
    </row>
    <row r="527" spans="1:11" ht="15" hidden="1" customHeight="1">
      <c r="A527" s="169"/>
      <c r="B527" s="165"/>
      <c r="C527" s="166"/>
      <c r="D527" s="166"/>
      <c r="E527" s="205"/>
      <c r="F527" s="170"/>
      <c r="G527" s="205">
        <f>+VLOOKUP(Table_1[[#This Row],[Account]],BV_Data_An_Cour!$L:$Q,6,0)</f>
        <v>0</v>
      </c>
      <c r="H527" s="170"/>
    </row>
    <row r="528" spans="1:11" ht="15" hidden="1" customHeight="1">
      <c r="A528" s="164"/>
      <c r="B528" s="165"/>
      <c r="C528" s="166"/>
      <c r="D528" s="166"/>
      <c r="E528" s="205"/>
      <c r="F528" s="170"/>
      <c r="G528" s="205">
        <f>+VLOOKUP(Table_1[[#This Row],[Account]],BV_Data_An_Cour!$L:$Q,6,0)</f>
        <v>0</v>
      </c>
      <c r="H528" s="170"/>
    </row>
    <row r="529" spans="1:11" ht="15" hidden="1" customHeight="1">
      <c r="A529" s="165"/>
      <c r="B529" s="165"/>
      <c r="C529" s="166"/>
      <c r="D529" s="166"/>
      <c r="E529" s="205"/>
      <c r="F529" s="170"/>
      <c r="G529" s="205">
        <f>+VLOOKUP(Table_1[[#This Row],[Account]],BV_Data_An_Cour!$L:$Q,6,0)</f>
        <v>0</v>
      </c>
      <c r="H529" s="170"/>
      <c r="K529" s="2"/>
    </row>
    <row r="530" spans="1:11" ht="15" hidden="1" customHeight="1">
      <c r="A530" s="169"/>
      <c r="B530" s="171"/>
      <c r="C530" s="166"/>
      <c r="D530" s="166"/>
      <c r="E530" s="205"/>
      <c r="F530" s="170"/>
      <c r="G530" s="205">
        <f>+VLOOKUP(Table_1[[#This Row],[Account]],BV_Data_An_Cour!$L:$Q,6,0)</f>
        <v>0</v>
      </c>
      <c r="H530" s="170"/>
    </row>
    <row r="531" spans="1:11" ht="15" hidden="1" customHeight="1">
      <c r="A531" s="165"/>
      <c r="B531" s="165"/>
      <c r="C531" s="166"/>
      <c r="D531" s="166"/>
      <c r="E531" s="205"/>
      <c r="F531" s="170"/>
      <c r="G531" s="205">
        <f>+VLOOKUP(Table_1[[#This Row],[Account]],BV_Data_An_Cour!$L:$Q,6,0)</f>
        <v>0</v>
      </c>
      <c r="H531" s="170"/>
    </row>
    <row r="532" spans="1:11" ht="15" hidden="1" customHeight="1">
      <c r="A532" s="165"/>
      <c r="B532" s="165"/>
      <c r="C532" s="166"/>
      <c r="D532" s="166"/>
      <c r="E532" s="205"/>
      <c r="F532" s="170"/>
      <c r="G532" s="205">
        <f>+VLOOKUP(Table_1[[#This Row],[Account]],BV_Data_An_Cour!$L:$Q,6,0)</f>
        <v>0</v>
      </c>
      <c r="H532" s="170"/>
    </row>
    <row r="533" spans="1:11" ht="15" hidden="1" customHeight="1">
      <c r="A533" s="164"/>
      <c r="B533" s="165"/>
      <c r="C533" s="166"/>
      <c r="D533" s="166"/>
      <c r="E533" s="205"/>
      <c r="F533" s="170"/>
      <c r="G533" s="205">
        <f>+VLOOKUP(Table_1[[#This Row],[Account]],BV_Data_An_Cour!$L:$Q,6,0)</f>
        <v>0</v>
      </c>
      <c r="H533" s="170"/>
    </row>
    <row r="534" spans="1:11" ht="15" hidden="1" customHeight="1">
      <c r="A534" s="169"/>
      <c r="B534" s="171"/>
      <c r="C534" s="166"/>
      <c r="D534" s="166"/>
      <c r="E534" s="205"/>
      <c r="F534" s="170"/>
      <c r="G534" s="205">
        <f>+VLOOKUP(Table_1[[#This Row],[Account]],BV_Data_An_Cour!$L:$Q,6,0)</f>
        <v>0</v>
      </c>
      <c r="H534" s="170"/>
    </row>
    <row r="535" spans="1:11" ht="15" hidden="1" customHeight="1">
      <c r="A535" s="178"/>
      <c r="B535" s="179"/>
      <c r="C535" s="166"/>
      <c r="D535" s="166"/>
      <c r="E535" s="205"/>
      <c r="F535" s="170"/>
      <c r="G535" s="205">
        <f>+VLOOKUP(Table_1[[#This Row],[Account]],BV_Data_An_Cour!$L:$Q,6,0)</f>
        <v>0</v>
      </c>
      <c r="H535" s="170"/>
    </row>
    <row r="536" spans="1:11" ht="15" hidden="1" customHeight="1">
      <c r="A536" s="576"/>
      <c r="B536" s="584"/>
      <c r="C536" s="166"/>
      <c r="D536" s="166"/>
      <c r="E536" s="205"/>
      <c r="F536" s="170"/>
      <c r="G536" s="205">
        <f>+VLOOKUP(Table_1[[#This Row],[Account]],BV_Data_An_Cour!$L:$Q,6,0)</f>
        <v>0</v>
      </c>
      <c r="H536" s="170"/>
    </row>
    <row r="537" spans="1:11" ht="15" hidden="1" customHeight="1">
      <c r="A537" s="169"/>
      <c r="B537" s="165"/>
      <c r="C537" s="166"/>
      <c r="D537" s="166"/>
      <c r="E537" s="205"/>
      <c r="F537" s="170"/>
      <c r="G537" s="205">
        <f>+VLOOKUP(Table_1[[#This Row],[Account]],BV_Data_An_Cour!$L:$Q,6,0)</f>
        <v>0</v>
      </c>
      <c r="H537" s="170"/>
    </row>
    <row r="538" spans="1:11" ht="15" hidden="1" customHeight="1">
      <c r="A538" s="164"/>
      <c r="B538" s="165"/>
      <c r="C538" s="166"/>
      <c r="D538" s="166"/>
      <c r="E538" s="205"/>
      <c r="F538" s="170"/>
      <c r="G538" s="205">
        <f>+VLOOKUP(Table_1[[#This Row],[Account]],BV_Data_An_Cour!$L:$Q,6,0)</f>
        <v>0</v>
      </c>
      <c r="H538" s="170"/>
    </row>
    <row r="539" spans="1:11" ht="15" hidden="1" customHeight="1">
      <c r="A539" s="164"/>
      <c r="B539" s="165"/>
      <c r="C539" s="166"/>
      <c r="D539" s="166"/>
      <c r="E539" s="205"/>
      <c r="F539" s="170"/>
      <c r="G539" s="205">
        <f>+VLOOKUP(Table_1[[#This Row],[Account]],BV_Data_An_Cour!$L:$Q,6,0)</f>
        <v>0</v>
      </c>
      <c r="H539" s="170"/>
    </row>
    <row r="540" spans="1:11" ht="15" hidden="1" customHeight="1">
      <c r="A540" s="164"/>
      <c r="B540" s="165"/>
      <c r="C540" s="166"/>
      <c r="D540" s="166"/>
      <c r="E540" s="205"/>
      <c r="F540" s="170"/>
      <c r="G540" s="205">
        <f>+VLOOKUP(Table_1[[#This Row],[Account]],BV_Data_An_Cour!$L:$Q,6,0)</f>
        <v>0</v>
      </c>
      <c r="H540" s="170"/>
    </row>
    <row r="541" spans="1:11" ht="15" hidden="1" customHeight="1">
      <c r="A541" s="164"/>
      <c r="B541" s="165"/>
      <c r="C541" s="166"/>
      <c r="D541" s="166"/>
      <c r="E541" s="205"/>
      <c r="F541" s="170"/>
      <c r="G541" s="205">
        <f>+VLOOKUP(Table_1[[#This Row],[Account]],BV_Data_An_Cour!$L:$Q,6,0)</f>
        <v>0</v>
      </c>
      <c r="H541" s="170"/>
    </row>
    <row r="542" spans="1:11" ht="15" hidden="1" customHeight="1">
      <c r="A542" s="169"/>
      <c r="B542" s="171"/>
      <c r="C542" s="166"/>
      <c r="D542" s="166"/>
      <c r="E542" s="205"/>
      <c r="F542" s="170"/>
      <c r="G542" s="205">
        <f>+VLOOKUP(Table_1[[#This Row],[Account]],BV_Data_An_Cour!$L:$Q,6,0)</f>
        <v>0</v>
      </c>
      <c r="H542" s="170"/>
    </row>
    <row r="543" spans="1:11" ht="15" hidden="1" customHeight="1">
      <c r="A543" s="169"/>
      <c r="B543" s="171"/>
      <c r="C543" s="166"/>
      <c r="D543" s="166"/>
      <c r="E543" s="205"/>
      <c r="F543" s="170"/>
      <c r="G543" s="205">
        <f>+VLOOKUP(Table_1[[#This Row],[Account]],BV_Data_An_Cour!$L:$Q,6,0)</f>
        <v>0</v>
      </c>
      <c r="H543" s="170"/>
    </row>
    <row r="544" spans="1:11" ht="15" hidden="1" customHeight="1">
      <c r="A544" s="169"/>
      <c r="B544" s="171"/>
      <c r="C544" s="166"/>
      <c r="D544" s="166"/>
      <c r="E544" s="205"/>
      <c r="F544" s="170"/>
      <c r="G544" s="205">
        <f>+VLOOKUP(Table_1[[#This Row],[Account]],BV_Data_An_Cour!$L:$Q,6,0)</f>
        <v>0</v>
      </c>
      <c r="H544" s="170"/>
    </row>
    <row r="545" spans="1:8" ht="15" hidden="1" customHeight="1">
      <c r="A545" s="794"/>
      <c r="B545" s="798"/>
      <c r="C545" s="166"/>
      <c r="D545" s="166"/>
      <c r="E545" s="205"/>
      <c r="F545" s="170"/>
      <c r="G545" s="205">
        <f>+VLOOKUP(Table_1[[#This Row],[Account]],BV_Data_An_Cour!$L:$Q,6,0)</f>
        <v>0</v>
      </c>
      <c r="H545" s="170"/>
    </row>
    <row r="546" spans="1:8" ht="15" hidden="1" customHeight="1">
      <c r="A546" s="574"/>
      <c r="B546" s="583"/>
      <c r="C546" s="166"/>
      <c r="D546" s="166"/>
      <c r="E546" s="205"/>
      <c r="F546" s="170"/>
      <c r="G546" s="205">
        <f>+VLOOKUP(Table_1[[#This Row],[Account]],BV_Data_An_Cour!$L:$Q,6,0)</f>
        <v>0</v>
      </c>
      <c r="H546" s="170"/>
    </row>
    <row r="547" spans="1:8" ht="15" hidden="1" customHeight="1">
      <c r="A547" s="173"/>
      <c r="B547" s="172"/>
      <c r="C547" s="166"/>
      <c r="D547" s="166"/>
      <c r="E547" s="205"/>
      <c r="F547" s="170"/>
      <c r="G547" s="205">
        <f>+VLOOKUP(Table_1[[#This Row],[Account]],BV_Data_An_Cour!$L:$Q,6,0)</f>
        <v>0</v>
      </c>
      <c r="H547" s="170"/>
    </row>
    <row r="548" spans="1:8" ht="15" hidden="1" customHeight="1">
      <c r="A548" s="574"/>
      <c r="B548" s="583"/>
      <c r="C548" s="166"/>
      <c r="D548" s="166"/>
      <c r="E548" s="205"/>
      <c r="F548" s="170"/>
      <c r="G548" s="205">
        <f>+VLOOKUP(Table_1[[#This Row],[Account]],BV_Data_An_Cour!$L:$Q,6,0)</f>
        <v>0</v>
      </c>
      <c r="H548" s="170"/>
    </row>
    <row r="549" spans="1:8" ht="15" hidden="1" customHeight="1">
      <c r="A549" s="169"/>
      <c r="B549" s="171"/>
      <c r="C549" s="166"/>
      <c r="D549" s="166"/>
      <c r="E549" s="205"/>
      <c r="F549" s="170"/>
      <c r="G549" s="205">
        <f>+VLOOKUP(Table_1[[#This Row],[Account]],BV_Data_An_Cour!$L:$Q,6,0)</f>
        <v>0</v>
      </c>
      <c r="H549" s="170"/>
    </row>
    <row r="550" spans="1:8" ht="15" hidden="1" customHeight="1">
      <c r="A550" s="578"/>
      <c r="B550" s="172"/>
      <c r="C550" s="166"/>
      <c r="D550" s="166"/>
      <c r="E550" s="205"/>
      <c r="F550" s="170"/>
      <c r="G550" s="205">
        <f>+VLOOKUP(Table_1[[#This Row],[Account]],BV_Data_An_Cour!$L:$Q,6,0)</f>
        <v>0</v>
      </c>
      <c r="H550" s="170"/>
    </row>
    <row r="551" spans="1:8" ht="15" hidden="1" customHeight="1">
      <c r="A551" s="171"/>
      <c r="B551" s="171"/>
      <c r="C551" s="166"/>
      <c r="D551" s="166"/>
      <c r="E551" s="205"/>
      <c r="F551" s="170"/>
      <c r="G551" s="205">
        <f>+VLOOKUP(Table_1[[#This Row],[Account]],BV_Data_An_Cour!$L:$Q,6,0)</f>
        <v>0</v>
      </c>
      <c r="H551" s="170"/>
    </row>
    <row r="552" spans="1:8" ht="15" hidden="1" customHeight="1">
      <c r="A552" s="173"/>
      <c r="B552" s="172"/>
      <c r="C552" s="166"/>
      <c r="D552" s="166"/>
      <c r="E552" s="205"/>
      <c r="F552" s="170"/>
      <c r="G552" s="205">
        <f>+VLOOKUP(Table_1[[#This Row],[Account]],BV_Data_An_Cour!$L:$Q,6,0)</f>
        <v>0</v>
      </c>
      <c r="H552" s="170"/>
    </row>
    <row r="553" spans="1:8" ht="15" hidden="1" customHeight="1">
      <c r="A553" s="574"/>
      <c r="B553" s="583"/>
      <c r="C553" s="166"/>
      <c r="D553" s="166"/>
      <c r="E553" s="205"/>
      <c r="F553" s="170"/>
      <c r="G553" s="205">
        <f>+VLOOKUP(Table_1[[#This Row],[Account]],BV_Data_An_Cour!$L:$Q,6,0)</f>
        <v>0</v>
      </c>
      <c r="H553" s="170"/>
    </row>
    <row r="554" spans="1:8" ht="15" hidden="1" customHeight="1">
      <c r="A554" s="173"/>
      <c r="B554" s="172"/>
      <c r="C554" s="166"/>
      <c r="D554" s="166"/>
      <c r="E554" s="205"/>
      <c r="F554" s="170"/>
      <c r="G554" s="205">
        <f>+VLOOKUP(Table_1[[#This Row],[Account]],BV_Data_An_Cour!$L:$Q,6,0)</f>
        <v>0</v>
      </c>
      <c r="H554" s="170"/>
    </row>
    <row r="555" spans="1:8" ht="15" hidden="1" customHeight="1">
      <c r="A555" s="574"/>
      <c r="B555" s="583"/>
      <c r="C555" s="166"/>
      <c r="D555" s="166"/>
      <c r="E555" s="205"/>
      <c r="F555" s="170"/>
      <c r="G555" s="205">
        <f>+VLOOKUP(Table_1[[#This Row],[Account]],BV_Data_An_Cour!$L:$Q,6,0)</f>
        <v>0</v>
      </c>
      <c r="H555" s="170"/>
    </row>
    <row r="556" spans="1:8" ht="15" hidden="1" customHeight="1">
      <c r="A556" s="579"/>
      <c r="B556" s="578"/>
      <c r="C556" s="166"/>
      <c r="D556" s="166"/>
      <c r="E556" s="205"/>
      <c r="F556" s="170"/>
      <c r="G556" s="205">
        <f>+VLOOKUP(Table_1[[#This Row],[Account]],BV_Data_An_Cour!$L:$Q,6,0)</f>
        <v>0</v>
      </c>
      <c r="H556" s="170"/>
    </row>
    <row r="557" spans="1:8" ht="15" hidden="1" customHeight="1">
      <c r="A557" s="574"/>
      <c r="B557" s="583"/>
      <c r="C557" s="166"/>
      <c r="D557" s="166"/>
      <c r="E557" s="205"/>
      <c r="F557" s="170"/>
      <c r="G557" s="205">
        <f>+VLOOKUP(Table_1[[#This Row],[Account]],BV_Data_An_Cour!$L:$Q,6,0)</f>
        <v>0</v>
      </c>
      <c r="H557" s="170"/>
    </row>
    <row r="558" spans="1:8" ht="15" hidden="1" customHeight="1">
      <c r="A558" s="579"/>
      <c r="B558" s="578"/>
      <c r="C558" s="166"/>
      <c r="D558" s="166"/>
      <c r="E558" s="205"/>
      <c r="F558" s="170"/>
      <c r="G558" s="205">
        <f>+VLOOKUP(Table_1[[#This Row],[Account]],BV_Data_An_Cour!$L:$Q,6,0)</f>
        <v>0</v>
      </c>
      <c r="H558" s="170"/>
    </row>
    <row r="559" spans="1:8" ht="15" hidden="1" customHeight="1">
      <c r="A559" s="574"/>
      <c r="B559" s="583"/>
      <c r="C559" s="166"/>
      <c r="D559" s="166"/>
      <c r="E559" s="205"/>
      <c r="F559" s="170"/>
      <c r="G559" s="205">
        <f>+VLOOKUP(Table_1[[#This Row],[Account]],BV_Data_An_Cour!$L:$Q,6,0)</f>
        <v>0</v>
      </c>
      <c r="H559" s="170"/>
    </row>
    <row r="560" spans="1:8" ht="15" hidden="1" customHeight="1">
      <c r="A560" s="169"/>
      <c r="B560" s="171"/>
      <c r="C560" s="166"/>
      <c r="D560" s="166"/>
      <c r="E560" s="205"/>
      <c r="F560" s="170"/>
      <c r="G560" s="205">
        <f>+VLOOKUP(Table_1[[#This Row],[Account]],BV_Data_An_Cour!$L:$Q,6,0)</f>
        <v>0</v>
      </c>
      <c r="H560" s="170"/>
    </row>
    <row r="561" spans="1:29" ht="15" hidden="1" customHeight="1">
      <c r="A561" s="169"/>
      <c r="B561" s="171"/>
      <c r="C561" s="166"/>
      <c r="D561" s="166"/>
      <c r="E561" s="205"/>
      <c r="F561" s="170"/>
      <c r="G561" s="205">
        <f>+VLOOKUP(Table_1[[#This Row],[Account]],BV_Data_An_Cour!$L:$Q,6,0)</f>
        <v>0</v>
      </c>
      <c r="H561" s="170"/>
    </row>
    <row r="562" spans="1:29" ht="15" hidden="1" customHeight="1">
      <c r="A562" s="574"/>
      <c r="B562" s="583"/>
      <c r="C562" s="166"/>
      <c r="D562" s="166"/>
      <c r="E562" s="205"/>
      <c r="F562" s="170"/>
      <c r="G562" s="205">
        <f>+VLOOKUP(Table_1[[#This Row],[Account]],BV_Data_An_Cour!$L:$Q,6,0)</f>
        <v>0</v>
      </c>
      <c r="H562" s="170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574"/>
      <c r="B563" s="583"/>
      <c r="C563" s="166"/>
      <c r="D563" s="166"/>
      <c r="E563" s="205"/>
      <c r="F563" s="170"/>
      <c r="G563" s="205">
        <f>+VLOOKUP(Table_1[[#This Row],[Account]],BV_Data_An_Cour!$L:$Q,6,0)</f>
        <v>0</v>
      </c>
      <c r="H563" s="170"/>
    </row>
    <row r="564" spans="1:29" ht="15" hidden="1" customHeight="1">
      <c r="A564" s="574"/>
      <c r="B564" s="583"/>
      <c r="C564" s="166"/>
      <c r="D564" s="166"/>
      <c r="E564" s="205"/>
      <c r="F564" s="170"/>
      <c r="G564" s="205">
        <f>+VLOOKUP(Table_1[[#This Row],[Account]],BV_Data_An_Cour!$L:$Q,6,0)</f>
        <v>0</v>
      </c>
      <c r="H564" s="170"/>
    </row>
    <row r="565" spans="1:29" ht="15" hidden="1" customHeight="1">
      <c r="A565" s="574"/>
      <c r="B565" s="583"/>
      <c r="C565" s="166"/>
      <c r="D565" s="166"/>
      <c r="E565" s="205"/>
      <c r="F565" s="170"/>
      <c r="G565" s="205">
        <f>+VLOOKUP(Table_1[[#This Row],[Account]],BV_Data_An_Cour!$L:$Q,6,0)</f>
        <v>0</v>
      </c>
      <c r="H565" s="170"/>
    </row>
    <row r="566" spans="1:29" ht="15" hidden="1" customHeight="1">
      <c r="A566" s="169"/>
      <c r="B566" s="171"/>
      <c r="C566" s="166"/>
      <c r="D566" s="166"/>
      <c r="E566" s="205"/>
      <c r="F566" s="170"/>
      <c r="G566" s="205">
        <f>+VLOOKUP(Table_1[[#This Row],[Account]],BV_Data_An_Cour!$L:$Q,6,0)</f>
        <v>0</v>
      </c>
      <c r="H566" s="170"/>
    </row>
    <row r="567" spans="1:29" ht="15" hidden="1" customHeight="1">
      <c r="A567" s="173"/>
      <c r="B567" s="172"/>
      <c r="C567" s="166"/>
      <c r="D567" s="166"/>
      <c r="E567" s="205"/>
      <c r="F567" s="170"/>
      <c r="G567" s="205">
        <f>+VLOOKUP(Table_1[[#This Row],[Account]],BV_Data_An_Cour!$L:$Q,6,0)</f>
        <v>0</v>
      </c>
      <c r="H567" s="170"/>
    </row>
    <row r="568" spans="1:29" ht="15" hidden="1" customHeight="1">
      <c r="A568" s="574"/>
      <c r="B568" s="583"/>
      <c r="C568" s="166"/>
      <c r="D568" s="166"/>
      <c r="E568" s="205"/>
      <c r="F568" s="170"/>
      <c r="G568" s="205">
        <f>+VLOOKUP(Table_1[[#This Row],[Account]],BV_Data_An_Cour!$L:$Q,6,0)</f>
        <v>0</v>
      </c>
      <c r="H568" s="170"/>
    </row>
    <row r="569" spans="1:29" ht="15" hidden="1" customHeight="1">
      <c r="A569" s="579"/>
      <c r="B569" s="578"/>
      <c r="C569" s="166"/>
      <c r="D569" s="166"/>
      <c r="E569" s="205"/>
      <c r="F569" s="170"/>
      <c r="G569" s="205">
        <f>+VLOOKUP(Table_1[[#This Row],[Account]],BV_Data_An_Cour!$L:$Q,6,0)</f>
        <v>0</v>
      </c>
      <c r="H569" s="170"/>
      <c r="K569" s="2"/>
    </row>
    <row r="570" spans="1:29" ht="15" hidden="1" customHeight="1">
      <c r="A570" s="578"/>
      <c r="B570" s="578"/>
      <c r="C570" s="166"/>
      <c r="D570" s="166"/>
      <c r="E570" s="205"/>
      <c r="F570" s="170"/>
      <c r="G570" s="205">
        <f>+VLOOKUP(Table_1[[#This Row],[Account]],BV_Data_An_Cour!$L:$Q,6,0)</f>
        <v>0</v>
      </c>
      <c r="H570" s="170"/>
    </row>
    <row r="571" spans="1:29" ht="15" hidden="1" customHeight="1">
      <c r="A571" s="578"/>
      <c r="B571" s="172"/>
      <c r="C571" s="166"/>
      <c r="D571" s="166"/>
      <c r="E571" s="205"/>
      <c r="F571" s="170"/>
      <c r="G571" s="205">
        <f>+VLOOKUP(Table_1[[#This Row],[Account]],BV_Data_An_Cour!$L:$Q,6,0)</f>
        <v>0</v>
      </c>
      <c r="H571" s="170"/>
    </row>
    <row r="572" spans="1:29" ht="15" hidden="1" customHeight="1">
      <c r="A572" s="173"/>
      <c r="B572" s="172"/>
      <c r="C572" s="166"/>
      <c r="D572" s="166"/>
      <c r="E572" s="205"/>
      <c r="F572" s="170"/>
      <c r="G572" s="205">
        <f>+VLOOKUP(Table_1[[#This Row],[Account]],BV_Data_An_Cour!$L:$Q,6,0)</f>
        <v>0</v>
      </c>
      <c r="H572" s="170"/>
    </row>
    <row r="573" spans="1:29" ht="15" hidden="1" customHeight="1">
      <c r="A573" s="173"/>
      <c r="B573" s="172"/>
      <c r="C573" s="166"/>
      <c r="D573" s="166"/>
      <c r="E573" s="205"/>
      <c r="F573" s="170"/>
      <c r="G573" s="205">
        <f>+VLOOKUP(Table_1[[#This Row],[Account]],BV_Data_An_Cour!$L:$Q,6,0)</f>
        <v>0</v>
      </c>
      <c r="H573" s="170"/>
    </row>
    <row r="574" spans="1:29" ht="15" hidden="1" customHeight="1">
      <c r="A574" s="579"/>
      <c r="B574" s="578"/>
      <c r="C574" s="166"/>
      <c r="D574" s="166"/>
      <c r="E574" s="205"/>
      <c r="F574" s="170"/>
      <c r="G574" s="205">
        <f>+VLOOKUP(Table_1[[#This Row],[Account]],BV_Data_An_Cour!$L:$Q,6,0)</f>
        <v>0</v>
      </c>
      <c r="H574" s="170"/>
    </row>
    <row r="575" spans="1:29" ht="15" hidden="1" customHeight="1">
      <c r="A575" s="173"/>
      <c r="B575" s="585"/>
      <c r="C575" s="166"/>
      <c r="D575" s="166"/>
      <c r="E575" s="205"/>
      <c r="F575" s="170"/>
      <c r="G575" s="205">
        <f>+VLOOKUP(Table_1[[#This Row],[Account]],BV_Data_An_Cour!$L:$Q,6,0)</f>
        <v>0</v>
      </c>
      <c r="H575" s="170"/>
    </row>
    <row r="576" spans="1:29" ht="15" hidden="1" customHeight="1">
      <c r="A576" s="579"/>
      <c r="B576" s="578"/>
      <c r="C576" s="166"/>
      <c r="D576" s="166"/>
      <c r="E576" s="205"/>
      <c r="F576" s="170"/>
      <c r="G576" s="205">
        <f>+VLOOKUP(Table_1[[#This Row],[Account]],BV_Data_An_Cour!$L:$Q,6,0)</f>
        <v>0</v>
      </c>
      <c r="H576" s="170"/>
    </row>
    <row r="577" spans="1:8" ht="15" hidden="1" customHeight="1">
      <c r="A577" s="173"/>
      <c r="B577" s="172"/>
      <c r="C577" s="166"/>
      <c r="D577" s="166"/>
      <c r="E577" s="205"/>
      <c r="F577" s="170"/>
      <c r="G577" s="205">
        <f>+VLOOKUP(Table_1[[#This Row],[Account]],BV_Data_An_Cour!$L:$Q,6,0)</f>
        <v>0</v>
      </c>
      <c r="H577" s="170"/>
    </row>
    <row r="578" spans="1:8" ht="15" hidden="1" customHeight="1">
      <c r="A578" s="169"/>
      <c r="B578" s="171"/>
      <c r="C578" s="166"/>
      <c r="D578" s="166"/>
      <c r="E578" s="205"/>
      <c r="F578" s="170"/>
      <c r="G578" s="205">
        <f>+VLOOKUP(Table_1[[#This Row],[Account]],BV_Data_An_Cour!$L:$Q,6,0)</f>
        <v>0</v>
      </c>
      <c r="H578" s="170"/>
    </row>
    <row r="579" spans="1:8" ht="15" hidden="1" customHeight="1">
      <c r="A579" s="579"/>
      <c r="B579" s="578"/>
      <c r="C579" s="166"/>
      <c r="D579" s="166"/>
      <c r="E579" s="205"/>
      <c r="F579" s="170"/>
      <c r="G579" s="205">
        <f>+VLOOKUP(Table_1[[#This Row],[Account]],BV_Data_An_Cour!$L:$Q,6,0)</f>
        <v>0</v>
      </c>
      <c r="H579" s="170"/>
    </row>
    <row r="580" spans="1:8" ht="15" hidden="1" customHeight="1">
      <c r="A580" s="169"/>
      <c r="B580" s="171"/>
      <c r="C580" s="166"/>
      <c r="D580" s="166"/>
      <c r="E580" s="205"/>
      <c r="F580" s="170"/>
      <c r="G580" s="205">
        <f>+VLOOKUP(Table_1[[#This Row],[Account]],BV_Data_An_Cour!$L:$Q,6,0)</f>
        <v>0</v>
      </c>
      <c r="H580" s="170"/>
    </row>
    <row r="581" spans="1:8" ht="15" hidden="1" customHeight="1">
      <c r="A581" s="574"/>
      <c r="B581" s="583"/>
      <c r="C581" s="166"/>
      <c r="D581" s="166"/>
      <c r="E581" s="205"/>
      <c r="F581" s="170"/>
      <c r="G581" s="205">
        <f>+VLOOKUP(Table_1[[#This Row],[Account]],BV_Data_An_Cour!$L:$Q,6,0)</f>
        <v>0</v>
      </c>
      <c r="H581" s="170"/>
    </row>
    <row r="582" spans="1:8" ht="15" hidden="1" customHeight="1">
      <c r="A582" s="169"/>
      <c r="B582" s="171"/>
      <c r="C582" s="166"/>
      <c r="D582" s="166"/>
      <c r="E582" s="205"/>
      <c r="F582" s="170"/>
      <c r="G582" s="205">
        <f>+VLOOKUP(Table_1[[#This Row],[Account]],BV_Data_An_Cour!$L:$Q,6,0)</f>
        <v>0</v>
      </c>
      <c r="H582" s="170"/>
    </row>
    <row r="583" spans="1:8" ht="15" hidden="1" customHeight="1">
      <c r="A583" s="169"/>
      <c r="B583" s="171"/>
      <c r="C583" s="166"/>
      <c r="D583" s="166"/>
      <c r="E583" s="205"/>
      <c r="F583" s="170"/>
      <c r="G583" s="205">
        <f>+VLOOKUP(Table_1[[#This Row],[Account]],BV_Data_An_Cour!$L:$Q,6,0)</f>
        <v>0</v>
      </c>
      <c r="H583" s="170"/>
    </row>
    <row r="584" spans="1:8" ht="15" hidden="1" customHeight="1">
      <c r="A584" s="574"/>
      <c r="B584" s="583"/>
      <c r="C584" s="166"/>
      <c r="D584" s="166"/>
      <c r="E584" s="205"/>
      <c r="F584" s="170"/>
      <c r="G584" s="205">
        <f>+VLOOKUP(Table_1[[#This Row],[Account]],BV_Data_An_Cour!$L:$Q,6,0)</f>
        <v>0</v>
      </c>
      <c r="H584" s="170"/>
    </row>
    <row r="585" spans="1:8" ht="15" hidden="1" customHeight="1">
      <c r="A585" s="574"/>
      <c r="B585" s="583"/>
      <c r="C585" s="567"/>
      <c r="D585" s="166"/>
      <c r="E585" s="205"/>
      <c r="F585" s="170"/>
      <c r="G585" s="205">
        <f>+VLOOKUP(Table_1[[#This Row],[Account]],BV_Data_An_Cour!$L:$Q,6,0)</f>
        <v>0</v>
      </c>
      <c r="H585" s="170"/>
    </row>
    <row r="586" spans="1:8" ht="15" hidden="1" customHeight="1">
      <c r="A586" s="169"/>
      <c r="B586" s="171"/>
      <c r="C586" s="567"/>
      <c r="D586" s="166"/>
      <c r="E586" s="205"/>
      <c r="F586" s="170"/>
      <c r="G586" s="205">
        <f>+VLOOKUP(Table_1[[#This Row],[Account]],BV_Data_An_Cour!$L:$Q,6,0)</f>
        <v>0</v>
      </c>
      <c r="H586" s="170"/>
    </row>
    <row r="587" spans="1:8" ht="15" hidden="1" customHeight="1">
      <c r="A587" s="169"/>
      <c r="B587" s="171"/>
      <c r="C587" s="166"/>
      <c r="D587" s="166"/>
      <c r="E587" s="205"/>
      <c r="F587" s="170"/>
      <c r="G587" s="205">
        <f>+VLOOKUP(Table_1[[#This Row],[Account]],BV_Data_An_Cour!$L:$Q,6,0)</f>
        <v>0</v>
      </c>
      <c r="H587" s="170"/>
    </row>
    <row r="588" spans="1:8" ht="15" hidden="1" customHeight="1">
      <c r="A588" s="574"/>
      <c r="B588" s="583"/>
      <c r="C588" s="166"/>
      <c r="D588" s="166"/>
      <c r="E588" s="205"/>
      <c r="F588" s="170"/>
      <c r="G588" s="205">
        <f>+VLOOKUP(Table_1[[#This Row],[Account]],BV_Data_An_Cour!$L:$Q,6,0)</f>
        <v>0</v>
      </c>
      <c r="H588" s="170"/>
    </row>
    <row r="589" spans="1:8" ht="15" hidden="1" customHeight="1">
      <c r="A589" s="169"/>
      <c r="B589" s="171"/>
      <c r="C589" s="166"/>
      <c r="D589" s="166"/>
      <c r="E589" s="205"/>
      <c r="F589" s="170"/>
      <c r="G589" s="205">
        <f>+VLOOKUP(Table_1[[#This Row],[Account]],BV_Data_An_Cour!$L:$Q,6,0)</f>
        <v>0</v>
      </c>
      <c r="H589" s="170"/>
    </row>
    <row r="590" spans="1:8" ht="15" hidden="1" customHeight="1">
      <c r="A590" s="169"/>
      <c r="B590" s="171"/>
      <c r="C590" s="166"/>
      <c r="D590" s="166"/>
      <c r="E590" s="205"/>
      <c r="F590" s="170"/>
      <c r="G590" s="205">
        <f>+VLOOKUP(Table_1[[#This Row],[Account]],BV_Data_An_Cour!$L:$Q,6,0)</f>
        <v>0</v>
      </c>
      <c r="H590" s="170"/>
    </row>
    <row r="591" spans="1:8" ht="15" hidden="1" customHeight="1">
      <c r="A591" s="574"/>
      <c r="B591" s="583"/>
      <c r="C591" s="166"/>
      <c r="D591" s="166"/>
      <c r="E591" s="205"/>
      <c r="F591" s="170"/>
      <c r="G591" s="205">
        <f>+VLOOKUP(Table_1[[#This Row],[Account]],BV_Data_An_Cour!$L:$Q,6,0)</f>
        <v>0</v>
      </c>
      <c r="H591" s="170"/>
    </row>
    <row r="592" spans="1:8" ht="15" hidden="1" customHeight="1">
      <c r="A592" s="574"/>
      <c r="B592" s="583"/>
      <c r="C592" s="166"/>
      <c r="D592" s="166"/>
      <c r="E592" s="205"/>
      <c r="F592" s="170"/>
      <c r="G592" s="205">
        <f>+VLOOKUP(Table_1[[#This Row],[Account]],BV_Data_An_Cour!$L:$Q,6,0)</f>
        <v>0</v>
      </c>
      <c r="H592" s="170"/>
    </row>
    <row r="593" spans="1:29" ht="15" hidden="1" customHeight="1">
      <c r="A593" s="574"/>
      <c r="B593" s="583"/>
      <c r="C593" s="166"/>
      <c r="D593" s="166"/>
      <c r="E593" s="205"/>
      <c r="F593" s="170"/>
      <c r="G593" s="205">
        <f>+VLOOKUP(Table_1[[#This Row],[Account]],BV_Data_An_Cour!$L:$Q,6,0)</f>
        <v>0</v>
      </c>
      <c r="H593" s="170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9"/>
      <c r="B594" s="171"/>
      <c r="C594" s="166"/>
      <c r="D594" s="166"/>
      <c r="E594" s="205"/>
      <c r="F594" s="170"/>
      <c r="G594" s="205">
        <f>+VLOOKUP(Table_1[[#This Row],[Account]],BV_Data_An_Cour!$L:$Q,6,0)</f>
        <v>0</v>
      </c>
      <c r="H594" s="170"/>
    </row>
    <row r="595" spans="1:29" ht="15" hidden="1" customHeight="1">
      <c r="A595" s="169"/>
      <c r="B595" s="171"/>
      <c r="C595" s="166"/>
      <c r="D595" s="166"/>
      <c r="E595" s="205"/>
      <c r="F595" s="170"/>
      <c r="G595" s="205">
        <f>+VLOOKUP(Table_1[[#This Row],[Account]],BV_Data_An_Cour!$L:$Q,6,0)</f>
        <v>0</v>
      </c>
      <c r="H595" s="170"/>
    </row>
    <row r="596" spans="1:29" ht="15" hidden="1" customHeight="1">
      <c r="A596" s="579"/>
      <c r="B596" s="578"/>
      <c r="C596" s="166"/>
      <c r="D596" s="166"/>
      <c r="E596" s="205"/>
      <c r="F596" s="170"/>
      <c r="G596" s="205">
        <f>+VLOOKUP(Table_1[[#This Row],[Account]],BV_Data_An_Cour!$L:$Q,6,0)</f>
        <v>0</v>
      </c>
      <c r="H596" s="170"/>
    </row>
    <row r="597" spans="1:29" ht="15" hidden="1" customHeight="1">
      <c r="A597" s="574"/>
      <c r="B597" s="583"/>
      <c r="C597" s="166"/>
      <c r="D597" s="166"/>
      <c r="E597" s="205"/>
      <c r="F597" s="170"/>
      <c r="G597" s="205">
        <f>+VLOOKUP(Table_1[[#This Row],[Account]],BV_Data_An_Cour!$L:$Q,6,0)</f>
        <v>0</v>
      </c>
      <c r="H597" s="170"/>
    </row>
    <row r="598" spans="1:29" ht="15" hidden="1" customHeight="1">
      <c r="A598" s="574"/>
      <c r="B598" s="583"/>
      <c r="C598" s="166"/>
      <c r="D598" s="166"/>
      <c r="E598" s="205"/>
      <c r="F598" s="170"/>
      <c r="G598" s="205">
        <f>+VLOOKUP(Table_1[[#This Row],[Account]],BV_Data_An_Cour!$L:$Q,6,0)</f>
        <v>0</v>
      </c>
      <c r="H598" s="170"/>
    </row>
    <row r="599" spans="1:29" ht="15" hidden="1" customHeight="1">
      <c r="A599" s="173"/>
      <c r="B599" s="172"/>
      <c r="C599" s="166"/>
      <c r="D599" s="166"/>
      <c r="E599" s="205"/>
      <c r="F599" s="170"/>
      <c r="G599" s="205">
        <f>+VLOOKUP(Table_1[[#This Row],[Account]],BV_Data_An_Cour!$L:$Q,6,0)</f>
        <v>0</v>
      </c>
      <c r="H599" s="170"/>
    </row>
    <row r="600" spans="1:29" ht="15" hidden="1" customHeight="1">
      <c r="A600" s="173"/>
      <c r="B600" s="172"/>
      <c r="C600" s="166"/>
      <c r="D600" s="166"/>
      <c r="E600" s="205"/>
      <c r="F600" s="170"/>
      <c r="G600" s="205">
        <f>+VLOOKUP(Table_1[[#This Row],[Account]],BV_Data_An_Cour!$L:$Q,6,0)</f>
        <v>0</v>
      </c>
      <c r="H600" s="170"/>
    </row>
    <row r="601" spans="1:29" ht="15" hidden="1" customHeight="1">
      <c r="A601" s="579"/>
      <c r="B601" s="578"/>
      <c r="C601" s="166"/>
      <c r="D601" s="166"/>
      <c r="E601" s="205"/>
      <c r="F601" s="170"/>
      <c r="G601" s="205">
        <f>+VLOOKUP(Table_1[[#This Row],[Account]],BV_Data_An_Cour!$L:$Q,6,0)</f>
        <v>0</v>
      </c>
      <c r="H601" s="170"/>
    </row>
    <row r="602" spans="1:29" ht="15" hidden="1" customHeight="1">
      <c r="A602" s="574"/>
      <c r="B602" s="583"/>
      <c r="C602" s="166"/>
      <c r="D602" s="166"/>
      <c r="E602" s="205"/>
      <c r="F602" s="170"/>
      <c r="G602" s="205">
        <f>+VLOOKUP(Table_1[[#This Row],[Account]],BV_Data_An_Cour!$L:$Q,6,0)</f>
        <v>0</v>
      </c>
      <c r="H602" s="170"/>
    </row>
    <row r="603" spans="1:29" ht="15" hidden="1" customHeight="1">
      <c r="A603" s="169"/>
      <c r="B603" s="177"/>
      <c r="C603" s="166"/>
      <c r="D603" s="166"/>
      <c r="E603" s="205"/>
      <c r="F603" s="170"/>
      <c r="G603" s="205">
        <f>+VLOOKUP(Table_1[[#This Row],[Account]],BV_Data_An_Cour!$L:$Q,6,0)</f>
        <v>0</v>
      </c>
      <c r="H603" s="170"/>
    </row>
    <row r="604" spans="1:29" ht="15" hidden="1" customHeight="1">
      <c r="A604" s="169"/>
      <c r="B604" s="177"/>
      <c r="C604" s="166"/>
      <c r="D604" s="166"/>
      <c r="E604" s="205"/>
      <c r="F604" s="170"/>
      <c r="G604" s="205">
        <f>+VLOOKUP(Table_1[[#This Row],[Account]],BV_Data_An_Cour!$L:$Q,6,0)</f>
        <v>0</v>
      </c>
      <c r="H604" s="170"/>
    </row>
    <row r="605" spans="1:29" ht="15" hidden="1" customHeight="1">
      <c r="A605" s="169"/>
      <c r="B605" s="171"/>
      <c r="C605" s="166"/>
      <c r="D605" s="166"/>
      <c r="E605" s="205"/>
      <c r="F605" s="170"/>
      <c r="G605" s="205">
        <f>+VLOOKUP(Table_1[[#This Row],[Account]],BV_Data_An_Cour!$L:$Q,6,0)</f>
        <v>0</v>
      </c>
      <c r="H605" s="170"/>
    </row>
    <row r="606" spans="1:29" ht="15" hidden="1" customHeight="1">
      <c r="A606" s="169"/>
      <c r="B606" s="171"/>
      <c r="C606" s="166"/>
      <c r="D606" s="166"/>
      <c r="E606" s="205"/>
      <c r="F606" s="170"/>
      <c r="G606" s="205">
        <f>+VLOOKUP(Table_1[[#This Row],[Account]],BV_Data_An_Cour!$L:$Q,6,0)</f>
        <v>0</v>
      </c>
      <c r="H606" s="170"/>
    </row>
    <row r="607" spans="1:29" ht="15" hidden="1" customHeight="1">
      <c r="A607" s="579"/>
      <c r="B607" s="578"/>
      <c r="C607" s="166"/>
      <c r="D607" s="166"/>
      <c r="E607" s="205"/>
      <c r="F607" s="170"/>
      <c r="G607" s="205">
        <f>+VLOOKUP(Table_1[[#This Row],[Account]],BV_Data_An_Cour!$L:$Q,6,0)</f>
        <v>0</v>
      </c>
      <c r="H607" s="170"/>
    </row>
    <row r="608" spans="1:29" ht="15" hidden="1" customHeight="1">
      <c r="A608" s="169"/>
      <c r="B608" s="171"/>
      <c r="C608" s="166"/>
      <c r="D608" s="166"/>
      <c r="E608" s="205"/>
      <c r="F608" s="170"/>
      <c r="G608" s="205">
        <f>+VLOOKUP(Table_1[[#This Row],[Account]],BV_Data_An_Cour!$L:$Q,6,0)</f>
        <v>0</v>
      </c>
      <c r="H608" s="170"/>
    </row>
    <row r="609" spans="1:8" ht="15" hidden="1" customHeight="1">
      <c r="A609" s="579"/>
      <c r="B609" s="578"/>
      <c r="C609" s="166"/>
      <c r="D609" s="166"/>
      <c r="E609" s="205"/>
      <c r="F609" s="170"/>
      <c r="G609" s="205">
        <f>+VLOOKUP(Table_1[[#This Row],[Account]],BV_Data_An_Cour!$L:$Q,6,0)</f>
        <v>0</v>
      </c>
      <c r="H609" s="170"/>
    </row>
    <row r="610" spans="1:8" ht="15" hidden="1" customHeight="1">
      <c r="A610" s="579"/>
      <c r="B610" s="578"/>
      <c r="C610" s="166"/>
      <c r="D610" s="166"/>
      <c r="E610" s="205"/>
      <c r="F610" s="170"/>
      <c r="G610" s="205">
        <f>+VLOOKUP(Table_1[[#This Row],[Account]],BV_Data_An_Cour!$L:$Q,6,0)</f>
        <v>0</v>
      </c>
      <c r="H610" s="170"/>
    </row>
    <row r="611" spans="1:8" ht="15" hidden="1" customHeight="1">
      <c r="A611" s="579"/>
      <c r="B611" s="578"/>
      <c r="C611" s="166"/>
      <c r="D611" s="166"/>
      <c r="E611" s="205"/>
      <c r="F611" s="170"/>
      <c r="G611" s="205">
        <f>+VLOOKUP(Table_1[[#This Row],[Account]],BV_Data_An_Cour!$L:$Q,6,0)</f>
        <v>0</v>
      </c>
      <c r="H611" s="170"/>
    </row>
    <row r="612" spans="1:8" ht="15" hidden="1" customHeight="1">
      <c r="A612" s="169"/>
      <c r="B612" s="171"/>
      <c r="C612" s="166"/>
      <c r="D612" s="166"/>
      <c r="E612" s="205"/>
      <c r="F612" s="170"/>
      <c r="G612" s="205">
        <f>+VLOOKUP(Table_1[[#This Row],[Account]],BV_Data_An_Cour!$L:$Q,6,0)</f>
        <v>0</v>
      </c>
      <c r="H612" s="170"/>
    </row>
    <row r="613" spans="1:8" ht="15" hidden="1" customHeight="1">
      <c r="A613" s="579"/>
      <c r="B613" s="172"/>
      <c r="C613" s="166"/>
      <c r="D613" s="166"/>
      <c r="E613" s="205"/>
      <c r="F613" s="170"/>
      <c r="G613" s="205">
        <f>+VLOOKUP(Table_1[[#This Row],[Account]],BV_Data_An_Cour!$L:$Q,6,0)</f>
        <v>0</v>
      </c>
      <c r="H613" s="170"/>
    </row>
    <row r="614" spans="1:8" ht="15" hidden="1" customHeight="1">
      <c r="A614" s="169"/>
      <c r="B614" s="171"/>
      <c r="C614" s="166"/>
      <c r="D614" s="166"/>
      <c r="E614" s="205"/>
      <c r="F614" s="170"/>
      <c r="G614" s="205">
        <f>+VLOOKUP(Table_1[[#This Row],[Account]],BV_Data_An_Cour!$L:$Q,6,0)</f>
        <v>0</v>
      </c>
      <c r="H614" s="170"/>
    </row>
    <row r="615" spans="1:8" ht="15" hidden="1" customHeight="1">
      <c r="A615" s="173"/>
      <c r="B615" s="578"/>
      <c r="C615" s="166"/>
      <c r="D615" s="166"/>
      <c r="E615" s="205"/>
      <c r="F615" s="170"/>
      <c r="G615" s="205">
        <f>+VLOOKUP(Table_1[[#This Row],[Account]],BV_Data_An_Cour!$L:$Q,6,0)</f>
        <v>0</v>
      </c>
      <c r="H615" s="170"/>
    </row>
    <row r="616" spans="1:8" ht="15" hidden="1" customHeight="1">
      <c r="A616" s="574"/>
      <c r="B616" s="583"/>
      <c r="C616" s="166"/>
      <c r="D616" s="166"/>
      <c r="E616" s="205"/>
      <c r="F616" s="170"/>
      <c r="G616" s="205">
        <f>+VLOOKUP(Table_1[[#This Row],[Account]],BV_Data_An_Cour!$L:$Q,6,0)</f>
        <v>0</v>
      </c>
      <c r="H616" s="170"/>
    </row>
    <row r="617" spans="1:8" ht="15" hidden="1" customHeight="1">
      <c r="A617" s="574"/>
      <c r="B617" s="583"/>
      <c r="C617" s="166"/>
      <c r="D617" s="166"/>
      <c r="E617" s="205"/>
      <c r="F617" s="170"/>
      <c r="G617" s="205">
        <f>+VLOOKUP(Table_1[[#This Row],[Account]],BV_Data_An_Cour!$L:$Q,6,0)</f>
        <v>0</v>
      </c>
      <c r="H617" s="170"/>
    </row>
    <row r="618" spans="1:8" ht="15" hidden="1" customHeight="1">
      <c r="A618" s="178"/>
      <c r="B618" s="179"/>
      <c r="C618" s="166"/>
      <c r="D618" s="166"/>
      <c r="E618" s="205"/>
      <c r="F618" s="170"/>
      <c r="G618" s="205">
        <f>+VLOOKUP(Table_1[[#This Row],[Account]],BV_Data_An_Cour!$L:$Q,6,0)</f>
        <v>0</v>
      </c>
      <c r="H618" s="170"/>
    </row>
    <row r="619" spans="1:8" ht="15" hidden="1" customHeight="1">
      <c r="A619" s="169"/>
      <c r="B619" s="171"/>
      <c r="C619" s="166"/>
      <c r="D619" s="166"/>
      <c r="E619" s="205"/>
      <c r="F619" s="170"/>
      <c r="G619" s="205">
        <f>+VLOOKUP(Table_1[[#This Row],[Account]],BV_Data_An_Cour!$L:$Q,6,0)</f>
        <v>0</v>
      </c>
      <c r="H619" s="170"/>
    </row>
    <row r="620" spans="1:8" ht="15" hidden="1" customHeight="1">
      <c r="A620" s="582"/>
      <c r="B620" s="582"/>
      <c r="C620" s="166"/>
      <c r="D620" s="166"/>
      <c r="E620" s="205"/>
      <c r="F620" s="170"/>
      <c r="G620" s="205">
        <f>+VLOOKUP(Table_1[[#This Row],[Account]],BV_Data_An_Cour!$L:$Q,6,0)</f>
        <v>0</v>
      </c>
      <c r="H620" s="170"/>
    </row>
    <row r="621" spans="1:8" ht="15" hidden="1" customHeight="1">
      <c r="A621" s="171"/>
      <c r="B621" s="171"/>
      <c r="C621" s="567"/>
      <c r="D621" s="567"/>
      <c r="E621" s="205"/>
      <c r="F621" s="170"/>
      <c r="G621" s="205">
        <f>+VLOOKUP(Table_1[[#This Row],[Account]],BV_Data_An_Cour!$L:$Q,6,0)</f>
        <v>0</v>
      </c>
      <c r="H621" s="170"/>
    </row>
    <row r="622" spans="1:8" ht="15" hidden="1" customHeight="1">
      <c r="A622" s="576"/>
      <c r="B622" s="584"/>
      <c r="C622" s="166"/>
      <c r="D622" s="166"/>
      <c r="E622" s="205"/>
      <c r="F622" s="170"/>
      <c r="G622" s="205">
        <f>+VLOOKUP(Table_1[[#This Row],[Account]],BV_Data_An_Cour!$L:$Q,6,0)</f>
        <v>0</v>
      </c>
      <c r="H622" s="170"/>
    </row>
    <row r="623" spans="1:8" ht="15" hidden="1" customHeight="1">
      <c r="A623" s="171"/>
      <c r="B623" s="171"/>
      <c r="C623" s="567"/>
      <c r="D623" s="567"/>
      <c r="E623" s="205"/>
      <c r="F623" s="170"/>
      <c r="G623" s="205">
        <f>+VLOOKUP(Table_1[[#This Row],[Account]],BV_Data_An_Cour!$L:$Q,6,0)</f>
        <v>0</v>
      </c>
      <c r="H623" s="170"/>
    </row>
    <row r="624" spans="1:8" ht="15" hidden="1" customHeight="1">
      <c r="A624" s="178"/>
      <c r="B624" s="179"/>
      <c r="C624" s="166"/>
      <c r="D624" s="166"/>
      <c r="E624" s="205"/>
      <c r="F624" s="170"/>
      <c r="G624" s="205">
        <f>+VLOOKUP(Table_1[[#This Row],[Account]],BV_Data_An_Cour!$L:$Q,6,0)</f>
        <v>0</v>
      </c>
      <c r="H624" s="170"/>
    </row>
    <row r="625" spans="1:29" ht="15" hidden="1" customHeight="1">
      <c r="A625" s="578"/>
      <c r="B625" s="578"/>
      <c r="C625" s="567"/>
      <c r="D625" s="567"/>
      <c r="E625" s="205"/>
      <c r="F625" s="170"/>
      <c r="G625" s="205">
        <f>+VLOOKUP(Table_1[[#This Row],[Account]],BV_Data_An_Cour!$L:$Q,6,0)</f>
        <v>0</v>
      </c>
      <c r="H625" s="170"/>
    </row>
    <row r="626" spans="1:29" ht="15" hidden="1" customHeight="1">
      <c r="A626" s="169"/>
      <c r="B626" s="171"/>
      <c r="C626" s="166"/>
      <c r="D626" s="166"/>
      <c r="E626" s="205"/>
      <c r="F626" s="170"/>
      <c r="G626" s="205">
        <f>+VLOOKUP(Table_1[[#This Row],[Account]],BV_Data_An_Cour!$L:$Q,6,0)</f>
        <v>0</v>
      </c>
      <c r="H626" s="170"/>
    </row>
    <row r="627" spans="1:29" ht="15" hidden="1" customHeight="1">
      <c r="A627" s="173"/>
      <c r="B627" s="172"/>
      <c r="C627" s="166"/>
      <c r="D627" s="166"/>
      <c r="E627" s="205"/>
      <c r="F627" s="170"/>
      <c r="G627" s="205">
        <f>+VLOOKUP(Table_1[[#This Row],[Account]],BV_Data_An_Cour!$L:$Q,6,0)</f>
        <v>0</v>
      </c>
      <c r="H627" s="170"/>
    </row>
    <row r="628" spans="1:29" ht="15" hidden="1" customHeight="1">
      <c r="A628" s="173"/>
      <c r="B628" s="172"/>
      <c r="C628" s="166"/>
      <c r="D628" s="166"/>
      <c r="E628" s="205"/>
      <c r="F628" s="170"/>
      <c r="G628" s="205">
        <f>+VLOOKUP(Table_1[[#This Row],[Account]],BV_Data_An_Cour!$L:$Q,6,0)</f>
        <v>0</v>
      </c>
      <c r="H628" s="170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171"/>
      <c r="B629" s="171"/>
      <c r="C629" s="166"/>
      <c r="D629" s="166"/>
      <c r="E629" s="205"/>
      <c r="F629" s="170"/>
      <c r="G629" s="205">
        <f>+VLOOKUP(Table_1[[#This Row],[Account]],BV_Data_An_Cour!$L:$Q,6,0)</f>
        <v>0</v>
      </c>
      <c r="H629" s="170"/>
    </row>
    <row r="630" spans="1:29" ht="15" hidden="1" customHeight="1">
      <c r="A630" s="578"/>
      <c r="B630" s="578"/>
      <c r="C630" s="166"/>
      <c r="D630" s="166"/>
      <c r="E630" s="205"/>
      <c r="F630" s="170"/>
      <c r="G630" s="205">
        <f>+VLOOKUP(Table_1[[#This Row],[Account]],BV_Data_An_Cour!$L:$Q,6,0)</f>
        <v>0</v>
      </c>
      <c r="H630" s="170"/>
    </row>
    <row r="631" spans="1:29" ht="15" hidden="1" customHeight="1">
      <c r="A631" s="574"/>
      <c r="B631" s="583"/>
      <c r="C631" s="567"/>
      <c r="D631" s="166"/>
      <c r="E631" s="205"/>
      <c r="F631" s="170"/>
      <c r="G631" s="205">
        <f>+VLOOKUP(Table_1[[#This Row],[Account]],BV_Data_An_Cour!$L:$Q,6,0)</f>
        <v>0</v>
      </c>
      <c r="H631" s="170"/>
    </row>
    <row r="632" spans="1:29" ht="15" hidden="1" customHeight="1">
      <c r="A632" s="173"/>
      <c r="B632" s="172"/>
      <c r="C632" s="567"/>
      <c r="D632" s="567"/>
      <c r="E632" s="205"/>
      <c r="F632" s="170"/>
      <c r="G632" s="205">
        <f>+VLOOKUP(Table_1[[#This Row],[Account]],BV_Data_An_Cour!$L:$Q,6,0)</f>
        <v>0</v>
      </c>
      <c r="H632" s="170"/>
    </row>
    <row r="633" spans="1:29" ht="15" hidden="1" customHeight="1">
      <c r="A633" s="169"/>
      <c r="B633" s="171"/>
      <c r="C633" s="567"/>
      <c r="D633" s="567"/>
      <c r="E633" s="205"/>
      <c r="F633" s="170"/>
      <c r="G633" s="205">
        <f>+VLOOKUP(Table_1[[#This Row],[Account]],BV_Data_An_Cour!$L:$Q,6,0)</f>
        <v>0</v>
      </c>
      <c r="H633" s="170"/>
    </row>
    <row r="634" spans="1:29" ht="15" hidden="1" customHeight="1">
      <c r="A634" s="579"/>
      <c r="B634" s="578"/>
      <c r="C634" s="567"/>
      <c r="D634" s="567"/>
      <c r="E634" s="205"/>
      <c r="F634" s="170"/>
      <c r="G634" s="205">
        <f>+VLOOKUP(Table_1[[#This Row],[Account]],BV_Data_An_Cour!$L:$Q,6,0)</f>
        <v>0</v>
      </c>
      <c r="H634" s="170"/>
    </row>
    <row r="635" spans="1:29" ht="15" hidden="1" customHeight="1">
      <c r="A635" s="169"/>
      <c r="B635" s="171"/>
      <c r="C635" s="166"/>
      <c r="D635" s="166"/>
      <c r="E635" s="205"/>
      <c r="F635" s="170"/>
      <c r="G635" s="205">
        <f>+VLOOKUP(Table_1[[#This Row],[Account]],BV_Data_An_Cour!$L:$Q,6,0)</f>
        <v>0</v>
      </c>
      <c r="H635" s="170"/>
    </row>
    <row r="636" spans="1:29" ht="15" hidden="1" customHeight="1">
      <c r="A636" s="169"/>
      <c r="B636" s="171"/>
      <c r="C636" s="567"/>
      <c r="D636" s="166"/>
      <c r="E636" s="205"/>
      <c r="F636" s="170"/>
      <c r="G636" s="205">
        <f>+VLOOKUP(Table_1[[#This Row],[Account]],BV_Data_An_Cour!$L:$Q,6,0)</f>
        <v>0</v>
      </c>
      <c r="H636" s="170"/>
    </row>
    <row r="637" spans="1:29" ht="15" hidden="1" customHeight="1">
      <c r="A637" s="579"/>
      <c r="B637" s="578"/>
      <c r="C637" s="567"/>
      <c r="D637" s="567"/>
      <c r="E637" s="205"/>
      <c r="F637" s="170"/>
      <c r="G637" s="205">
        <f>+VLOOKUP(Table_1[[#This Row],[Account]],BV_Data_An_Cour!$L:$Q,6,0)</f>
        <v>0</v>
      </c>
      <c r="H637" s="170"/>
    </row>
    <row r="638" spans="1:29" ht="15" hidden="1" customHeight="1">
      <c r="A638" s="579"/>
      <c r="B638" s="578"/>
      <c r="C638" s="166"/>
      <c r="D638" s="166"/>
      <c r="E638" s="205"/>
      <c r="F638" s="170"/>
      <c r="G638" s="205">
        <f>+VLOOKUP(Table_1[[#This Row],[Account]],BV_Data_An_Cour!$L:$Q,6,0)</f>
        <v>0</v>
      </c>
      <c r="H638" s="170"/>
    </row>
    <row r="639" spans="1:29" ht="15" hidden="1" customHeight="1">
      <c r="A639" s="169"/>
      <c r="B639" s="171"/>
      <c r="C639" s="166"/>
      <c r="D639" s="166"/>
      <c r="E639" s="205"/>
      <c r="F639" s="170"/>
      <c r="G639" s="205">
        <f>+VLOOKUP(Table_1[[#This Row],[Account]],BV_Data_An_Cour!$L:$Q,6,0)</f>
        <v>0</v>
      </c>
      <c r="H639" s="170"/>
    </row>
    <row r="640" spans="1:29" ht="15" hidden="1" customHeight="1">
      <c r="A640" s="169"/>
      <c r="B640" s="171"/>
      <c r="C640" s="166"/>
      <c r="D640" s="166"/>
      <c r="E640" s="205"/>
      <c r="F640" s="170"/>
      <c r="G640" s="205">
        <f>+VLOOKUP(Table_1[[#This Row],[Account]],BV_Data_An_Cour!$L:$Q,6,0)</f>
        <v>0</v>
      </c>
      <c r="H640" s="170"/>
    </row>
    <row r="641" spans="1:29" ht="15" hidden="1" customHeight="1">
      <c r="A641" s="574"/>
      <c r="B641" s="583"/>
      <c r="C641" s="166"/>
      <c r="D641" s="166"/>
      <c r="E641" s="205"/>
      <c r="F641" s="170"/>
      <c r="G641" s="205">
        <f>+VLOOKUP(Table_1[[#This Row],[Account]],BV_Data_An_Cour!$L:$Q,6,0)</f>
        <v>0</v>
      </c>
      <c r="H641" s="170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601"/>
      <c r="B642" s="585"/>
      <c r="C642" s="166"/>
      <c r="D642" s="166"/>
      <c r="E642" s="205"/>
      <c r="F642" s="170"/>
      <c r="G642" s="205">
        <f>+VLOOKUP(Table_1[[#This Row],[Account]],BV_Data_An_Cour!$L:$Q,6,0)</f>
        <v>0</v>
      </c>
      <c r="H642" s="170"/>
    </row>
    <row r="643" spans="1:29" ht="15" hidden="1" customHeight="1">
      <c r="A643" s="574"/>
      <c r="B643" s="583"/>
      <c r="C643" s="166"/>
      <c r="D643" s="166"/>
      <c r="E643" s="205"/>
      <c r="F643" s="170"/>
      <c r="G643" s="205">
        <f>+VLOOKUP(Table_1[[#This Row],[Account]],BV_Data_An_Cour!$L:$Q,6,0)</f>
        <v>0</v>
      </c>
      <c r="H643" s="170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69"/>
      <c r="B644" s="171"/>
      <c r="C644" s="166"/>
      <c r="D644" s="166"/>
      <c r="E644" s="205"/>
      <c r="F644" s="170"/>
      <c r="G644" s="205">
        <f>+VLOOKUP(Table_1[[#This Row],[Account]],BV_Data_An_Cour!$L:$Q,6,0)</f>
        <v>0</v>
      </c>
      <c r="H644" s="170"/>
      <c r="K644" s="2"/>
    </row>
    <row r="645" spans="1:29" ht="15" hidden="1" customHeight="1">
      <c r="A645" s="579"/>
      <c r="B645" s="578"/>
      <c r="C645" s="166"/>
      <c r="D645" s="166"/>
      <c r="E645" s="205"/>
      <c r="F645" s="170"/>
      <c r="G645" s="205">
        <f>+VLOOKUP(Table_1[[#This Row],[Account]],BV_Data_An_Cour!$L:$Q,6,0)</f>
        <v>0</v>
      </c>
      <c r="H645" s="170"/>
    </row>
    <row r="646" spans="1:29" ht="15" hidden="1" customHeight="1">
      <c r="A646" s="579"/>
      <c r="B646" s="578"/>
      <c r="C646" s="166"/>
      <c r="D646" s="166"/>
      <c r="E646" s="205"/>
      <c r="F646" s="170"/>
      <c r="G646" s="205">
        <f>+VLOOKUP(Table_1[[#This Row],[Account]],BV_Data_An_Cour!$L:$Q,6,0)</f>
        <v>0</v>
      </c>
      <c r="H646" s="170"/>
    </row>
    <row r="647" spans="1:29" ht="15" hidden="1" customHeight="1">
      <c r="A647" s="579"/>
      <c r="B647" s="578"/>
      <c r="C647" s="166"/>
      <c r="D647" s="166"/>
      <c r="E647" s="205"/>
      <c r="F647" s="170"/>
      <c r="G647" s="205">
        <f>+VLOOKUP(Table_1[[#This Row],[Account]],BV_Data_An_Cour!$L:$Q,6,0)</f>
        <v>0</v>
      </c>
      <c r="H647" s="170"/>
    </row>
    <row r="648" spans="1:29" ht="15" hidden="1" customHeight="1">
      <c r="A648" s="574"/>
      <c r="B648" s="583"/>
      <c r="C648" s="166"/>
      <c r="D648" s="166"/>
      <c r="E648" s="205"/>
      <c r="F648" s="170"/>
      <c r="G648" s="205">
        <f>+VLOOKUP(Table_1[[#This Row],[Account]],BV_Data_An_Cour!$L:$Q,6,0)</f>
        <v>0</v>
      </c>
      <c r="H648" s="170"/>
    </row>
    <row r="649" spans="1:29" ht="15" hidden="1" customHeight="1">
      <c r="A649" s="173"/>
      <c r="B649" s="172"/>
      <c r="C649" s="166"/>
      <c r="D649" s="166"/>
      <c r="E649" s="205"/>
      <c r="F649" s="170"/>
      <c r="G649" s="205">
        <f>+VLOOKUP(Table_1[[#This Row],[Account]],BV_Data_An_Cour!$L:$Q,6,0)</f>
        <v>0</v>
      </c>
      <c r="H649" s="170"/>
    </row>
    <row r="650" spans="1:29" ht="15" hidden="1" customHeight="1">
      <c r="A650" s="173"/>
      <c r="B650" s="172"/>
      <c r="C650" s="166"/>
      <c r="D650" s="166"/>
      <c r="E650" s="205"/>
      <c r="F650" s="170"/>
      <c r="G650" s="205">
        <f>+VLOOKUP(Table_1[[#This Row],[Account]],BV_Data_An_Cour!$L:$Q,6,0)</f>
        <v>0</v>
      </c>
      <c r="H650" s="170"/>
    </row>
    <row r="651" spans="1:29" ht="15" hidden="1" customHeight="1">
      <c r="A651" s="173"/>
      <c r="B651" s="172"/>
      <c r="C651" s="166"/>
      <c r="D651" s="166"/>
      <c r="E651" s="205"/>
      <c r="F651" s="170"/>
      <c r="G651" s="205">
        <f>+VLOOKUP(Table_1[[#This Row],[Account]],BV_Data_An_Cour!$L:$Q,6,0)</f>
        <v>0</v>
      </c>
      <c r="H651" s="170"/>
    </row>
    <row r="652" spans="1:29" ht="15" hidden="1" customHeight="1">
      <c r="A652" s="193"/>
      <c r="B652" s="603"/>
      <c r="C652" s="166"/>
      <c r="D652" s="166"/>
      <c r="E652" s="205"/>
      <c r="F652" s="170"/>
      <c r="G652" s="205">
        <f>+VLOOKUP(Table_1[[#This Row],[Account]],BV_Data_An_Cour!$L:$Q,6,0)</f>
        <v>0</v>
      </c>
      <c r="H652" s="170"/>
    </row>
    <row r="653" spans="1:29" ht="15" hidden="1" customHeight="1">
      <c r="A653" s="574"/>
      <c r="B653" s="795"/>
      <c r="C653" s="166"/>
      <c r="D653" s="166"/>
      <c r="E653" s="205"/>
      <c r="F653" s="167"/>
      <c r="G653" s="205">
        <f>+VLOOKUP(Table_1[[#This Row],[Account]],BV_Data_An_Cour!$L:$Q,6,0)</f>
        <v>0</v>
      </c>
      <c r="H653" s="170"/>
    </row>
    <row r="654" spans="1:29" ht="15" hidden="1" customHeight="1">
      <c r="A654" s="169"/>
      <c r="B654" s="171"/>
      <c r="C654" s="166"/>
      <c r="D654" s="166"/>
      <c r="E654" s="205"/>
      <c r="F654" s="170"/>
      <c r="G654" s="205">
        <f>+VLOOKUP(Table_1[[#This Row],[Account]],BV_Data_An_Cour!$L:$Q,6,0)</f>
        <v>0</v>
      </c>
      <c r="H654" s="170"/>
    </row>
    <row r="655" spans="1:29" ht="15" hidden="1" customHeight="1">
      <c r="A655" s="169"/>
      <c r="B655" s="171"/>
      <c r="C655" s="166"/>
      <c r="D655" s="166"/>
      <c r="E655" s="205"/>
      <c r="F655" s="170"/>
      <c r="G655" s="205">
        <f>+VLOOKUP(Table_1[[#This Row],[Account]],BV_Data_An_Cour!$L:$Q,6,0)</f>
        <v>0</v>
      </c>
      <c r="H655" s="170"/>
    </row>
    <row r="656" spans="1:29" ht="15" hidden="1" customHeight="1">
      <c r="A656" s="574"/>
      <c r="B656" s="583"/>
      <c r="C656" s="166"/>
      <c r="D656" s="166"/>
      <c r="E656" s="205"/>
      <c r="F656" s="170"/>
      <c r="G656" s="205">
        <f>+VLOOKUP(Table_1[[#This Row],[Account]],BV_Data_An_Cour!$L:$Q,6,0)</f>
        <v>0</v>
      </c>
      <c r="H656" s="170"/>
    </row>
    <row r="657" spans="1:8" ht="15" hidden="1" customHeight="1">
      <c r="A657" s="574"/>
      <c r="B657" s="583"/>
      <c r="C657" s="166"/>
      <c r="D657" s="166"/>
      <c r="E657" s="205"/>
      <c r="F657" s="170"/>
      <c r="G657" s="205">
        <f>+VLOOKUP(Table_1[[#This Row],[Account]],BV_Data_An_Cour!$L:$Q,6,0)</f>
        <v>0</v>
      </c>
      <c r="H657" s="170"/>
    </row>
    <row r="658" spans="1:8" ht="15" hidden="1" customHeight="1">
      <c r="A658" s="169"/>
      <c r="B658" s="583"/>
      <c r="C658" s="166"/>
      <c r="D658" s="166"/>
      <c r="E658" s="205"/>
      <c r="F658" s="170"/>
      <c r="G658" s="205">
        <f>+VLOOKUP(Table_1[[#This Row],[Account]],BV_Data_An_Cour!$L:$Q,6,0)</f>
        <v>0</v>
      </c>
      <c r="H658" s="170"/>
    </row>
    <row r="659" spans="1:8" ht="15" hidden="1" customHeight="1">
      <c r="A659" s="577"/>
      <c r="B659" s="582"/>
      <c r="C659" s="166"/>
      <c r="D659" s="166"/>
      <c r="E659" s="205"/>
      <c r="F659" s="170"/>
      <c r="G659" s="205">
        <f>+VLOOKUP(Table_1[[#This Row],[Account]],BV_Data_An_Cour!$L:$Q,6,0)</f>
        <v>0</v>
      </c>
      <c r="H659" s="170"/>
    </row>
    <row r="660" spans="1:8" ht="15" hidden="1" customHeight="1">
      <c r="A660" s="169"/>
      <c r="B660" s="171"/>
      <c r="C660" s="166"/>
      <c r="D660" s="166"/>
      <c r="E660" s="205"/>
      <c r="F660" s="170"/>
      <c r="G660" s="205">
        <f>+VLOOKUP(Table_1[[#This Row],[Account]],BV_Data_An_Cour!$L:$Q,6,0)</f>
        <v>0</v>
      </c>
      <c r="H660" s="170"/>
    </row>
    <row r="661" spans="1:8" ht="15" hidden="1" customHeight="1">
      <c r="A661" s="169"/>
      <c r="B661" s="171"/>
      <c r="C661" s="166"/>
      <c r="D661" s="166"/>
      <c r="E661" s="205"/>
      <c r="F661" s="170"/>
      <c r="G661" s="205">
        <f>+VLOOKUP(Table_1[[#This Row],[Account]],BV_Data_An_Cour!$L:$Q,6,0)</f>
        <v>0</v>
      </c>
      <c r="H661" s="170"/>
    </row>
    <row r="662" spans="1:8" ht="15" hidden="1" customHeight="1">
      <c r="A662" s="579"/>
      <c r="B662" s="578"/>
      <c r="C662" s="166"/>
      <c r="D662" s="166"/>
      <c r="E662" s="205"/>
      <c r="F662" s="170"/>
      <c r="G662" s="205">
        <f>+VLOOKUP(Table_1[[#This Row],[Account]],BV_Data_An_Cour!$L:$Q,6,0)</f>
        <v>0</v>
      </c>
      <c r="H662" s="170"/>
    </row>
    <row r="663" spans="1:8" ht="15" hidden="1" customHeight="1">
      <c r="A663" s="574"/>
      <c r="B663" s="583"/>
      <c r="C663" s="166"/>
      <c r="D663" s="166"/>
      <c r="E663" s="205"/>
      <c r="F663" s="170"/>
      <c r="G663" s="205">
        <f>+VLOOKUP(Table_1[[#This Row],[Account]],BV_Data_An_Cour!$L:$Q,6,0)</f>
        <v>0</v>
      </c>
      <c r="H663" s="170"/>
    </row>
    <row r="664" spans="1:8" ht="15" hidden="1" customHeight="1">
      <c r="A664" s="579"/>
      <c r="B664" s="578"/>
      <c r="C664" s="166"/>
      <c r="D664" s="166"/>
      <c r="E664" s="205"/>
      <c r="F664" s="170"/>
      <c r="G664" s="205">
        <f>+VLOOKUP(Table_1[[#This Row],[Account]],BV_Data_An_Cour!$L:$Q,6,0)</f>
        <v>0</v>
      </c>
      <c r="H664" s="170"/>
    </row>
    <row r="665" spans="1:8" ht="15" hidden="1" customHeight="1">
      <c r="A665" s="169"/>
      <c r="B665" s="171"/>
      <c r="C665" s="166"/>
      <c r="D665" s="166"/>
      <c r="E665" s="205"/>
      <c r="F665" s="170"/>
      <c r="G665" s="205">
        <f>+VLOOKUP(Table_1[[#This Row],[Account]],BV_Data_An_Cour!$L:$Q,6,0)</f>
        <v>0</v>
      </c>
      <c r="H665" s="170"/>
    </row>
    <row r="666" spans="1:8" ht="15" hidden="1" customHeight="1">
      <c r="A666" s="169"/>
      <c r="B666" s="171"/>
      <c r="C666" s="166"/>
      <c r="D666" s="166"/>
      <c r="E666" s="205"/>
      <c r="F666" s="170"/>
      <c r="G666" s="205">
        <f>+VLOOKUP(Table_1[[#This Row],[Account]],BV_Data_An_Cour!$L:$Q,6,0)</f>
        <v>0</v>
      </c>
      <c r="H666" s="170"/>
    </row>
    <row r="667" spans="1:8" ht="15" hidden="1" customHeight="1">
      <c r="A667" s="579"/>
      <c r="B667" s="578"/>
      <c r="C667" s="166"/>
      <c r="D667" s="166"/>
      <c r="E667" s="205"/>
      <c r="F667" s="170"/>
      <c r="G667" s="205">
        <f>+VLOOKUP(Table_1[[#This Row],[Account]],BV_Data_An_Cour!$L:$Q,6,0)</f>
        <v>0</v>
      </c>
      <c r="H667" s="170"/>
    </row>
    <row r="668" spans="1:8" ht="15" hidden="1" customHeight="1">
      <c r="A668" s="169"/>
      <c r="B668" s="174"/>
      <c r="C668" s="166"/>
      <c r="D668" s="166"/>
      <c r="E668" s="205"/>
      <c r="F668" s="170"/>
      <c r="G668" s="205">
        <f>+VLOOKUP(Table_1[[#This Row],[Account]],BV_Data_An_Cour!$L:$Q,6,0)</f>
        <v>0</v>
      </c>
      <c r="H668" s="170"/>
    </row>
    <row r="669" spans="1:8" ht="15" hidden="1" customHeight="1">
      <c r="A669" s="574"/>
      <c r="B669" s="583"/>
      <c r="C669" s="166"/>
      <c r="D669" s="166"/>
      <c r="E669" s="205"/>
      <c r="F669" s="170"/>
      <c r="G669" s="205">
        <f>+VLOOKUP(Table_1[[#This Row],[Account]],BV_Data_An_Cour!$L:$Q,6,0)</f>
        <v>0</v>
      </c>
      <c r="H669" s="170"/>
    </row>
    <row r="670" spans="1:8" ht="15" hidden="1" customHeight="1">
      <c r="A670" s="169"/>
      <c r="B670" s="171"/>
      <c r="C670" s="166"/>
      <c r="D670" s="166"/>
      <c r="E670" s="205"/>
      <c r="F670" s="170"/>
      <c r="G670" s="205">
        <f>+VLOOKUP(Table_1[[#This Row],[Account]],BV_Data_An_Cour!$L:$Q,6,0)</f>
        <v>0</v>
      </c>
      <c r="H670" s="170"/>
    </row>
    <row r="671" spans="1:8" ht="15" hidden="1" customHeight="1">
      <c r="A671" s="169"/>
      <c r="B671" s="171"/>
      <c r="C671" s="166"/>
      <c r="D671" s="166"/>
      <c r="E671" s="205"/>
      <c r="F671" s="170"/>
      <c r="G671" s="205">
        <f>+VLOOKUP(Table_1[[#This Row],[Account]],BV_Data_An_Cour!$L:$Q,6,0)</f>
        <v>0</v>
      </c>
      <c r="H671" s="170"/>
    </row>
    <row r="672" spans="1:8" ht="15" hidden="1" customHeight="1">
      <c r="A672" s="579"/>
      <c r="B672" s="578"/>
      <c r="C672" s="166"/>
      <c r="D672" s="166"/>
      <c r="E672" s="205"/>
      <c r="F672" s="170"/>
      <c r="G672" s="205">
        <f>+VLOOKUP(Table_1[[#This Row],[Account]],BV_Data_An_Cour!$L:$Q,6,0)</f>
        <v>0</v>
      </c>
      <c r="H672" s="170"/>
    </row>
    <row r="673" spans="1:11" ht="15" hidden="1" customHeight="1">
      <c r="A673" s="579"/>
      <c r="B673" s="578"/>
      <c r="C673" s="166"/>
      <c r="D673" s="166"/>
      <c r="E673" s="205"/>
      <c r="F673" s="170"/>
      <c r="G673" s="205">
        <f>+VLOOKUP(Table_1[[#This Row],[Account]],BV_Data_An_Cour!$L:$Q,6,0)</f>
        <v>0</v>
      </c>
      <c r="H673" s="170"/>
    </row>
    <row r="674" spans="1:11" ht="15" hidden="1" customHeight="1">
      <c r="A674" s="579"/>
      <c r="B674" s="578"/>
      <c r="C674" s="166"/>
      <c r="D674" s="166"/>
      <c r="E674" s="205"/>
      <c r="F674" s="170"/>
      <c r="G674" s="205">
        <f>+VLOOKUP(Table_1[[#This Row],[Account]],BV_Data_An_Cour!$L:$Q,6,0)</f>
        <v>0</v>
      </c>
      <c r="H674" s="170"/>
    </row>
    <row r="675" spans="1:11" ht="15" hidden="1" customHeight="1">
      <c r="A675" s="579"/>
      <c r="B675" s="578"/>
      <c r="C675" s="166"/>
      <c r="D675" s="166"/>
      <c r="E675" s="205"/>
      <c r="F675" s="170"/>
      <c r="G675" s="205">
        <f>+VLOOKUP(Table_1[[#This Row],[Account]],BV_Data_An_Cour!$L:$Q,6,0)</f>
        <v>0</v>
      </c>
      <c r="H675" s="170"/>
    </row>
    <row r="676" spans="1:11" ht="15" hidden="1" customHeight="1">
      <c r="A676" s="578"/>
      <c r="B676" s="578"/>
      <c r="C676" s="166"/>
      <c r="D676" s="166"/>
      <c r="E676" s="205"/>
      <c r="F676" s="170"/>
      <c r="G676" s="205">
        <f>+VLOOKUP(Table_1[[#This Row],[Account]],BV_Data_An_Cour!$L:$Q,6,0)</f>
        <v>0</v>
      </c>
      <c r="H676" s="170"/>
    </row>
    <row r="677" spans="1:11" ht="15" hidden="1" customHeight="1">
      <c r="A677" s="173"/>
      <c r="B677" s="172"/>
      <c r="C677" s="166"/>
      <c r="D677" s="166"/>
      <c r="E677" s="205"/>
      <c r="F677" s="170"/>
      <c r="G677" s="205">
        <f>+VLOOKUP(Table_1[[#This Row],[Account]],BV_Data_An_Cour!$L:$Q,6,0)</f>
        <v>0</v>
      </c>
      <c r="H677" s="170"/>
    </row>
    <row r="678" spans="1:11" ht="15" hidden="1" customHeight="1">
      <c r="A678" s="574"/>
      <c r="B678" s="583"/>
      <c r="C678" s="166"/>
      <c r="D678" s="166"/>
      <c r="E678" s="205"/>
      <c r="F678" s="170"/>
      <c r="G678" s="205">
        <f>+VLOOKUP(Table_1[[#This Row],[Account]],BV_Data_An_Cour!$L:$Q,6,0)</f>
        <v>0</v>
      </c>
      <c r="H678" s="170"/>
    </row>
    <row r="679" spans="1:11" ht="15" hidden="1" customHeight="1">
      <c r="A679" s="579"/>
      <c r="B679" s="578"/>
      <c r="C679" s="166"/>
      <c r="D679" s="166"/>
      <c r="E679" s="205"/>
      <c r="F679" s="170"/>
      <c r="G679" s="205">
        <f>+VLOOKUP(Table_1[[#This Row],[Account]],BV_Data_An_Cour!$L:$Q,6,0)</f>
        <v>0</v>
      </c>
      <c r="H679" s="170"/>
      <c r="K679" s="2"/>
    </row>
    <row r="680" spans="1:11" ht="15" hidden="1" customHeight="1">
      <c r="A680" s="173"/>
      <c r="B680" s="172"/>
      <c r="C680" s="166"/>
      <c r="D680" s="166"/>
      <c r="E680" s="205"/>
      <c r="F680" s="170"/>
      <c r="G680" s="205">
        <f>+VLOOKUP(Table_1[[#This Row],[Account]],BV_Data_An_Cour!$L:$Q,6,0)</f>
        <v>0</v>
      </c>
      <c r="H680" s="170"/>
    </row>
    <row r="681" spans="1:11" ht="15" hidden="1" customHeight="1">
      <c r="A681" s="173"/>
      <c r="B681" s="172"/>
      <c r="C681" s="567"/>
      <c r="D681" s="166"/>
      <c r="E681" s="205"/>
      <c r="F681" s="170"/>
      <c r="G681" s="205">
        <f>+VLOOKUP(Table_1[[#This Row],[Account]],BV_Data_An_Cour!$L:$Q,6,0)</f>
        <v>0</v>
      </c>
      <c r="H681" s="170"/>
    </row>
    <row r="682" spans="1:11" ht="15" hidden="1" customHeight="1">
      <c r="A682" s="173"/>
      <c r="B682" s="172"/>
      <c r="C682" s="567"/>
      <c r="D682" s="567"/>
      <c r="E682" s="205"/>
      <c r="F682" s="170"/>
      <c r="G682" s="205">
        <f>+VLOOKUP(Table_1[[#This Row],[Account]],BV_Data_An_Cour!$L:$Q,6,0)</f>
        <v>0</v>
      </c>
      <c r="H682" s="170"/>
    </row>
    <row r="683" spans="1:11" ht="15" hidden="1" customHeight="1">
      <c r="A683" s="574"/>
      <c r="B683" s="583"/>
      <c r="C683" s="567"/>
      <c r="D683" s="166"/>
      <c r="E683" s="205"/>
      <c r="F683" s="170"/>
      <c r="G683" s="205">
        <f>+VLOOKUP(Table_1[[#This Row],[Account]],BV_Data_An_Cour!$L:$Q,6,0)</f>
        <v>0</v>
      </c>
      <c r="H683" s="170"/>
    </row>
    <row r="684" spans="1:11" ht="15" hidden="1" customHeight="1">
      <c r="A684" s="173"/>
      <c r="B684" s="172"/>
      <c r="C684" s="567"/>
      <c r="D684" s="567"/>
      <c r="E684" s="205"/>
      <c r="F684" s="170"/>
      <c r="G684" s="205">
        <f>+VLOOKUP(Table_1[[#This Row],[Account]],BV_Data_An_Cour!$L:$Q,6,0)</f>
        <v>0</v>
      </c>
      <c r="H684" s="170"/>
    </row>
    <row r="685" spans="1:11" ht="15" hidden="1" customHeight="1">
      <c r="A685" s="169"/>
      <c r="B685" s="171"/>
      <c r="C685" s="567"/>
      <c r="D685" s="567"/>
      <c r="E685" s="205"/>
      <c r="F685" s="170"/>
      <c r="G685" s="205">
        <f>+VLOOKUP(Table_1[[#This Row],[Account]],BV_Data_An_Cour!$L:$Q,6,0)</f>
        <v>0</v>
      </c>
      <c r="H685" s="170"/>
    </row>
    <row r="686" spans="1:11" ht="15" hidden="1" customHeight="1">
      <c r="A686" s="173"/>
      <c r="B686" s="172"/>
      <c r="C686" s="166"/>
      <c r="D686" s="567"/>
      <c r="E686" s="205"/>
      <c r="F686" s="170"/>
      <c r="G686" s="205">
        <f>+VLOOKUP(Table_1[[#This Row],[Account]],BV_Data_An_Cour!$L:$Q,6,0)</f>
        <v>0</v>
      </c>
      <c r="H686" s="170"/>
    </row>
    <row r="687" spans="1:11" ht="15" hidden="1" customHeight="1">
      <c r="A687" s="169"/>
      <c r="B687" s="171"/>
      <c r="C687" s="166"/>
      <c r="D687" s="166"/>
      <c r="E687" s="205"/>
      <c r="F687" s="170"/>
      <c r="G687" s="205">
        <f>+VLOOKUP(Table_1[[#This Row],[Account]],BV_Data_An_Cour!$L:$Q,6,0)</f>
        <v>0</v>
      </c>
      <c r="H687" s="170"/>
    </row>
    <row r="688" spans="1:11" ht="15" hidden="1" customHeight="1">
      <c r="A688" s="169"/>
      <c r="B688" s="171"/>
      <c r="C688" s="166"/>
      <c r="D688" s="166"/>
      <c r="E688" s="205"/>
      <c r="F688" s="170"/>
      <c r="G688" s="205">
        <f>+VLOOKUP(Table_1[[#This Row],[Account]],BV_Data_An_Cour!$L:$Q,6,0)</f>
        <v>0</v>
      </c>
      <c r="H688" s="170"/>
    </row>
    <row r="689" spans="1:29" ht="15" hidden="1" customHeight="1">
      <c r="A689" s="579"/>
      <c r="B689" s="578"/>
      <c r="C689" s="166"/>
      <c r="D689" s="166"/>
      <c r="E689" s="205"/>
      <c r="F689" s="170"/>
      <c r="G689" s="205">
        <f>+VLOOKUP(Table_1[[#This Row],[Account]],BV_Data_An_Cour!$L:$Q,6,0)</f>
        <v>0</v>
      </c>
      <c r="H689" s="170"/>
    </row>
    <row r="690" spans="1:29" ht="15" hidden="1" customHeight="1">
      <c r="A690" s="169"/>
      <c r="B690" s="171"/>
      <c r="C690" s="166"/>
      <c r="D690" s="166"/>
      <c r="E690" s="205"/>
      <c r="F690" s="170"/>
      <c r="G690" s="205">
        <f>+VLOOKUP(Table_1[[#This Row],[Account]],BV_Data_An_Cour!$L:$Q,6,0)</f>
        <v>0</v>
      </c>
      <c r="H690" s="170"/>
    </row>
    <row r="691" spans="1:29" ht="15" hidden="1" customHeight="1">
      <c r="A691" s="169"/>
      <c r="B691" s="171"/>
      <c r="C691" s="166"/>
      <c r="D691" s="166"/>
      <c r="E691" s="205"/>
      <c r="F691" s="170"/>
      <c r="G691" s="205">
        <f>+VLOOKUP(Table_1[[#This Row],[Account]],BV_Data_An_Cour!$L:$Q,6,0)</f>
        <v>0</v>
      </c>
      <c r="H691" s="170"/>
    </row>
    <row r="692" spans="1:29" ht="15" hidden="1" customHeight="1">
      <c r="A692" s="579"/>
      <c r="B692" s="578"/>
      <c r="C692" s="166"/>
      <c r="D692" s="166"/>
      <c r="E692" s="205"/>
      <c r="F692" s="170"/>
      <c r="G692" s="205">
        <f>+VLOOKUP(Table_1[[#This Row],[Account]],BV_Data_An_Cour!$L:$Q,6,0)</f>
        <v>0</v>
      </c>
      <c r="H692" s="170"/>
      <c r="K692" s="2"/>
    </row>
    <row r="693" spans="1:29" ht="15" hidden="1" customHeight="1">
      <c r="A693" s="579"/>
      <c r="B693" s="578"/>
      <c r="C693" s="166"/>
      <c r="D693" s="166"/>
      <c r="E693" s="205"/>
      <c r="F693" s="170"/>
      <c r="G693" s="205">
        <f>+VLOOKUP(Table_1[[#This Row],[Account]],BV_Data_An_Cour!$L:$Q,6,0)</f>
        <v>0</v>
      </c>
      <c r="H693" s="170"/>
    </row>
    <row r="694" spans="1:29" ht="15" hidden="1" customHeight="1">
      <c r="A694" s="169"/>
      <c r="B694" s="171"/>
      <c r="C694" s="166"/>
      <c r="D694" s="166"/>
      <c r="E694" s="205"/>
      <c r="F694" s="170"/>
      <c r="G694" s="205">
        <f>+VLOOKUP(Table_1[[#This Row],[Account]],BV_Data_An_Cour!$L:$Q,6,0)</f>
        <v>0</v>
      </c>
      <c r="H694" s="170"/>
      <c r="K694" s="2"/>
    </row>
    <row r="695" spans="1:29" ht="15" hidden="1" customHeight="1">
      <c r="A695" s="169"/>
      <c r="B695" s="171"/>
      <c r="C695" s="166"/>
      <c r="D695" s="166"/>
      <c r="E695" s="205"/>
      <c r="F695" s="170"/>
      <c r="G695" s="205">
        <f>+VLOOKUP(Table_1[[#This Row],[Account]],BV_Data_An_Cour!$L:$Q,6,0)</f>
        <v>0</v>
      </c>
      <c r="H695" s="170"/>
    </row>
    <row r="696" spans="1:29" ht="15" hidden="1" customHeight="1">
      <c r="A696" s="169"/>
      <c r="B696" s="171"/>
      <c r="C696" s="166"/>
      <c r="D696" s="166"/>
      <c r="E696" s="205"/>
      <c r="F696" s="170"/>
      <c r="G696" s="205">
        <f>+VLOOKUP(Table_1[[#This Row],[Account]],BV_Data_An_Cour!$L:$Q,6,0)</f>
        <v>0</v>
      </c>
      <c r="H696" s="170"/>
    </row>
    <row r="697" spans="1:29" ht="15" hidden="1" customHeight="1">
      <c r="A697" s="169"/>
      <c r="B697" s="171"/>
      <c r="C697" s="166"/>
      <c r="D697" s="166"/>
      <c r="E697" s="205"/>
      <c r="F697" s="170"/>
      <c r="G697" s="205">
        <f>+VLOOKUP(Table_1[[#This Row],[Account]],BV_Data_An_Cour!$L:$Q,6,0)</f>
        <v>0</v>
      </c>
      <c r="H697" s="170"/>
    </row>
    <row r="698" spans="1:29" ht="15" hidden="1" customHeight="1">
      <c r="A698" s="169"/>
      <c r="B698" s="171"/>
      <c r="C698" s="166"/>
      <c r="D698" s="166"/>
      <c r="E698" s="205"/>
      <c r="F698" s="170"/>
      <c r="G698" s="205">
        <f>+VLOOKUP(Table_1[[#This Row],[Account]],BV_Data_An_Cour!$L:$Q,6,0)</f>
        <v>0</v>
      </c>
      <c r="H698" s="170"/>
    </row>
    <row r="699" spans="1:29" ht="15" hidden="1" customHeight="1">
      <c r="A699" s="169"/>
      <c r="B699" s="171"/>
      <c r="C699" s="166"/>
      <c r="D699" s="166"/>
      <c r="E699" s="205"/>
      <c r="F699" s="170"/>
      <c r="G699" s="205">
        <f>+VLOOKUP(Table_1[[#This Row],[Account]],BV_Data_An_Cour!$L:$Q,6,0)</f>
        <v>0</v>
      </c>
      <c r="H699" s="170"/>
    </row>
    <row r="700" spans="1:29" ht="15" hidden="1" customHeight="1">
      <c r="A700" s="169"/>
      <c r="B700" s="171"/>
      <c r="C700" s="166"/>
      <c r="D700" s="166"/>
      <c r="E700" s="205"/>
      <c r="F700" s="170"/>
      <c r="G700" s="205">
        <f>+VLOOKUP(Table_1[[#This Row],[Account]],BV_Data_An_Cour!$L:$Q,6,0)</f>
        <v>0</v>
      </c>
      <c r="H700" s="170"/>
    </row>
    <row r="701" spans="1:29" ht="15" hidden="1" customHeight="1">
      <c r="A701" s="169"/>
      <c r="B701" s="171"/>
      <c r="C701" s="166"/>
      <c r="D701" s="166"/>
      <c r="E701" s="205"/>
      <c r="F701" s="170"/>
      <c r="G701" s="205">
        <f>+VLOOKUP(Table_1[[#This Row],[Account]],BV_Data_An_Cour!$L:$Q,6,0)</f>
        <v>0</v>
      </c>
      <c r="H701" s="170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574"/>
      <c r="B702" s="583"/>
      <c r="C702" s="166"/>
      <c r="D702" s="166"/>
      <c r="E702" s="205"/>
      <c r="F702" s="170"/>
      <c r="G702" s="205">
        <f>+VLOOKUP(Table_1[[#This Row],[Account]],BV_Data_An_Cour!$L:$Q,6,0)</f>
        <v>0</v>
      </c>
      <c r="H702" s="170"/>
    </row>
    <row r="703" spans="1:29" ht="15" hidden="1" customHeight="1">
      <c r="A703" s="169"/>
      <c r="B703" s="171"/>
      <c r="C703" s="166"/>
      <c r="D703" s="166"/>
      <c r="E703" s="205"/>
      <c r="F703" s="170"/>
      <c r="G703" s="205">
        <f>+VLOOKUP(Table_1[[#This Row],[Account]],BV_Data_An_Cour!$L:$Q,6,0)</f>
        <v>0</v>
      </c>
      <c r="H703" s="170"/>
    </row>
    <row r="704" spans="1:29" ht="15" hidden="1" customHeight="1">
      <c r="A704" s="169"/>
      <c r="B704" s="171"/>
      <c r="C704" s="166"/>
      <c r="D704" s="166"/>
      <c r="E704" s="205"/>
      <c r="F704" s="170"/>
      <c r="G704" s="205">
        <f>+VLOOKUP(Table_1[[#This Row],[Account]],BV_Data_An_Cour!$L:$Q,6,0)</f>
        <v>0</v>
      </c>
      <c r="H704" s="170"/>
    </row>
    <row r="705" spans="1:8" ht="15" hidden="1" customHeight="1">
      <c r="A705" s="169"/>
      <c r="B705" s="171"/>
      <c r="C705" s="166"/>
      <c r="D705" s="166"/>
      <c r="E705" s="205"/>
      <c r="F705" s="170"/>
      <c r="G705" s="205">
        <f>+VLOOKUP(Table_1[[#This Row],[Account]],BV_Data_An_Cour!$L:$Q,6,0)</f>
        <v>0</v>
      </c>
      <c r="H705" s="170"/>
    </row>
    <row r="706" spans="1:8" ht="15" hidden="1" customHeight="1">
      <c r="A706" s="169"/>
      <c r="B706" s="171"/>
      <c r="C706" s="166"/>
      <c r="D706" s="166"/>
      <c r="E706" s="205"/>
      <c r="F706" s="170"/>
      <c r="G706" s="205">
        <f>+VLOOKUP(Table_1[[#This Row],[Account]],BV_Data_An_Cour!$L:$Q,6,0)</f>
        <v>0</v>
      </c>
      <c r="H706" s="170"/>
    </row>
    <row r="707" spans="1:8" ht="15" hidden="1" customHeight="1">
      <c r="A707" s="169"/>
      <c r="B707" s="171"/>
      <c r="C707" s="166"/>
      <c r="D707" s="166"/>
      <c r="E707" s="205"/>
      <c r="F707" s="170"/>
      <c r="G707" s="205">
        <f>+VLOOKUP(Table_1[[#This Row],[Account]],BV_Data_An_Cour!$L:$Q,6,0)</f>
        <v>0</v>
      </c>
      <c r="H707" s="170"/>
    </row>
    <row r="708" spans="1:8" ht="15" hidden="1" customHeight="1">
      <c r="A708" s="169"/>
      <c r="B708" s="171"/>
      <c r="C708" s="166"/>
      <c r="D708" s="166"/>
      <c r="E708" s="205"/>
      <c r="F708" s="170"/>
      <c r="G708" s="205">
        <f>+VLOOKUP(Table_1[[#This Row],[Account]],BV_Data_An_Cour!$L:$Q,6,0)</f>
        <v>0</v>
      </c>
      <c r="H708" s="170"/>
    </row>
    <row r="709" spans="1:8" ht="15" hidden="1" customHeight="1">
      <c r="A709" s="169"/>
      <c r="B709" s="171"/>
      <c r="C709" s="166"/>
      <c r="D709" s="166"/>
      <c r="E709" s="205"/>
      <c r="F709" s="170"/>
      <c r="G709" s="205">
        <f>+VLOOKUP(Table_1[[#This Row],[Account]],BV_Data_An_Cour!$L:$Q,6,0)</f>
        <v>0</v>
      </c>
      <c r="H709" s="170"/>
    </row>
    <row r="710" spans="1:8" ht="15" hidden="1" customHeight="1">
      <c r="A710" s="574"/>
      <c r="B710" s="583"/>
      <c r="C710" s="166"/>
      <c r="D710" s="166"/>
      <c r="E710" s="205"/>
      <c r="F710" s="170"/>
      <c r="G710" s="205">
        <f>+VLOOKUP(Table_1[[#This Row],[Account]],BV_Data_An_Cour!$L:$Q,6,0)</f>
        <v>0</v>
      </c>
      <c r="H710" s="170"/>
    </row>
    <row r="711" spans="1:8" ht="15" hidden="1" customHeight="1">
      <c r="A711" s="169"/>
      <c r="B711" s="171"/>
      <c r="C711" s="166"/>
      <c r="D711" s="166"/>
      <c r="E711" s="205"/>
      <c r="F711" s="170"/>
      <c r="G711" s="205">
        <f>+VLOOKUP(Table_1[[#This Row],[Account]],BV_Data_An_Cour!$L:$Q,6,0)</f>
        <v>0</v>
      </c>
      <c r="H711" s="170"/>
    </row>
    <row r="712" spans="1:8" ht="15" hidden="1" customHeight="1">
      <c r="A712" s="574"/>
      <c r="B712" s="583"/>
      <c r="C712" s="166"/>
      <c r="D712" s="166"/>
      <c r="E712" s="205"/>
      <c r="F712" s="170"/>
      <c r="G712" s="205">
        <f>+VLOOKUP(Table_1[[#This Row],[Account]],BV_Data_An_Cour!$L:$Q,6,0)</f>
        <v>0</v>
      </c>
      <c r="H712" s="170"/>
    </row>
    <row r="713" spans="1:8" ht="15" hidden="1" customHeight="1">
      <c r="A713" s="171"/>
      <c r="B713" s="171"/>
      <c r="C713" s="166"/>
      <c r="D713" s="166"/>
      <c r="E713" s="205"/>
      <c r="F713" s="170"/>
      <c r="G713" s="205">
        <f>+VLOOKUP(Table_1[[#This Row],[Account]],BV_Data_An_Cour!$L:$Q,6,0)</f>
        <v>0</v>
      </c>
      <c r="H713" s="170"/>
    </row>
    <row r="714" spans="1:8" ht="15" hidden="1" customHeight="1">
      <c r="A714" s="574"/>
      <c r="B714" s="583"/>
      <c r="C714" s="166"/>
      <c r="D714" s="166"/>
      <c r="E714" s="205"/>
      <c r="F714" s="170"/>
      <c r="G714" s="205">
        <f>+VLOOKUP(Table_1[[#This Row],[Account]],BV_Data_An_Cour!$L:$Q,6,0)</f>
        <v>0</v>
      </c>
      <c r="H714" s="170"/>
    </row>
    <row r="715" spans="1:8" ht="15" hidden="1" customHeight="1">
      <c r="A715" s="574"/>
      <c r="B715" s="583"/>
      <c r="C715" s="166"/>
      <c r="D715" s="166"/>
      <c r="E715" s="205"/>
      <c r="F715" s="170"/>
      <c r="G715" s="205">
        <f>+VLOOKUP(Table_1[[#This Row],[Account]],BV_Data_An_Cour!$L:$Q,6,0)</f>
        <v>0</v>
      </c>
      <c r="H715" s="170"/>
    </row>
    <row r="716" spans="1:8" ht="15" hidden="1" customHeight="1">
      <c r="A716" s="173"/>
      <c r="B716" s="172"/>
      <c r="C716" s="166"/>
      <c r="D716" s="166"/>
      <c r="E716" s="205"/>
      <c r="F716" s="170"/>
      <c r="G716" s="205">
        <f>+VLOOKUP(Table_1[[#This Row],[Account]],BV_Data_An_Cour!$L:$Q,6,0)</f>
        <v>0</v>
      </c>
      <c r="H716" s="170"/>
    </row>
    <row r="717" spans="1:8" ht="15" hidden="1" customHeight="1">
      <c r="A717" s="173"/>
      <c r="B717" s="172"/>
      <c r="C717" s="166"/>
      <c r="D717" s="166"/>
      <c r="E717" s="205"/>
      <c r="F717" s="170"/>
      <c r="G717" s="205">
        <f>+VLOOKUP(Table_1[[#This Row],[Account]],BV_Data_An_Cour!$L:$Q,6,0)</f>
        <v>0</v>
      </c>
      <c r="H717" s="170"/>
    </row>
    <row r="718" spans="1:8" ht="15" hidden="1" customHeight="1">
      <c r="A718" s="579"/>
      <c r="B718" s="578"/>
      <c r="C718" s="166"/>
      <c r="D718" s="166"/>
      <c r="E718" s="205"/>
      <c r="F718" s="170"/>
      <c r="G718" s="205">
        <f>+VLOOKUP(Table_1[[#This Row],[Account]],BV_Data_An_Cour!$L:$Q,6,0)</f>
        <v>0</v>
      </c>
      <c r="H718" s="170"/>
    </row>
    <row r="719" spans="1:8" ht="15" hidden="1" customHeight="1">
      <c r="A719" s="173"/>
      <c r="B719" s="172"/>
      <c r="C719" s="567"/>
      <c r="D719" s="567"/>
      <c r="E719" s="205"/>
      <c r="F719" s="170"/>
      <c r="G719" s="205">
        <f>+VLOOKUP(Table_1[[#This Row],[Account]],BV_Data_An_Cour!$L:$Q,6,0)</f>
        <v>0</v>
      </c>
      <c r="H719" s="170"/>
    </row>
    <row r="720" spans="1:8" ht="15" hidden="1" customHeight="1">
      <c r="A720" s="169"/>
      <c r="B720" s="171"/>
      <c r="C720" s="567"/>
      <c r="D720" s="166"/>
      <c r="E720" s="205"/>
      <c r="F720" s="170"/>
      <c r="G720" s="205">
        <f>+VLOOKUP(Table_1[[#This Row],[Account]],BV_Data_An_Cour!$L:$Q,6,0)</f>
        <v>0</v>
      </c>
      <c r="H720" s="170"/>
    </row>
    <row r="721" spans="1:8" ht="15" hidden="1" customHeight="1">
      <c r="A721" s="574"/>
      <c r="B721" s="583"/>
      <c r="C721" s="567"/>
      <c r="D721" s="567"/>
      <c r="E721" s="205"/>
      <c r="F721" s="170"/>
      <c r="G721" s="205">
        <f>+VLOOKUP(Table_1[[#This Row],[Account]],BV_Data_An_Cour!$L:$Q,6,0)</f>
        <v>0</v>
      </c>
      <c r="H721" s="170"/>
    </row>
    <row r="722" spans="1:8" ht="15" hidden="1" customHeight="1">
      <c r="A722" s="574"/>
      <c r="B722" s="583"/>
      <c r="C722" s="567"/>
      <c r="D722" s="567"/>
      <c r="E722" s="205"/>
      <c r="F722" s="170"/>
      <c r="G722" s="205">
        <f>+VLOOKUP(Table_1[[#This Row],[Account]],BV_Data_An_Cour!$L:$Q,6,0)</f>
        <v>0</v>
      </c>
      <c r="H722" s="170"/>
    </row>
    <row r="723" spans="1:8" ht="15" hidden="1" customHeight="1">
      <c r="A723" s="574"/>
      <c r="B723" s="583"/>
      <c r="C723" s="166"/>
      <c r="D723" s="567"/>
      <c r="E723" s="205"/>
      <c r="F723" s="170"/>
      <c r="G723" s="205">
        <f>+VLOOKUP(Table_1[[#This Row],[Account]],BV_Data_An_Cour!$L:$Q,6,0)</f>
        <v>0</v>
      </c>
      <c r="H723" s="170"/>
    </row>
    <row r="724" spans="1:8" ht="15" hidden="1" customHeight="1">
      <c r="A724" s="169"/>
      <c r="B724" s="171"/>
      <c r="C724" s="166"/>
      <c r="D724" s="166"/>
      <c r="E724" s="205"/>
      <c r="F724" s="170"/>
      <c r="G724" s="205">
        <f>+VLOOKUP(Table_1[[#This Row],[Account]],BV_Data_An_Cour!$L:$Q,6,0)</f>
        <v>0</v>
      </c>
      <c r="H724" s="170"/>
    </row>
    <row r="725" spans="1:8" ht="15" hidden="1" customHeight="1">
      <c r="A725" s="169"/>
      <c r="B725" s="171"/>
      <c r="C725" s="166"/>
      <c r="D725" s="166"/>
      <c r="E725" s="205"/>
      <c r="F725" s="170"/>
      <c r="G725" s="205">
        <f>+VLOOKUP(Table_1[[#This Row],[Account]],BV_Data_An_Cour!$L:$Q,6,0)</f>
        <v>0</v>
      </c>
      <c r="H725" s="170"/>
    </row>
    <row r="726" spans="1:8" ht="15" hidden="1" customHeight="1">
      <c r="A726" s="169"/>
      <c r="B726" s="171"/>
      <c r="C726" s="166"/>
      <c r="D726" s="166"/>
      <c r="E726" s="205"/>
      <c r="F726" s="170"/>
      <c r="G726" s="205">
        <f>+VLOOKUP(Table_1[[#This Row],[Account]],BV_Data_An_Cour!$L:$Q,6,0)</f>
        <v>0</v>
      </c>
      <c r="H726" s="170"/>
    </row>
    <row r="727" spans="1:8" ht="15" hidden="1" customHeight="1">
      <c r="A727" s="169"/>
      <c r="B727" s="171"/>
      <c r="C727" s="166"/>
      <c r="D727" s="166"/>
      <c r="E727" s="205"/>
      <c r="F727" s="170"/>
      <c r="G727" s="205">
        <f>+VLOOKUP(Table_1[[#This Row],[Account]],BV_Data_An_Cour!$L:$Q,6,0)</f>
        <v>0</v>
      </c>
      <c r="H727" s="170"/>
    </row>
    <row r="728" spans="1:8" ht="15" hidden="1" customHeight="1">
      <c r="A728" s="169"/>
      <c r="B728" s="171"/>
      <c r="C728" s="166"/>
      <c r="D728" s="166"/>
      <c r="E728" s="205"/>
      <c r="F728" s="170"/>
      <c r="G728" s="205">
        <f>+VLOOKUP(Table_1[[#This Row],[Account]],BV_Data_An_Cour!$L:$Q,6,0)</f>
        <v>0</v>
      </c>
      <c r="H728" s="170"/>
    </row>
    <row r="729" spans="1:8" ht="15" hidden="1" customHeight="1">
      <c r="A729" s="169"/>
      <c r="B729" s="171"/>
      <c r="C729" s="166"/>
      <c r="D729" s="166"/>
      <c r="E729" s="205"/>
      <c r="F729" s="170"/>
      <c r="G729" s="205">
        <f>+VLOOKUP(Table_1[[#This Row],[Account]],BV_Data_An_Cour!$L:$Q,6,0)</f>
        <v>0</v>
      </c>
      <c r="H729" s="170"/>
    </row>
    <row r="730" spans="1:8" ht="15" hidden="1" customHeight="1">
      <c r="A730" s="169"/>
      <c r="B730" s="171"/>
      <c r="C730" s="166"/>
      <c r="D730" s="166"/>
      <c r="E730" s="205"/>
      <c r="F730" s="170"/>
      <c r="G730" s="205">
        <f>+VLOOKUP(Table_1[[#This Row],[Account]],BV_Data_An_Cour!$L:$Q,6,0)</f>
        <v>0</v>
      </c>
      <c r="H730" s="170"/>
    </row>
    <row r="731" spans="1:8" ht="15" hidden="1" customHeight="1">
      <c r="A731" s="169"/>
      <c r="B731" s="171"/>
      <c r="C731" s="166"/>
      <c r="D731" s="166"/>
      <c r="E731" s="205"/>
      <c r="F731" s="170"/>
      <c r="G731" s="205">
        <f>+VLOOKUP(Table_1[[#This Row],[Account]],BV_Data_An_Cour!$L:$Q,6,0)</f>
        <v>0</v>
      </c>
      <c r="H731" s="170"/>
    </row>
    <row r="732" spans="1:8" ht="15" hidden="1" customHeight="1">
      <c r="A732" s="169"/>
      <c r="B732" s="171"/>
      <c r="C732" s="166"/>
      <c r="D732" s="166"/>
      <c r="E732" s="205"/>
      <c r="F732" s="170"/>
      <c r="G732" s="205">
        <f>+VLOOKUP(Table_1[[#This Row],[Account]],BV_Data_An_Cour!$L:$Q,6,0)</f>
        <v>0</v>
      </c>
      <c r="H732" s="170"/>
    </row>
    <row r="733" spans="1:8" ht="15" hidden="1" customHeight="1">
      <c r="A733" s="169"/>
      <c r="B733" s="171"/>
      <c r="C733" s="166"/>
      <c r="D733" s="166"/>
      <c r="E733" s="205"/>
      <c r="F733" s="170"/>
      <c r="G733" s="205">
        <f>+VLOOKUP(Table_1[[#This Row],[Account]],BV_Data_An_Cour!$L:$Q,6,0)</f>
        <v>0</v>
      </c>
      <c r="H733" s="170"/>
    </row>
    <row r="734" spans="1:8" ht="15" hidden="1" customHeight="1">
      <c r="A734" s="169"/>
      <c r="B734" s="171"/>
      <c r="C734" s="166"/>
      <c r="D734" s="166"/>
      <c r="E734" s="205"/>
      <c r="F734" s="170"/>
      <c r="G734" s="205">
        <f>+VLOOKUP(Table_1[[#This Row],[Account]],BV_Data_An_Cour!$L:$Q,6,0)</f>
        <v>0</v>
      </c>
      <c r="H734" s="170"/>
    </row>
    <row r="735" spans="1:8" ht="15" hidden="1" customHeight="1">
      <c r="A735" s="579"/>
      <c r="B735" s="799"/>
      <c r="C735" s="166"/>
      <c r="D735" s="166"/>
      <c r="E735" s="205"/>
      <c r="F735" s="170"/>
      <c r="G735" s="205">
        <f>+VLOOKUP(Table_1[[#This Row],[Account]],BV_Data_An_Cour!$L:$Q,6,0)</f>
        <v>0</v>
      </c>
      <c r="H735" s="170"/>
    </row>
    <row r="736" spans="1:8" ht="15" hidden="1" customHeight="1">
      <c r="A736" s="169"/>
      <c r="B736" s="171"/>
      <c r="C736" s="567"/>
      <c r="D736" s="567"/>
      <c r="E736" s="205"/>
      <c r="F736" s="170"/>
      <c r="G736" s="205">
        <f>+VLOOKUP(Table_1[[#This Row],[Account]],BV_Data_An_Cour!$L:$Q,6,0)</f>
        <v>0</v>
      </c>
      <c r="H736" s="170"/>
    </row>
    <row r="737" spans="1:29" ht="15" hidden="1" customHeight="1">
      <c r="A737" s="173"/>
      <c r="B737" s="172"/>
      <c r="C737" s="166"/>
      <c r="D737" s="166"/>
      <c r="E737" s="205"/>
      <c r="F737" s="170"/>
      <c r="G737" s="205">
        <f>+VLOOKUP(Table_1[[#This Row],[Account]],BV_Data_An_Cour!$L:$Q,6,0)</f>
        <v>0</v>
      </c>
      <c r="H737" s="170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9"/>
      <c r="B738" s="171"/>
      <c r="C738" s="166"/>
      <c r="D738" s="166"/>
      <c r="E738" s="205"/>
      <c r="F738" s="170"/>
      <c r="G738" s="205">
        <f>+VLOOKUP(Table_1[[#This Row],[Account]],BV_Data_An_Cour!$L:$Q,6,0)</f>
        <v>0</v>
      </c>
      <c r="H738" s="170"/>
    </row>
    <row r="739" spans="1:29" ht="15" hidden="1" customHeight="1">
      <c r="A739" s="169"/>
      <c r="B739" s="171"/>
      <c r="C739" s="166"/>
      <c r="D739" s="166"/>
      <c r="E739" s="205"/>
      <c r="F739" s="170"/>
      <c r="G739" s="205">
        <f>+VLOOKUP(Table_1[[#This Row],[Account]],BV_Data_An_Cour!$L:$Q,6,0)</f>
        <v>0</v>
      </c>
      <c r="H739" s="170"/>
    </row>
    <row r="740" spans="1:29" ht="15" hidden="1" customHeight="1">
      <c r="A740" s="579"/>
      <c r="B740" s="578"/>
      <c r="C740" s="166"/>
      <c r="D740" s="166"/>
      <c r="E740" s="205"/>
      <c r="F740" s="170"/>
      <c r="G740" s="205">
        <f>+VLOOKUP(Table_1[[#This Row],[Account]],BV_Data_An_Cour!$L:$Q,6,0)</f>
        <v>0</v>
      </c>
      <c r="H740" s="170"/>
    </row>
    <row r="741" spans="1:29" ht="15" hidden="1" customHeight="1">
      <c r="A741" s="169"/>
      <c r="B741" s="171"/>
      <c r="C741" s="166"/>
      <c r="D741" s="166"/>
      <c r="E741" s="205"/>
      <c r="F741" s="170"/>
      <c r="G741" s="205">
        <f>+VLOOKUP(Table_1[[#This Row],[Account]],BV_Data_An_Cour!$L:$Q,6,0)</f>
        <v>0</v>
      </c>
      <c r="H741" s="170"/>
    </row>
    <row r="742" spans="1:29" ht="15" hidden="1" customHeight="1">
      <c r="A742" s="169"/>
      <c r="B742" s="171"/>
      <c r="C742" s="166"/>
      <c r="D742" s="166"/>
      <c r="E742" s="205"/>
      <c r="F742" s="170"/>
      <c r="G742" s="205">
        <f>+VLOOKUP(Table_1[[#This Row],[Account]],BV_Data_An_Cour!$L:$Q,6,0)</f>
        <v>0</v>
      </c>
      <c r="H742" s="170"/>
    </row>
    <row r="743" spans="1:29" ht="15" hidden="1" customHeight="1">
      <c r="A743" s="579"/>
      <c r="B743" s="578"/>
      <c r="C743" s="166"/>
      <c r="D743" s="166"/>
      <c r="E743" s="205"/>
      <c r="F743" s="170"/>
      <c r="G743" s="205">
        <f>+VLOOKUP(Table_1[[#This Row],[Account]],BV_Data_An_Cour!$L:$Q,6,0)</f>
        <v>0</v>
      </c>
      <c r="H743" s="170"/>
    </row>
    <row r="744" spans="1:29" ht="15" hidden="1" customHeight="1">
      <c r="A744" s="169"/>
      <c r="B744" s="171"/>
      <c r="C744" s="166"/>
      <c r="D744" s="166"/>
      <c r="E744" s="205"/>
      <c r="F744" s="170"/>
      <c r="G744" s="205">
        <f>+VLOOKUP(Table_1[[#This Row],[Account]],BV_Data_An_Cour!$L:$Q,6,0)</f>
        <v>0</v>
      </c>
      <c r="H744" s="170"/>
      <c r="K744" s="2"/>
    </row>
    <row r="745" spans="1:29" ht="15" hidden="1" customHeight="1">
      <c r="A745" s="173"/>
      <c r="B745" s="172"/>
      <c r="C745" s="166"/>
      <c r="D745" s="166"/>
      <c r="E745" s="205"/>
      <c r="F745" s="170"/>
      <c r="G745" s="205">
        <f>+VLOOKUP(Table_1[[#This Row],[Account]],BV_Data_An_Cour!$L:$Q,6,0)</f>
        <v>0</v>
      </c>
      <c r="H745" s="170"/>
    </row>
    <row r="746" spans="1:29" ht="15" hidden="1" customHeight="1">
      <c r="A746" s="578"/>
      <c r="B746" s="578"/>
      <c r="C746" s="166"/>
      <c r="D746" s="166"/>
      <c r="E746" s="205"/>
      <c r="F746" s="170"/>
      <c r="G746" s="205">
        <f>+VLOOKUP(Table_1[[#This Row],[Account]],BV_Data_An_Cour!$L:$Q,6,0)</f>
        <v>0</v>
      </c>
      <c r="H746" s="170"/>
    </row>
    <row r="747" spans="1:29" ht="15" hidden="1" customHeight="1">
      <c r="A747" s="171"/>
      <c r="B747" s="171"/>
      <c r="C747" s="166"/>
      <c r="D747" s="166"/>
      <c r="E747" s="205"/>
      <c r="F747" s="170"/>
      <c r="G747" s="205">
        <f>+VLOOKUP(Table_1[[#This Row],[Account]],BV_Data_An_Cour!$L:$Q,6,0)</f>
        <v>0</v>
      </c>
      <c r="H747" s="170"/>
    </row>
    <row r="748" spans="1:29" ht="15" hidden="1" customHeight="1">
      <c r="A748" s="173"/>
      <c r="B748" s="172"/>
      <c r="C748" s="567"/>
      <c r="D748" s="567"/>
      <c r="E748" s="205"/>
      <c r="F748" s="170"/>
      <c r="G748" s="205">
        <f>+VLOOKUP(Table_1[[#This Row],[Account]],BV_Data_An_Cour!$L:$Q,6,0)</f>
        <v>0</v>
      </c>
      <c r="H748" s="170"/>
    </row>
    <row r="749" spans="1:29" ht="15" hidden="1" customHeight="1">
      <c r="A749" s="574"/>
      <c r="B749" s="583"/>
      <c r="C749" s="166"/>
      <c r="D749" s="166"/>
      <c r="E749" s="205"/>
      <c r="F749" s="170"/>
      <c r="G749" s="205">
        <f>+VLOOKUP(Table_1[[#This Row],[Account]],BV_Data_An_Cour!$L:$Q,6,0)</f>
        <v>0</v>
      </c>
    </row>
    <row r="750" spans="1:29" ht="15" hidden="1" customHeight="1">
      <c r="A750" s="574"/>
      <c r="B750" s="583"/>
      <c r="C750" s="166"/>
      <c r="D750" s="166"/>
      <c r="E750" s="205"/>
      <c r="F750" s="170"/>
      <c r="G750" s="205">
        <f>+VLOOKUP(Table_1[[#This Row],[Account]],BV_Data_An_Cour!$L:$Q,6,0)</f>
        <v>0</v>
      </c>
    </row>
    <row r="751" spans="1:29" ht="15" hidden="1" customHeight="1">
      <c r="A751" s="169"/>
      <c r="B751" s="171"/>
      <c r="C751" s="166"/>
      <c r="D751" s="166"/>
      <c r="E751" s="205"/>
      <c r="F751" s="170"/>
      <c r="G751" s="205">
        <f>+VLOOKUP(Table_1[[#This Row],[Account]],BV_Data_An_Cour!$L:$Q,6,0)</f>
        <v>0</v>
      </c>
      <c r="H751" s="170"/>
    </row>
    <row r="752" spans="1:29" ht="15" hidden="1" customHeight="1">
      <c r="A752" s="574"/>
      <c r="B752" s="583"/>
      <c r="C752" s="166"/>
      <c r="D752" s="166"/>
      <c r="E752" s="205"/>
      <c r="F752" s="170"/>
      <c r="G752" s="205">
        <f>+VLOOKUP(Table_1[[#This Row],[Account]],BV_Data_An_Cour!$L:$Q,6,0)</f>
        <v>0</v>
      </c>
      <c r="H752" s="170"/>
    </row>
    <row r="753" spans="1:29" ht="15" hidden="1" customHeight="1">
      <c r="A753" s="574"/>
      <c r="B753" s="583"/>
      <c r="C753" s="166"/>
      <c r="D753" s="166"/>
      <c r="E753" s="205"/>
      <c r="F753" s="170"/>
      <c r="G753" s="205">
        <f>+VLOOKUP(Table_1[[#This Row],[Account]],BV_Data_An_Cour!$L:$Q,6,0)</f>
        <v>0</v>
      </c>
      <c r="H753" s="17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173"/>
      <c r="B754" s="585"/>
      <c r="C754" s="567"/>
      <c r="D754" s="567"/>
      <c r="E754" s="205"/>
      <c r="F754" s="170"/>
      <c r="G754" s="205">
        <f>+VLOOKUP(Table_1[[#This Row],[Account]],BV_Data_An_Cour!$L:$Q,6,0)</f>
        <v>0</v>
      </c>
      <c r="H754" s="170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574"/>
      <c r="B755" s="583"/>
      <c r="C755" s="567"/>
      <c r="D755" s="166"/>
      <c r="E755" s="205"/>
      <c r="F755" s="170"/>
      <c r="G755" s="205">
        <f>+VLOOKUP(Table_1[[#This Row],[Account]],BV_Data_An_Cour!$L:$Q,6,0)</f>
        <v>0</v>
      </c>
      <c r="H755" s="170"/>
    </row>
    <row r="756" spans="1:29" ht="15" hidden="1" customHeight="1">
      <c r="A756" s="173"/>
      <c r="B756" s="172"/>
      <c r="C756" s="567"/>
      <c r="D756" s="567"/>
      <c r="E756" s="205"/>
      <c r="F756" s="170"/>
      <c r="G756" s="205">
        <f>+VLOOKUP(Table_1[[#This Row],[Account]],BV_Data_An_Cour!$L:$Q,6,0)</f>
        <v>0</v>
      </c>
      <c r="H756" s="170"/>
    </row>
    <row r="757" spans="1:29" ht="15" hidden="1" customHeight="1">
      <c r="A757" s="173"/>
      <c r="B757" s="172"/>
      <c r="C757" s="567"/>
      <c r="D757" s="567"/>
      <c r="E757" s="205"/>
      <c r="F757" s="170"/>
      <c r="G757" s="205">
        <f>+VLOOKUP(Table_1[[#This Row],[Account]],BV_Data_An_Cour!$L:$Q,6,0)</f>
        <v>0</v>
      </c>
      <c r="H757" s="170"/>
    </row>
    <row r="758" spans="1:29" ht="15" hidden="1" customHeight="1">
      <c r="A758" s="579"/>
      <c r="B758" s="578"/>
      <c r="C758" s="166"/>
      <c r="D758" s="567"/>
      <c r="E758" s="205"/>
      <c r="F758" s="170"/>
      <c r="G758" s="205">
        <f>+VLOOKUP(Table_1[[#This Row],[Account]],BV_Data_An_Cour!$L:$Q,6,0)</f>
        <v>0</v>
      </c>
      <c r="H758" s="170"/>
    </row>
    <row r="759" spans="1:29" ht="15" hidden="1" customHeight="1">
      <c r="A759" s="169"/>
      <c r="B759" s="171"/>
      <c r="C759" s="166"/>
      <c r="D759" s="166"/>
      <c r="E759" s="205"/>
      <c r="F759" s="170"/>
      <c r="G759" s="205">
        <f>+VLOOKUP(Table_1[[#This Row],[Account]],BV_Data_An_Cour!$L:$Q,6,0)</f>
        <v>0</v>
      </c>
      <c r="H759" s="205"/>
    </row>
    <row r="760" spans="1:29" ht="15" hidden="1" customHeight="1">
      <c r="A760" s="579"/>
      <c r="B760" s="578"/>
      <c r="C760" s="166"/>
      <c r="D760" s="166"/>
      <c r="E760" s="205"/>
      <c r="F760" s="170"/>
      <c r="G760" s="205">
        <f>+VLOOKUP(Table_1[[#This Row],[Account]],BV_Data_An_Cour!$L:$Q,6,0)</f>
        <v>0</v>
      </c>
      <c r="H760" s="205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579"/>
      <c r="B761" s="578"/>
      <c r="C761" s="166"/>
      <c r="D761" s="166"/>
      <c r="E761" s="205"/>
      <c r="F761" s="170"/>
      <c r="G761" s="205">
        <f>+VLOOKUP(Table_1[[#This Row],[Account]],BV_Data_An_Cour!$L:$Q,6,0)</f>
        <v>0</v>
      </c>
      <c r="H761" s="205"/>
    </row>
    <row r="762" spans="1:29" ht="15" hidden="1" customHeight="1">
      <c r="A762" s="579"/>
      <c r="B762" s="578"/>
      <c r="C762" s="166"/>
      <c r="D762" s="166"/>
      <c r="E762" s="205"/>
      <c r="F762" s="170"/>
      <c r="G762" s="205">
        <f>+VLOOKUP(Table_1[[#This Row],[Account]],BV_Data_An_Cour!$L:$Q,6,0)</f>
        <v>0</v>
      </c>
      <c r="H762" s="205"/>
    </row>
    <row r="763" spans="1:29" ht="15" hidden="1" customHeight="1">
      <c r="A763" s="169"/>
      <c r="B763" s="171"/>
      <c r="C763" s="166"/>
      <c r="D763" s="166"/>
      <c r="E763" s="205"/>
      <c r="F763" s="170"/>
      <c r="G763" s="205">
        <f>+VLOOKUP(Table_1[[#This Row],[Account]],BV_Data_An_Cour!$L:$Q,6,0)</f>
        <v>0</v>
      </c>
      <c r="H763" s="205"/>
    </row>
    <row r="764" spans="1:29" ht="15" hidden="1" customHeight="1">
      <c r="A764" s="169"/>
      <c r="B764" s="171"/>
      <c r="C764" s="166"/>
      <c r="D764" s="166"/>
      <c r="E764" s="205"/>
      <c r="F764" s="170"/>
      <c r="G764" s="205">
        <f>+VLOOKUP(Table_1[[#This Row],[Account]],BV_Data_An_Cour!$L:$Q,6,0)</f>
        <v>0</v>
      </c>
      <c r="H764" s="205"/>
    </row>
    <row r="765" spans="1:29" ht="15" hidden="1" customHeight="1">
      <c r="A765" s="169"/>
      <c r="B765" s="171"/>
      <c r="C765" s="166"/>
      <c r="D765" s="166"/>
      <c r="E765" s="205"/>
      <c r="F765" s="170"/>
      <c r="G765" s="205">
        <f>+VLOOKUP(Table_1[[#This Row],[Account]],BV_Data_An_Cour!$L:$Q,6,0)</f>
        <v>0</v>
      </c>
      <c r="H765" s="205"/>
    </row>
    <row r="766" spans="1:29" ht="15" hidden="1" customHeight="1">
      <c r="A766" s="169"/>
      <c r="B766" s="171"/>
      <c r="C766" s="166"/>
      <c r="D766" s="166"/>
      <c r="E766" s="205"/>
      <c r="F766" s="170"/>
      <c r="G766" s="205">
        <f>+VLOOKUP(Table_1[[#This Row],[Account]],BV_Data_An_Cour!$L:$Q,6,0)</f>
        <v>0</v>
      </c>
      <c r="H766" s="205"/>
    </row>
    <row r="767" spans="1:29" ht="15" hidden="1" customHeight="1">
      <c r="A767" s="169"/>
      <c r="B767" s="171"/>
      <c r="C767" s="166"/>
      <c r="D767" s="166"/>
      <c r="E767" s="205"/>
      <c r="F767" s="170"/>
      <c r="G767" s="205">
        <f>+VLOOKUP(Table_1[[#This Row],[Account]],BV_Data_An_Cour!$L:$Q,6,0)</f>
        <v>0</v>
      </c>
      <c r="H767" s="205"/>
    </row>
    <row r="768" spans="1:29" ht="15" hidden="1" customHeight="1">
      <c r="A768" s="169"/>
      <c r="B768" s="171"/>
      <c r="C768" s="166"/>
      <c r="D768" s="166"/>
      <c r="E768" s="205"/>
      <c r="F768" s="170"/>
      <c r="G768" s="205">
        <f>+VLOOKUP(Table_1[[#This Row],[Account]],BV_Data_An_Cour!$L:$Q,6,0)</f>
        <v>0</v>
      </c>
      <c r="H768" s="205"/>
    </row>
    <row r="769" spans="1:8" ht="15" hidden="1" customHeight="1">
      <c r="A769" s="169"/>
      <c r="B769" s="171"/>
      <c r="C769" s="166"/>
      <c r="D769" s="166"/>
      <c r="E769" s="205"/>
      <c r="F769" s="170"/>
      <c r="G769" s="205">
        <f>+VLOOKUP(Table_1[[#This Row],[Account]],BV_Data_An_Cour!$L:$Q,6,0)</f>
        <v>0</v>
      </c>
      <c r="H769" s="205"/>
    </row>
    <row r="770" spans="1:8" ht="15" hidden="1" customHeight="1">
      <c r="A770" s="169"/>
      <c r="B770" s="171"/>
      <c r="C770" s="166"/>
      <c r="D770" s="166"/>
      <c r="E770" s="205"/>
      <c r="F770" s="170"/>
      <c r="G770" s="205">
        <f>+VLOOKUP(Table_1[[#This Row],[Account]],BV_Data_An_Cour!$L:$Q,6,0)</f>
        <v>0</v>
      </c>
      <c r="H770" s="205"/>
    </row>
    <row r="771" spans="1:8" ht="15" hidden="1" customHeight="1">
      <c r="A771" s="579"/>
      <c r="B771" s="578"/>
      <c r="C771" s="567"/>
      <c r="D771" s="567"/>
      <c r="E771" s="205"/>
      <c r="F771" s="170"/>
      <c r="G771" s="205">
        <f>+VLOOKUP(Table_1[[#This Row],[Account]],BV_Data_An_Cour!$L:$Q,6,0)</f>
        <v>0</v>
      </c>
      <c r="H771" s="205"/>
    </row>
    <row r="772" spans="1:8" ht="15" hidden="1" customHeight="1">
      <c r="A772" s="574"/>
      <c r="B772" s="583"/>
      <c r="C772" s="567"/>
      <c r="D772" s="567"/>
      <c r="E772" s="205"/>
      <c r="F772" s="170"/>
      <c r="G772" s="205">
        <f>+VLOOKUP(Table_1[[#This Row],[Account]],BV_Data_An_Cour!$L:$Q,6,0)</f>
        <v>0</v>
      </c>
      <c r="H772" s="170"/>
    </row>
    <row r="773" spans="1:8" ht="15" hidden="1" customHeight="1">
      <c r="A773" s="579"/>
      <c r="B773" s="578"/>
      <c r="C773" s="166"/>
      <c r="D773" s="166"/>
      <c r="E773" s="205"/>
      <c r="F773" s="170"/>
      <c r="G773" s="205">
        <f>+VLOOKUP(Table_1[[#This Row],[Account]],BV_Data_An_Cour!$L:$Q,6,0)</f>
        <v>0</v>
      </c>
      <c r="H773" s="170"/>
    </row>
    <row r="774" spans="1:8" ht="15" hidden="1" customHeight="1">
      <c r="A774" s="169"/>
      <c r="B774" s="171"/>
      <c r="C774" s="567"/>
      <c r="D774" s="567"/>
      <c r="E774" s="205"/>
      <c r="F774" s="170"/>
      <c r="G774" s="205">
        <f>+VLOOKUP(Table_1[[#This Row],[Account]],BV_Data_An_Cour!$L:$Q,6,0)</f>
        <v>0</v>
      </c>
      <c r="H774" s="170"/>
    </row>
    <row r="775" spans="1:8" ht="15" hidden="1" customHeight="1">
      <c r="A775" s="173"/>
      <c r="B775" s="172"/>
      <c r="C775" s="166"/>
      <c r="D775" s="166"/>
      <c r="E775" s="205"/>
      <c r="F775" s="170"/>
      <c r="G775" s="205">
        <f>+VLOOKUP(Table_1[[#This Row],[Account]],BV_Data_An_Cour!$L:$Q,6,0)</f>
        <v>0</v>
      </c>
      <c r="H775" s="170"/>
    </row>
    <row r="776" spans="1:8" ht="15" hidden="1" customHeight="1">
      <c r="A776" s="580"/>
      <c r="B776" s="177"/>
      <c r="C776" s="166"/>
      <c r="D776" s="166"/>
      <c r="E776" s="205"/>
      <c r="F776" s="170"/>
      <c r="G776" s="205">
        <f>+VLOOKUP(Table_1[[#This Row],[Account]],BV_Data_An_Cour!$L:$Q,6,0)</f>
        <v>0</v>
      </c>
      <c r="H776" s="170"/>
    </row>
    <row r="777" spans="1:8" ht="15" hidden="1" customHeight="1">
      <c r="A777" s="579"/>
      <c r="B777" s="578"/>
      <c r="C777" s="166"/>
      <c r="D777" s="166"/>
      <c r="E777" s="205"/>
      <c r="F777" s="170"/>
      <c r="G777" s="205">
        <f>+VLOOKUP(Table_1[[#This Row],[Account]],BV_Data_An_Cour!$L:$Q,6,0)</f>
        <v>0</v>
      </c>
      <c r="H777" s="170"/>
    </row>
    <row r="778" spans="1:8" ht="15" hidden="1" customHeight="1">
      <c r="A778" s="173"/>
      <c r="B778" s="172"/>
      <c r="C778" s="166"/>
      <c r="D778" s="166"/>
      <c r="E778" s="205"/>
      <c r="F778" s="170"/>
      <c r="G778" s="205">
        <f>+VLOOKUP(Table_1[[#This Row],[Account]],BV_Data_An_Cour!$L:$Q,6,0)</f>
        <v>0</v>
      </c>
      <c r="H778" s="170"/>
    </row>
    <row r="779" spans="1:8" ht="15" hidden="1" customHeight="1">
      <c r="A779" s="579"/>
      <c r="B779" s="578"/>
      <c r="C779" s="166"/>
      <c r="D779" s="567"/>
      <c r="E779" s="205"/>
      <c r="F779" s="170"/>
      <c r="G779" s="205">
        <f>+VLOOKUP(Table_1[[#This Row],[Account]],BV_Data_An_Cour!$L:$Q,6,0)</f>
        <v>0</v>
      </c>
      <c r="H779" s="170"/>
    </row>
    <row r="780" spans="1:8" ht="15" hidden="1" customHeight="1">
      <c r="A780" s="579"/>
      <c r="B780" s="578"/>
      <c r="C780" s="567"/>
      <c r="D780" s="567"/>
      <c r="E780" s="205"/>
      <c r="F780" s="170"/>
      <c r="G780" s="205">
        <f>+VLOOKUP(Table_1[[#This Row],[Account]],BV_Data_An_Cour!$L:$Q,6,0)</f>
        <v>0</v>
      </c>
      <c r="H780" s="170"/>
    </row>
    <row r="781" spans="1:8" ht="15" hidden="1" customHeight="1">
      <c r="A781" s="578"/>
      <c r="B781" s="578"/>
      <c r="C781" s="567"/>
      <c r="D781" s="567"/>
      <c r="E781" s="205"/>
      <c r="F781" s="170"/>
      <c r="G781" s="205">
        <f>+VLOOKUP(Table_1[[#This Row],[Account]],BV_Data_An_Cour!$L:$Q,6,0)</f>
        <v>0</v>
      </c>
      <c r="H781" s="170"/>
    </row>
    <row r="782" spans="1:8" ht="15" hidden="1" customHeight="1">
      <c r="A782" s="579"/>
      <c r="B782" s="578"/>
      <c r="C782" s="567"/>
      <c r="D782" s="567"/>
      <c r="E782" s="205"/>
      <c r="F782" s="170"/>
      <c r="G782" s="205">
        <f>+VLOOKUP(Table_1[[#This Row],[Account]],BV_Data_An_Cour!$L:$Q,6,0)</f>
        <v>0</v>
      </c>
      <c r="H782" s="205"/>
    </row>
    <row r="783" spans="1:8" ht="15" hidden="1" customHeight="1">
      <c r="A783" s="173"/>
      <c r="B783" s="172"/>
      <c r="C783" s="166"/>
      <c r="D783" s="166"/>
      <c r="E783" s="205"/>
      <c r="F783" s="170"/>
      <c r="G783" s="205">
        <f>+VLOOKUP(Table_1[[#This Row],[Account]],BV_Data_An_Cour!$L:$Q,6,0)</f>
        <v>0</v>
      </c>
      <c r="H783" s="205"/>
    </row>
    <row r="784" spans="1:8" ht="15" hidden="1" customHeight="1">
      <c r="A784" s="169"/>
      <c r="B784" s="171"/>
      <c r="C784" s="166"/>
      <c r="D784" s="166"/>
      <c r="E784" s="205"/>
      <c r="F784" s="170"/>
      <c r="G784" s="205">
        <f>+VLOOKUP(Table_1[[#This Row],[Account]],BV_Data_An_Cour!$L:$Q,6,0)</f>
        <v>0</v>
      </c>
      <c r="H784" s="205"/>
    </row>
    <row r="785" spans="1:8" ht="15" hidden="1" customHeight="1">
      <c r="A785" s="173"/>
      <c r="B785" s="172"/>
      <c r="C785" s="166"/>
      <c r="D785" s="166"/>
      <c r="E785" s="205"/>
      <c r="F785" s="170"/>
      <c r="G785" s="205">
        <f>+VLOOKUP(Table_1[[#This Row],[Account]],BV_Data_An_Cour!$L:$Q,6,0)</f>
        <v>0</v>
      </c>
      <c r="H785" s="205"/>
    </row>
    <row r="786" spans="1:8" ht="15" hidden="1" customHeight="1">
      <c r="A786" s="173"/>
      <c r="B786" s="172"/>
      <c r="C786" s="567"/>
      <c r="D786" s="166"/>
      <c r="E786" s="205"/>
      <c r="F786" s="170"/>
      <c r="G786" s="205">
        <f>+VLOOKUP(Table_1[[#This Row],[Account]],BV_Data_An_Cour!$L:$Q,6,0)</f>
        <v>0</v>
      </c>
      <c r="H786" s="205"/>
    </row>
    <row r="787" spans="1:8" ht="15" hidden="1" customHeight="1">
      <c r="A787" s="173"/>
      <c r="B787" s="172"/>
      <c r="C787" s="567"/>
      <c r="D787" s="567"/>
      <c r="E787" s="205"/>
      <c r="F787" s="170"/>
      <c r="G787" s="205">
        <f>+VLOOKUP(Table_1[[#This Row],[Account]],BV_Data_An_Cour!$L:$Q,6,0)</f>
        <v>0</v>
      </c>
      <c r="H787" s="205"/>
    </row>
    <row r="788" spans="1:8" ht="15" hidden="1" customHeight="1">
      <c r="A788" s="173"/>
      <c r="B788" s="172"/>
      <c r="C788" s="567"/>
      <c r="D788" s="567"/>
      <c r="E788" s="205"/>
      <c r="F788" s="170"/>
      <c r="G788" s="205">
        <f>+VLOOKUP(Table_1[[#This Row],[Account]],BV_Data_An_Cour!$L:$Q,6,0)</f>
        <v>0</v>
      </c>
      <c r="H788" s="205"/>
    </row>
    <row r="789" spans="1:8" ht="15" hidden="1" customHeight="1">
      <c r="A789" s="173"/>
      <c r="B789" s="172"/>
      <c r="C789" s="567"/>
      <c r="D789" s="166"/>
      <c r="E789" s="205"/>
      <c r="F789" s="170"/>
      <c r="G789" s="205">
        <f>+VLOOKUP(Table_1[[#This Row],[Account]],BV_Data_An_Cour!$L:$Q,6,0)</f>
        <v>0</v>
      </c>
      <c r="H789" s="205"/>
    </row>
    <row r="790" spans="1:8" ht="15" hidden="1" customHeight="1">
      <c r="A790" s="579"/>
      <c r="B790" s="578"/>
      <c r="C790" s="567"/>
      <c r="D790" s="567"/>
      <c r="E790" s="205"/>
      <c r="F790" s="170"/>
      <c r="G790" s="205">
        <f>+VLOOKUP(Table_1[[#This Row],[Account]],BV_Data_An_Cour!$L:$Q,6,0)</f>
        <v>0</v>
      </c>
      <c r="H790" s="205"/>
    </row>
    <row r="791" spans="1:8" ht="15" hidden="1" customHeight="1">
      <c r="A791" s="173"/>
      <c r="B791" s="172"/>
      <c r="C791" s="567"/>
      <c r="D791" s="567"/>
      <c r="E791" s="205"/>
      <c r="F791" s="170"/>
      <c r="G791" s="205">
        <f>+VLOOKUP(Table_1[[#This Row],[Account]],BV_Data_An_Cour!$L:$Q,6,0)</f>
        <v>0</v>
      </c>
      <c r="H791" s="205"/>
    </row>
    <row r="792" spans="1:8" ht="15" hidden="1" customHeight="1">
      <c r="A792" s="579"/>
      <c r="B792" s="578"/>
      <c r="C792" s="567"/>
      <c r="D792" s="567"/>
      <c r="E792" s="205"/>
      <c r="F792" s="170"/>
      <c r="G792" s="205">
        <f>+VLOOKUP(Table_1[[#This Row],[Account]],BV_Data_An_Cour!$L:$Q,6,0)</f>
        <v>0</v>
      </c>
      <c r="H792" s="205"/>
    </row>
    <row r="793" spans="1:8" ht="15" hidden="1" customHeight="1">
      <c r="A793" s="579"/>
      <c r="B793" s="578"/>
      <c r="C793" s="166"/>
      <c r="D793" s="166"/>
      <c r="E793" s="205"/>
      <c r="F793" s="170"/>
      <c r="G793" s="205">
        <f>+VLOOKUP(Table_1[[#This Row],[Account]],BV_Data_An_Cour!$L:$Q,6,0)</f>
        <v>0</v>
      </c>
      <c r="H793" s="205"/>
    </row>
    <row r="794" spans="1:8" ht="15" hidden="1" customHeight="1">
      <c r="A794" s="579"/>
      <c r="B794" s="578"/>
      <c r="C794" s="166"/>
      <c r="D794" s="166"/>
      <c r="E794" s="205"/>
      <c r="F794" s="170"/>
      <c r="G794" s="205">
        <f>+VLOOKUP(Table_1[[#This Row],[Account]],BV_Data_An_Cour!$L:$Q,6,0)</f>
        <v>0</v>
      </c>
      <c r="H794" s="205"/>
    </row>
    <row r="795" spans="1:8" ht="15" hidden="1" customHeight="1">
      <c r="A795" s="579"/>
      <c r="B795" s="578"/>
      <c r="C795" s="166"/>
      <c r="D795" s="166"/>
      <c r="E795" s="205"/>
      <c r="F795" s="170"/>
      <c r="G795" s="205">
        <f>+VLOOKUP(Table_1[[#This Row],[Account]],BV_Data_An_Cour!$L:$Q,6,0)</f>
        <v>0</v>
      </c>
      <c r="H795" s="205"/>
    </row>
    <row r="796" spans="1:8" ht="15" hidden="1" customHeight="1">
      <c r="A796" s="579"/>
      <c r="B796" s="578"/>
      <c r="C796" s="166"/>
      <c r="D796" s="166"/>
      <c r="E796" s="205"/>
      <c r="F796" s="170"/>
      <c r="G796" s="205">
        <f>+VLOOKUP(Table_1[[#This Row],[Account]],BV_Data_An_Cour!$L:$Q,6,0)</f>
        <v>0</v>
      </c>
      <c r="H796" s="205"/>
    </row>
    <row r="797" spans="1:8" ht="15" hidden="1" customHeight="1">
      <c r="A797" s="579"/>
      <c r="B797" s="578"/>
      <c r="C797" s="166"/>
      <c r="D797" s="166"/>
      <c r="E797" s="205"/>
      <c r="F797" s="170"/>
      <c r="G797" s="205">
        <f>+VLOOKUP(Table_1[[#This Row],[Account]],BV_Data_An_Cour!$L:$Q,6,0)</f>
        <v>0</v>
      </c>
      <c r="H797" s="205"/>
    </row>
    <row r="798" spans="1:8" ht="15" hidden="1" customHeight="1">
      <c r="A798" s="579"/>
      <c r="B798" s="578"/>
      <c r="C798" s="166"/>
      <c r="D798" s="166"/>
      <c r="E798" s="205"/>
      <c r="F798" s="170"/>
      <c r="G798" s="205">
        <f>+VLOOKUP(Table_1[[#This Row],[Account]],BV_Data_An_Cour!$L:$Q,6,0)</f>
        <v>0</v>
      </c>
      <c r="H798" s="205"/>
    </row>
    <row r="799" spans="1:8" ht="15" hidden="1" customHeight="1">
      <c r="A799" s="579"/>
      <c r="B799" s="578"/>
      <c r="C799" s="166"/>
      <c r="D799" s="166"/>
      <c r="E799" s="205"/>
      <c r="F799" s="170"/>
      <c r="G799" s="205">
        <f>+VLOOKUP(Table_1[[#This Row],[Account]],BV_Data_An_Cour!$L:$Q,6,0)</f>
        <v>0</v>
      </c>
      <c r="H799" s="205"/>
    </row>
    <row r="800" spans="1:8" ht="15" hidden="1" customHeight="1">
      <c r="A800" s="579"/>
      <c r="B800" s="578"/>
      <c r="C800" s="166"/>
      <c r="D800" s="166"/>
      <c r="E800" s="205"/>
      <c r="F800" s="170"/>
      <c r="G800" s="205">
        <f>+VLOOKUP(Table_1[[#This Row],[Account]],BV_Data_An_Cour!$L:$Q,6,0)</f>
        <v>0</v>
      </c>
      <c r="H800" s="205"/>
    </row>
    <row r="801" spans="1:29" ht="15" hidden="1" customHeight="1">
      <c r="A801" s="579"/>
      <c r="B801" s="578"/>
      <c r="C801" s="166"/>
      <c r="D801" s="166"/>
      <c r="E801" s="205"/>
      <c r="F801" s="170"/>
      <c r="G801" s="205">
        <f>+VLOOKUP(Table_1[[#This Row],[Account]],BV_Data_An_Cour!$L:$Q,6,0)</f>
        <v>0</v>
      </c>
      <c r="H801" s="205"/>
    </row>
    <row r="802" spans="1:29" ht="15" hidden="1" customHeight="1">
      <c r="A802" s="578"/>
      <c r="B802" s="578"/>
      <c r="C802" s="166"/>
      <c r="D802" s="166"/>
      <c r="E802" s="205"/>
      <c r="F802" s="170"/>
      <c r="G802" s="205">
        <f>+VLOOKUP(Table_1[[#This Row],[Account]],BV_Data_An_Cour!$L:$Q,6,0)</f>
        <v>0</v>
      </c>
      <c r="H802" s="205"/>
    </row>
    <row r="803" spans="1:29" ht="15" hidden="1" customHeight="1">
      <c r="A803" s="579"/>
      <c r="B803" s="578"/>
      <c r="C803" s="166"/>
      <c r="D803" s="166"/>
      <c r="E803" s="205"/>
      <c r="F803" s="170"/>
      <c r="G803" s="205">
        <f>+VLOOKUP(Table_1[[#This Row],[Account]],BV_Data_An_Cour!$L:$Q,6,0)</f>
        <v>0</v>
      </c>
      <c r="H803" s="205"/>
    </row>
    <row r="804" spans="1:29" ht="15" hidden="1" customHeight="1">
      <c r="A804" s="579"/>
      <c r="B804" s="578"/>
      <c r="C804" s="567"/>
      <c r="D804" s="567"/>
      <c r="E804" s="205"/>
      <c r="F804" s="170"/>
      <c r="G804" s="205">
        <f>+VLOOKUP(Table_1[[#This Row],[Account]],BV_Data_An_Cour!$L:$Q,6,0)</f>
        <v>0</v>
      </c>
      <c r="H804" s="205"/>
      <c r="K804" s="2"/>
    </row>
    <row r="805" spans="1:29" ht="15" hidden="1" customHeight="1">
      <c r="A805" s="579"/>
      <c r="B805" s="578"/>
      <c r="C805" s="567"/>
      <c r="D805" s="567"/>
      <c r="E805" s="205"/>
      <c r="F805" s="170"/>
      <c r="G805" s="205">
        <f>+VLOOKUP(Table_1[[#This Row],[Account]],BV_Data_An_Cour!$L:$Q,6,0)</f>
        <v>0</v>
      </c>
      <c r="H805" s="205"/>
      <c r="K805" s="2"/>
    </row>
    <row r="806" spans="1:29" ht="15" hidden="1" customHeight="1">
      <c r="A806" s="579"/>
      <c r="B806" s="578"/>
      <c r="C806" s="567"/>
      <c r="D806" s="166"/>
      <c r="E806" s="205"/>
      <c r="F806" s="170"/>
      <c r="G806" s="205">
        <f>+VLOOKUP(Table_1[[#This Row],[Account]],BV_Data_An_Cour!$L:$Q,6,0)</f>
        <v>0</v>
      </c>
      <c r="H806" s="205"/>
    </row>
    <row r="807" spans="1:29" ht="15" hidden="1" customHeight="1">
      <c r="A807" s="579"/>
      <c r="B807" s="578"/>
      <c r="C807" s="567"/>
      <c r="D807" s="567"/>
      <c r="E807" s="205"/>
      <c r="F807" s="170"/>
      <c r="G807" s="205">
        <f>+VLOOKUP(Table_1[[#This Row],[Account]],BV_Data_An_Cour!$L:$Q,6,0)</f>
        <v>0</v>
      </c>
      <c r="H807" s="205"/>
    </row>
    <row r="808" spans="1:29" ht="15" hidden="1" customHeight="1">
      <c r="A808" s="579"/>
      <c r="B808" s="578"/>
      <c r="C808" s="567"/>
      <c r="D808" s="567"/>
      <c r="E808" s="205"/>
      <c r="F808" s="170"/>
      <c r="G808" s="205">
        <f>+VLOOKUP(Table_1[[#This Row],[Account]],BV_Data_An_Cour!$L:$Q,6,0)</f>
        <v>0</v>
      </c>
      <c r="H808" s="205"/>
    </row>
    <row r="809" spans="1:29" ht="15" hidden="1" customHeight="1">
      <c r="A809" s="173"/>
      <c r="B809" s="172"/>
      <c r="C809" s="166"/>
      <c r="D809" s="166"/>
      <c r="E809" s="205"/>
      <c r="F809" s="170"/>
      <c r="G809" s="205">
        <f>+VLOOKUP(Table_1[[#This Row],[Account]],BV_Data_An_Cour!$L:$Q,6,0)</f>
        <v>0</v>
      </c>
      <c r="H809" s="205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hidden="1" customHeight="1">
      <c r="A810" s="579"/>
      <c r="B810" s="578"/>
      <c r="C810" s="166"/>
      <c r="D810" s="166"/>
      <c r="E810" s="205"/>
      <c r="F810" s="170"/>
      <c r="G810" s="205">
        <f>+VLOOKUP(Table_1[[#This Row],[Account]],BV_Data_An_Cour!$L:$Q,6,0)</f>
        <v>0</v>
      </c>
      <c r="H810" s="205"/>
    </row>
    <row r="811" spans="1:29" ht="15" hidden="1" customHeight="1">
      <c r="A811" s="579"/>
      <c r="B811" s="578"/>
      <c r="C811" s="567"/>
      <c r="D811" s="567"/>
      <c r="E811" s="205"/>
      <c r="F811" s="170"/>
      <c r="G811" s="205">
        <f>+VLOOKUP(Table_1[[#This Row],[Account]],BV_Data_An_Cour!$L:$Q,6,0)</f>
        <v>0</v>
      </c>
      <c r="H811" s="205"/>
      <c r="K811" s="2"/>
    </row>
    <row r="812" spans="1:29" ht="15" hidden="1" customHeight="1">
      <c r="A812" s="169"/>
      <c r="B812" s="578"/>
      <c r="C812" s="567"/>
      <c r="D812" s="567"/>
      <c r="E812" s="205"/>
      <c r="F812" s="170"/>
      <c r="G812" s="205">
        <f>+VLOOKUP(Table_1[[#This Row],[Account]],BV_Data_An_Cour!$L:$Q,6,0)</f>
        <v>0</v>
      </c>
      <c r="H812" s="205"/>
    </row>
    <row r="813" spans="1:29" ht="15" hidden="1" customHeight="1">
      <c r="A813" s="578"/>
      <c r="B813" s="578"/>
      <c r="C813" s="567"/>
      <c r="D813" s="567"/>
      <c r="E813" s="205"/>
      <c r="F813" s="170"/>
      <c r="G813" s="205">
        <f>+VLOOKUP(Table_1[[#This Row],[Account]],BV_Data_An_Cour!$L:$Q,6,0)</f>
        <v>0</v>
      </c>
      <c r="H813" s="205"/>
    </row>
    <row r="814" spans="1:29" ht="15" hidden="1" customHeight="1">
      <c r="A814" s="171"/>
      <c r="B814" s="578"/>
      <c r="C814" s="567"/>
      <c r="D814" s="567"/>
      <c r="E814" s="205"/>
      <c r="F814" s="170"/>
      <c r="G814" s="205">
        <f>+VLOOKUP(Table_1[[#This Row],[Account]],BV_Data_An_Cour!$L:$Q,6,0)</f>
        <v>0</v>
      </c>
      <c r="H814" s="205"/>
    </row>
    <row r="815" spans="1:29" ht="15" hidden="1" customHeight="1">
      <c r="A815" s="173"/>
      <c r="B815" s="172"/>
      <c r="C815" s="567"/>
      <c r="D815" s="567"/>
      <c r="E815" s="205"/>
      <c r="F815" s="170"/>
      <c r="G815" s="205">
        <f>+VLOOKUP(Table_1[[#This Row],[Account]],BV_Data_An_Cour!$L:$Q,6,0)</f>
        <v>0</v>
      </c>
      <c r="H815" s="205"/>
    </row>
    <row r="816" spans="1:29" ht="15" hidden="1" customHeight="1">
      <c r="A816" s="574"/>
      <c r="B816" s="172"/>
      <c r="C816" s="567"/>
      <c r="D816" s="166"/>
      <c r="E816" s="205"/>
      <c r="F816" s="170"/>
      <c r="G816" s="205">
        <f>+VLOOKUP(Table_1[[#This Row],[Account]],BV_Data_An_Cour!$L:$Q,6,0)</f>
        <v>0</v>
      </c>
      <c r="H816" s="205"/>
      <c r="K816" s="2"/>
    </row>
    <row r="817" spans="1:8" ht="15" hidden="1" customHeight="1">
      <c r="A817" s="169"/>
      <c r="B817" s="578"/>
      <c r="C817" s="166"/>
      <c r="D817" s="166"/>
      <c r="E817" s="205"/>
      <c r="F817" s="170"/>
      <c r="G817" s="205">
        <f>+VLOOKUP(Table_1[[#This Row],[Account]],BV_Data_An_Cour!$L:$Q,6,0)</f>
        <v>0</v>
      </c>
      <c r="H817" s="205"/>
    </row>
    <row r="818" spans="1:8" ht="15" hidden="1" customHeight="1">
      <c r="A818" s="173"/>
      <c r="B818" s="172"/>
      <c r="C818" s="166"/>
      <c r="D818" s="166"/>
      <c r="E818" s="205"/>
      <c r="F818" s="170"/>
      <c r="G818" s="205">
        <f>+VLOOKUP(Table_1[[#This Row],[Account]],BV_Data_An_Cour!$L:$Q,6,0)</f>
        <v>0</v>
      </c>
      <c r="H818" s="205"/>
    </row>
    <row r="819" spans="1:8" ht="15" hidden="1" customHeight="1">
      <c r="A819" s="169"/>
      <c r="B819" s="578"/>
      <c r="C819" s="567"/>
      <c r="D819" s="166"/>
      <c r="E819" s="205"/>
      <c r="F819" s="170"/>
      <c r="G819" s="205">
        <f>+VLOOKUP(Table_1[[#This Row],[Account]],BV_Data_An_Cour!$L:$Q,6,0)</f>
        <v>0</v>
      </c>
      <c r="H819" s="205"/>
    </row>
    <row r="820" spans="1:8" ht="15" hidden="1" customHeight="1">
      <c r="A820" s="173"/>
      <c r="B820" s="172"/>
      <c r="C820" s="166"/>
      <c r="D820" s="166"/>
      <c r="E820" s="205"/>
      <c r="F820" s="170"/>
      <c r="G820" s="205">
        <f>+VLOOKUP(Table_1[[#This Row],[Account]],BV_Data_An_Cour!$L:$Q,6,0)</f>
        <v>0</v>
      </c>
      <c r="H820" s="205"/>
    </row>
    <row r="821" spans="1:8" ht="15" hidden="1" customHeight="1">
      <c r="A821" s="169"/>
      <c r="B821" s="171"/>
      <c r="C821" s="567"/>
      <c r="D821" s="567"/>
      <c r="E821" s="205"/>
      <c r="F821" s="170"/>
      <c r="G821" s="205">
        <f>+VLOOKUP(Table_1[[#This Row],[Account]],BV_Data_An_Cour!$L:$Q,6,0)</f>
        <v>0</v>
      </c>
      <c r="H821" s="205"/>
    </row>
    <row r="822" spans="1:8" ht="15" hidden="1" customHeight="1">
      <c r="A822" s="173"/>
      <c r="B822" s="172"/>
      <c r="C822" s="567"/>
      <c r="D822" s="166"/>
      <c r="E822" s="205"/>
      <c r="F822" s="170"/>
      <c r="G822" s="205">
        <f>+VLOOKUP(Table_1[[#This Row],[Account]],BV_Data_An_Cour!$L:$Q,6,0)</f>
        <v>0</v>
      </c>
      <c r="H822" s="205"/>
    </row>
    <row r="823" spans="1:8" ht="15" hidden="1" customHeight="1">
      <c r="A823" s="574"/>
      <c r="B823" s="583"/>
      <c r="C823" s="567"/>
      <c r="D823" s="567"/>
      <c r="E823" s="205"/>
      <c r="F823" s="170"/>
      <c r="G823" s="205">
        <f>+VLOOKUP(Table_1[[#This Row],[Account]],BV_Data_An_Cour!$L:$Q,6,0)</f>
        <v>0</v>
      </c>
      <c r="H823" s="205"/>
    </row>
    <row r="824" spans="1:8" ht="15" hidden="1" customHeight="1">
      <c r="A824" s="173"/>
      <c r="B824" s="172"/>
      <c r="C824" s="567"/>
      <c r="D824" s="567"/>
      <c r="E824" s="205"/>
      <c r="F824" s="170"/>
      <c r="G824" s="205">
        <f>+VLOOKUP(Table_1[[#This Row],[Account]],BV_Data_An_Cour!$L:$Q,6,0)</f>
        <v>0</v>
      </c>
      <c r="H824" s="205"/>
    </row>
    <row r="825" spans="1:8" ht="15" hidden="1" customHeight="1">
      <c r="A825" s="169"/>
      <c r="B825" s="171"/>
      <c r="C825" s="166"/>
      <c r="D825" s="567"/>
      <c r="E825" s="205"/>
      <c r="F825" s="170"/>
      <c r="G825" s="205">
        <f>+VLOOKUP(Table_1[[#This Row],[Account]],BV_Data_An_Cour!$L:$Q,6,0)</f>
        <v>0</v>
      </c>
      <c r="H825" s="205"/>
    </row>
    <row r="826" spans="1:8" ht="15" hidden="1" customHeight="1">
      <c r="A826" s="579"/>
      <c r="B826" s="578"/>
      <c r="C826" s="166"/>
      <c r="D826" s="166"/>
      <c r="E826" s="205"/>
      <c r="F826" s="170"/>
      <c r="G826" s="205">
        <f>+VLOOKUP(Table_1[[#This Row],[Account]],BV_Data_An_Cour!$L:$Q,6,0)</f>
        <v>0</v>
      </c>
      <c r="H826" s="205"/>
    </row>
    <row r="827" spans="1:8" ht="15" hidden="1" customHeight="1">
      <c r="A827" s="169"/>
      <c r="B827" s="171"/>
      <c r="C827" s="166"/>
      <c r="D827" s="166"/>
      <c r="E827" s="205"/>
      <c r="F827" s="170"/>
      <c r="G827" s="205">
        <f>+VLOOKUP(Table_1[[#This Row],[Account]],BV_Data_An_Cour!$L:$Q,6,0)</f>
        <v>0</v>
      </c>
      <c r="H827" s="205"/>
    </row>
    <row r="828" spans="1:8" ht="15" hidden="1" customHeight="1">
      <c r="A828" s="169"/>
      <c r="B828" s="171"/>
      <c r="C828" s="166"/>
      <c r="D828" s="166"/>
      <c r="E828" s="205"/>
      <c r="F828" s="170"/>
      <c r="G828" s="205">
        <f>+VLOOKUP(Table_1[[#This Row],[Account]],BV_Data_An_Cour!$L:$Q,6,0)</f>
        <v>0</v>
      </c>
      <c r="H828" s="205"/>
    </row>
    <row r="829" spans="1:8" ht="15" hidden="1" customHeight="1">
      <c r="A829" s="169"/>
      <c r="B829" s="171"/>
      <c r="C829" s="166"/>
      <c r="D829" s="166"/>
      <c r="E829" s="205"/>
      <c r="F829" s="170"/>
      <c r="G829" s="205">
        <f>+VLOOKUP(Table_1[[#This Row],[Account]],BV_Data_An_Cour!$L:$Q,6,0)</f>
        <v>0</v>
      </c>
      <c r="H829" s="205"/>
    </row>
    <row r="830" spans="1:8" ht="15" hidden="1" customHeight="1">
      <c r="A830" s="169"/>
      <c r="B830" s="171"/>
      <c r="C830" s="166"/>
      <c r="D830" s="166"/>
      <c r="E830" s="205"/>
      <c r="F830" s="170"/>
      <c r="G830" s="205">
        <f>+VLOOKUP(Table_1[[#This Row],[Account]],BV_Data_An_Cour!$L:$Q,6,0)</f>
        <v>0</v>
      </c>
      <c r="H830" s="205"/>
    </row>
    <row r="831" spans="1:8" ht="15" hidden="1" customHeight="1">
      <c r="A831" s="169"/>
      <c r="B831" s="171"/>
      <c r="C831" s="166"/>
      <c r="D831" s="166"/>
      <c r="E831" s="205"/>
      <c r="F831" s="170"/>
      <c r="G831" s="205">
        <f>+VLOOKUP(Table_1[[#This Row],[Account]],BV_Data_An_Cour!$L:$Q,6,0)</f>
        <v>0</v>
      </c>
      <c r="H831" s="205"/>
    </row>
    <row r="832" spans="1:8" ht="15" hidden="1" customHeight="1">
      <c r="A832" s="169"/>
      <c r="B832" s="171"/>
      <c r="C832" s="166"/>
      <c r="D832" s="166"/>
      <c r="E832" s="205"/>
      <c r="F832" s="170"/>
      <c r="G832" s="205">
        <f>+VLOOKUP(Table_1[[#This Row],[Account]],BV_Data_An_Cour!$L:$Q,6,0)</f>
        <v>0</v>
      </c>
      <c r="H832" s="205"/>
    </row>
    <row r="833" spans="1:8" ht="15" hidden="1" customHeight="1">
      <c r="A833" s="169"/>
      <c r="B833" s="171"/>
      <c r="C833" s="166"/>
      <c r="D833" s="166"/>
      <c r="E833" s="205"/>
      <c r="F833" s="170"/>
      <c r="G833" s="205">
        <f>+VLOOKUP(Table_1[[#This Row],[Account]],BV_Data_An_Cour!$L:$Q,6,0)</f>
        <v>0</v>
      </c>
      <c r="H833" s="205"/>
    </row>
    <row r="834" spans="1:8" ht="15" hidden="1" customHeight="1">
      <c r="A834" s="169"/>
      <c r="B834" s="171"/>
      <c r="C834" s="166"/>
      <c r="D834" s="166"/>
      <c r="E834" s="205"/>
      <c r="F834" s="170"/>
      <c r="G834" s="205">
        <f>+VLOOKUP(Table_1[[#This Row],[Account]],BV_Data_An_Cour!$L:$Q,6,0)</f>
        <v>0</v>
      </c>
      <c r="H834" s="205"/>
    </row>
    <row r="835" spans="1:8" ht="15" hidden="1" customHeight="1">
      <c r="A835" s="169"/>
      <c r="B835" s="171"/>
      <c r="C835" s="166"/>
      <c r="D835" s="166"/>
      <c r="E835" s="205"/>
      <c r="F835" s="170"/>
      <c r="G835" s="205">
        <f>+VLOOKUP(Table_1[[#This Row],[Account]],BV_Data_An_Cour!$L:$Q,6,0)</f>
        <v>0</v>
      </c>
      <c r="H835" s="205"/>
    </row>
    <row r="836" spans="1:8" ht="15" hidden="1" customHeight="1">
      <c r="A836" s="169"/>
      <c r="B836" s="171"/>
      <c r="C836" s="166"/>
      <c r="D836" s="166"/>
      <c r="E836" s="205"/>
      <c r="F836" s="170"/>
      <c r="G836" s="205">
        <f>+VLOOKUP(Table_1[[#This Row],[Account]],BV_Data_An_Cour!$L:$Q,6,0)</f>
        <v>0</v>
      </c>
      <c r="H836" s="205"/>
    </row>
    <row r="837" spans="1:8" ht="15" hidden="1" customHeight="1">
      <c r="A837" s="576"/>
      <c r="B837" s="584"/>
      <c r="C837" s="166"/>
      <c r="D837" s="166"/>
      <c r="E837" s="205"/>
      <c r="F837" s="170"/>
      <c r="G837" s="205">
        <f>+VLOOKUP(Table_1[[#This Row],[Account]],BV_Data_An_Cour!$L:$Q,6,0)</f>
        <v>0</v>
      </c>
      <c r="H837" s="205"/>
    </row>
    <row r="838" spans="1:8" ht="15" hidden="1" customHeight="1">
      <c r="A838" s="171"/>
      <c r="B838" s="171"/>
      <c r="C838" s="166"/>
      <c r="D838" s="166"/>
      <c r="E838" s="205"/>
      <c r="F838" s="170"/>
      <c r="G838" s="205">
        <f>+VLOOKUP(Table_1[[#This Row],[Account]],BV_Data_An_Cour!$L:$Q,6,0)</f>
        <v>0</v>
      </c>
      <c r="H838" s="205"/>
    </row>
    <row r="839" spans="1:8" ht="15" hidden="1" customHeight="1">
      <c r="A839" s="578"/>
      <c r="B839" s="578"/>
      <c r="C839" s="166"/>
      <c r="D839" s="166"/>
      <c r="E839" s="205"/>
      <c r="F839" s="170"/>
      <c r="G839" s="205">
        <f>+VLOOKUP(Table_1[[#This Row],[Account]],BV_Data_An_Cour!$L:$Q,6,0)</f>
        <v>0</v>
      </c>
      <c r="H839" s="205"/>
    </row>
    <row r="840" spans="1:8" ht="15" hidden="1" customHeight="1">
      <c r="A840" s="169"/>
      <c r="B840" s="171"/>
      <c r="C840" s="166"/>
      <c r="D840" s="166"/>
      <c r="E840" s="205"/>
      <c r="F840" s="170"/>
      <c r="G840" s="205">
        <f>+VLOOKUP(Table_1[[#This Row],[Account]],BV_Data_An_Cour!$L:$Q,6,0)</f>
        <v>0</v>
      </c>
      <c r="H840" s="205"/>
    </row>
    <row r="841" spans="1:8" ht="15" hidden="1" customHeight="1">
      <c r="A841" s="579"/>
      <c r="B841" s="578"/>
      <c r="C841" s="166"/>
      <c r="D841" s="166"/>
      <c r="E841" s="205"/>
      <c r="F841" s="170"/>
      <c r="G841" s="205">
        <f>+VLOOKUP(Table_1[[#This Row],[Account]],BV_Data_An_Cour!$L:$Q,6,0)</f>
        <v>0</v>
      </c>
      <c r="H841" s="205"/>
    </row>
    <row r="842" spans="1:8" ht="15" hidden="1" customHeight="1">
      <c r="A842" s="169"/>
      <c r="B842" s="171"/>
      <c r="C842" s="166"/>
      <c r="D842" s="166"/>
      <c r="E842" s="205"/>
      <c r="F842" s="170"/>
      <c r="G842" s="205">
        <f>+VLOOKUP(Table_1[[#This Row],[Account]],BV_Data_An_Cour!$L:$Q,6,0)</f>
        <v>0</v>
      </c>
      <c r="H842" s="205"/>
    </row>
    <row r="843" spans="1:8" ht="15" hidden="1" customHeight="1">
      <c r="A843" s="579"/>
      <c r="B843" s="578"/>
      <c r="C843" s="166"/>
      <c r="D843" s="166"/>
      <c r="E843" s="205"/>
      <c r="F843" s="170"/>
      <c r="G843" s="205">
        <f>+VLOOKUP(Table_1[[#This Row],[Account]],BV_Data_An_Cour!$L:$Q,6,0)</f>
        <v>0</v>
      </c>
      <c r="H843" s="205"/>
    </row>
    <row r="844" spans="1:8" ht="15" hidden="1" customHeight="1">
      <c r="A844" s="579"/>
      <c r="B844" s="578"/>
      <c r="C844" s="166"/>
      <c r="D844" s="166"/>
      <c r="E844" s="205"/>
      <c r="F844" s="170"/>
      <c r="G844" s="205">
        <f>+VLOOKUP(Table_1[[#This Row],[Account]],BV_Data_An_Cour!$L:$Q,6,0)</f>
        <v>0</v>
      </c>
      <c r="H844" s="205"/>
    </row>
    <row r="845" spans="1:8" ht="15" hidden="1" customHeight="1">
      <c r="A845" s="576"/>
      <c r="B845" s="584"/>
      <c r="C845" s="166"/>
      <c r="D845" s="166"/>
      <c r="G845" s="162">
        <f>+VLOOKUP(Table_1[[#This Row],[Account]],BV_Data_An_Cour!$L:$Q,6,0)</f>
        <v>0</v>
      </c>
      <c r="H845" s="205"/>
    </row>
    <row r="846" spans="1:8" ht="15" hidden="1" customHeight="1">
      <c r="A846" s="579"/>
      <c r="B846" s="578"/>
      <c r="C846" s="166"/>
      <c r="D846" s="166"/>
      <c r="E846" s="205"/>
      <c r="F846" s="170"/>
      <c r="G846" s="205">
        <f>+VLOOKUP(Table_1[[#This Row],[Account]],BV_Data_An_Cour!$L:$Q,6,0)</f>
        <v>0</v>
      </c>
      <c r="H846" s="205"/>
    </row>
    <row r="847" spans="1:8" ht="15" hidden="1" customHeight="1">
      <c r="A847" s="577"/>
      <c r="B847" s="582"/>
      <c r="C847" s="166"/>
      <c r="D847" s="166"/>
      <c r="G847" s="162">
        <f>+VLOOKUP(Table_1[[#This Row],[Account]],BV_Data_An_Cour!$L:$Q,6,0)</f>
        <v>0</v>
      </c>
      <c r="H847" s="205"/>
    </row>
    <row r="848" spans="1:8" ht="15" hidden="1" customHeight="1">
      <c r="A848" s="579"/>
      <c r="B848" s="578"/>
      <c r="C848" s="166"/>
      <c r="D848" s="166"/>
      <c r="E848" s="205"/>
      <c r="F848" s="170"/>
      <c r="G848" s="205">
        <f>+VLOOKUP(Table_1[[#This Row],[Account]],BV_Data_An_Cour!$L:$Q,6,0)</f>
        <v>0</v>
      </c>
      <c r="H848" s="205"/>
    </row>
    <row r="849" spans="1:29" ht="15" hidden="1" customHeight="1">
      <c r="A849" s="579"/>
      <c r="B849" s="578"/>
      <c r="C849" s="166"/>
      <c r="D849" s="166"/>
      <c r="E849" s="205"/>
      <c r="F849" s="170"/>
      <c r="G849" s="205">
        <f>+VLOOKUP(Table_1[[#This Row],[Account]],BV_Data_An_Cour!$L:$Q,6,0)</f>
        <v>0</v>
      </c>
    </row>
    <row r="850" spans="1:29" ht="15" hidden="1" customHeight="1">
      <c r="A850" s="180"/>
      <c r="B850" s="181"/>
      <c r="C850" s="166"/>
      <c r="D850" s="166"/>
      <c r="G850" s="162">
        <f>+VLOOKUP(Table_1[[#This Row],[Account]],BV_Data_An_Cour!$L:$Q,6,0)</f>
        <v>0</v>
      </c>
    </row>
    <row r="851" spans="1:29" ht="15" hidden="1" customHeight="1">
      <c r="A851" s="171"/>
      <c r="B851" s="171"/>
      <c r="C851" s="166"/>
      <c r="D851" s="166"/>
      <c r="E851" s="205"/>
      <c r="F851" s="170"/>
      <c r="G851" s="205">
        <f>+VLOOKUP(Table_1[[#This Row],[Account]],BV_Data_An_Cour!$L:$Q,6,0)</f>
        <v>0</v>
      </c>
    </row>
    <row r="852" spans="1:29" ht="15" hidden="1" customHeight="1">
      <c r="A852" s="576"/>
      <c r="B852" s="584"/>
      <c r="C852" s="166"/>
      <c r="D852" s="166"/>
      <c r="G852" s="162">
        <f>+VLOOKUP(Table_1[[#This Row],[Account]],BV_Data_An_Cour!$L:$Q,6,0)</f>
        <v>0</v>
      </c>
    </row>
    <row r="853" spans="1:29" ht="15" hidden="1" customHeight="1">
      <c r="A853" s="579"/>
      <c r="B853" s="578"/>
      <c r="C853" s="166"/>
      <c r="D853" s="166"/>
      <c r="E853" s="205"/>
      <c r="F853" s="170"/>
      <c r="G853" s="205">
        <f>+VLOOKUP(Table_1[[#This Row],[Account]],BV_Data_An_Cour!$L:$Q,6,0)</f>
        <v>0</v>
      </c>
    </row>
    <row r="854" spans="1:29" ht="15" hidden="1" customHeight="1">
      <c r="A854" s="576"/>
      <c r="B854" s="584"/>
      <c r="C854" s="166"/>
      <c r="D854" s="166"/>
      <c r="G854" s="162">
        <f>+VLOOKUP(Table_1[[#This Row],[Account]],BV_Data_An_Cour!$L:$Q,6,0)</f>
        <v>0</v>
      </c>
    </row>
    <row r="855" spans="1:29" ht="15" hidden="1" customHeight="1">
      <c r="A855" s="169"/>
      <c r="B855" s="171"/>
      <c r="C855" s="166"/>
      <c r="D855" s="166"/>
      <c r="E855" s="205"/>
      <c r="F855" s="170"/>
      <c r="G855" s="205">
        <f>+VLOOKUP(Table_1[[#This Row],[Account]],BV_Data_An_Cour!$L:$Q,6,0)</f>
        <v>0</v>
      </c>
    </row>
    <row r="856" spans="1:29" ht="15" hidden="1" customHeight="1">
      <c r="A856" s="178"/>
      <c r="B856" s="179"/>
      <c r="C856" s="166"/>
      <c r="D856" s="166"/>
      <c r="G856" s="162">
        <f>+VLOOKUP(Table_1[[#This Row],[Account]],BV_Data_An_Cour!$L:$Q,6,0)</f>
        <v>0</v>
      </c>
    </row>
    <row r="857" spans="1:29" ht="15" hidden="1" customHeight="1">
      <c r="A857" s="579"/>
      <c r="B857" s="578"/>
      <c r="C857" s="166"/>
      <c r="D857" s="166"/>
      <c r="E857" s="205"/>
      <c r="F857" s="170"/>
      <c r="G857" s="205">
        <f>+VLOOKUP(Table_1[[#This Row],[Account]],BV_Data_An_Cour!$L:$Q,6,0)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hidden="1" customHeight="1">
      <c r="A858" s="576"/>
      <c r="B858" s="584"/>
      <c r="C858" s="166"/>
      <c r="D858" s="166"/>
      <c r="G858" s="162">
        <f>+VLOOKUP(Table_1[[#This Row],[Account]],BV_Data_An_Cour!$L:$Q,6,0)</f>
        <v>0</v>
      </c>
    </row>
    <row r="859" spans="1:29" ht="15" hidden="1" customHeight="1">
      <c r="A859" s="579"/>
      <c r="B859" s="578"/>
      <c r="C859" s="166"/>
      <c r="D859" s="166"/>
      <c r="E859" s="205"/>
      <c r="F859" s="170"/>
      <c r="G859" s="205">
        <f>+VLOOKUP(Table_1[[#This Row],[Account]],BV_Data_An_Cour!$L:$Q,6,0)</f>
        <v>0</v>
      </c>
    </row>
    <row r="860" spans="1:29" ht="15" hidden="1" customHeight="1">
      <c r="A860" s="576"/>
      <c r="B860" s="584"/>
      <c r="C860" s="166"/>
      <c r="D860" s="166"/>
      <c r="G860" s="162">
        <f>+VLOOKUP(Table_1[[#This Row],[Account]],BV_Data_An_Cour!$L:$Q,6,0)</f>
        <v>0</v>
      </c>
    </row>
    <row r="861" spans="1:29" ht="15" hidden="1" customHeight="1">
      <c r="A861" s="578"/>
      <c r="B861" s="578"/>
      <c r="C861" s="166"/>
      <c r="D861" s="166"/>
      <c r="E861" s="205"/>
      <c r="F861" s="170"/>
      <c r="G861" s="205">
        <f>+VLOOKUP(Table_1[[#This Row],[Account]],BV_Data_An_Cour!$L:$Q,6,0)</f>
        <v>0</v>
      </c>
    </row>
    <row r="862" spans="1:29" ht="15" hidden="1" customHeight="1">
      <c r="A862" s="171"/>
      <c r="B862" s="171"/>
      <c r="C862" s="166"/>
      <c r="D862" s="166"/>
      <c r="E862" s="205"/>
      <c r="F862" s="170"/>
      <c r="G862" s="205">
        <f>+VLOOKUP(Table_1[[#This Row],[Account]],BV_Data_An_Cour!$L:$Q,6,0)</f>
        <v>0</v>
      </c>
    </row>
    <row r="863" spans="1:29" ht="15" hidden="1" customHeight="1">
      <c r="A863" s="578"/>
      <c r="B863" s="578"/>
      <c r="C863" s="567"/>
      <c r="D863" s="567"/>
      <c r="E863" s="205"/>
      <c r="F863" s="170"/>
      <c r="G863" s="205">
        <f>+VLOOKUP(Table_1[[#This Row],[Account]],BV_Data_An_Cour!$L:$Q,6,0)</f>
        <v>0</v>
      </c>
      <c r="H863" s="555"/>
    </row>
    <row r="864" spans="1:29" ht="15" hidden="1" customHeight="1">
      <c r="A864" s="171"/>
      <c r="B864" s="171"/>
      <c r="C864" s="567"/>
      <c r="D864" s="166"/>
      <c r="E864" s="205"/>
      <c r="F864" s="170"/>
      <c r="G864" s="205">
        <f>+VLOOKUP(Table_1[[#This Row],[Account]],BV_Data_An_Cour!$L:$Q,6,0)</f>
        <v>0</v>
      </c>
      <c r="H864" s="167"/>
    </row>
    <row r="865" spans="1:29" ht="15" hidden="1" customHeight="1">
      <c r="A865" s="578"/>
      <c r="B865" s="578"/>
      <c r="C865" s="567"/>
      <c r="D865" s="567"/>
      <c r="E865" s="205"/>
      <c r="F865" s="170"/>
      <c r="G865" s="205">
        <f>+VLOOKUP(Table_1[[#This Row],[Account]],BV_Data_An_Cour!$L:$Q,6,0)</f>
        <v>0</v>
      </c>
      <c r="H865" s="167"/>
    </row>
    <row r="866" spans="1:29" ht="15" hidden="1" customHeight="1">
      <c r="A866" s="578"/>
      <c r="B866" s="578"/>
      <c r="C866" s="567"/>
      <c r="D866" s="166"/>
      <c r="E866" s="205"/>
      <c r="F866" s="170"/>
      <c r="G866" s="205">
        <f>+VLOOKUP(Table_1[[#This Row],[Account]],BV_Data_An_Cour!$L:$Q,6,0)</f>
        <v>0</v>
      </c>
      <c r="H866" s="167"/>
    </row>
    <row r="867" spans="1:29" ht="15" hidden="1" customHeight="1">
      <c r="A867" s="169"/>
      <c r="B867" s="165"/>
      <c r="C867" s="166"/>
      <c r="D867" s="166"/>
      <c r="E867" s="599"/>
      <c r="F867" s="167"/>
      <c r="G867" s="599"/>
      <c r="H867" s="167"/>
    </row>
    <row r="868" spans="1:29" ht="15" hidden="1" customHeight="1">
      <c r="A868" s="169"/>
      <c r="B868" s="165"/>
      <c r="C868" s="166"/>
      <c r="D868" s="166"/>
      <c r="E868" s="599"/>
      <c r="F868" s="167"/>
      <c r="G868" s="599"/>
      <c r="H868" s="170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hidden="1" customHeight="1">
      <c r="A869" s="173"/>
      <c r="B869" s="184"/>
      <c r="C869" s="166"/>
      <c r="D869" s="166"/>
      <c r="E869" s="599"/>
      <c r="F869" s="167"/>
      <c r="G869" s="599"/>
      <c r="H869" s="167"/>
    </row>
    <row r="870" spans="1:29" ht="15" hidden="1" customHeight="1">
      <c r="A870" s="169"/>
      <c r="B870" s="165"/>
      <c r="C870" s="166"/>
      <c r="D870" s="166"/>
      <c r="E870" s="205"/>
      <c r="F870" s="170"/>
      <c r="G870" s="205"/>
      <c r="H870" s="167"/>
    </row>
    <row r="871" spans="1:29" ht="15" hidden="1" customHeight="1">
      <c r="A871" s="173"/>
      <c r="B871" s="184"/>
      <c r="C871" s="166"/>
      <c r="D871" s="166"/>
      <c r="E871" s="599"/>
      <c r="F871" s="167"/>
      <c r="G871" s="599"/>
      <c r="H871" s="167"/>
    </row>
    <row r="872" spans="1:29" ht="15" hidden="1" customHeight="1">
      <c r="A872" s="173"/>
      <c r="B872" s="184"/>
      <c r="C872" s="166"/>
      <c r="D872" s="166"/>
      <c r="E872" s="599"/>
      <c r="F872" s="167"/>
      <c r="G872" s="599"/>
      <c r="H872" s="167"/>
    </row>
    <row r="873" spans="1:29" ht="15" hidden="1" customHeight="1">
      <c r="A873" s="169"/>
      <c r="B873" s="165"/>
      <c r="C873" s="166"/>
      <c r="D873" s="166"/>
      <c r="E873" s="599"/>
      <c r="F873" s="167"/>
      <c r="G873" s="599"/>
      <c r="H873" s="167"/>
    </row>
    <row r="874" spans="1:29" ht="15" hidden="1" customHeight="1">
      <c r="A874" s="175"/>
      <c r="B874" s="185"/>
      <c r="C874" s="166"/>
      <c r="D874" s="166"/>
      <c r="E874" s="599"/>
      <c r="F874" s="167"/>
      <c r="G874" s="599"/>
      <c r="H874" s="170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hidden="1" customHeight="1">
      <c r="A875" s="173"/>
      <c r="B875" s="184"/>
      <c r="C875" s="166"/>
      <c r="D875" s="166"/>
      <c r="E875" s="599"/>
      <c r="F875" s="167"/>
      <c r="G875" s="599"/>
      <c r="H875" s="167"/>
    </row>
    <row r="876" spans="1:29" ht="15" hidden="1" customHeight="1">
      <c r="A876" s="169"/>
      <c r="B876" s="165"/>
      <c r="C876" s="166"/>
      <c r="D876" s="166"/>
      <c r="E876" s="205"/>
      <c r="F876" s="170"/>
      <c r="G876" s="205"/>
      <c r="H876" s="167"/>
    </row>
    <row r="877" spans="1:29" ht="15" hidden="1" customHeight="1">
      <c r="A877" s="173"/>
      <c r="B877" s="184"/>
      <c r="C877" s="166"/>
      <c r="D877" s="166"/>
      <c r="E877" s="599"/>
      <c r="F877" s="167"/>
      <c r="G877" s="599"/>
      <c r="H877" s="170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hidden="1" customHeight="1">
      <c r="A878" s="169"/>
      <c r="B878" s="165"/>
      <c r="C878" s="166"/>
      <c r="D878" s="166"/>
      <c r="E878" s="599"/>
      <c r="F878" s="167"/>
      <c r="G878" s="599"/>
      <c r="H878" s="167"/>
    </row>
    <row r="879" spans="1:29" ht="15" hidden="1" customHeight="1">
      <c r="A879" s="169"/>
      <c r="B879" s="165"/>
      <c r="C879" s="166"/>
      <c r="D879" s="166"/>
      <c r="E879" s="205"/>
      <c r="F879" s="170"/>
      <c r="G879" s="205"/>
      <c r="H879" s="167"/>
    </row>
    <row r="880" spans="1:29" ht="15" hidden="1" customHeight="1">
      <c r="A880" s="169"/>
      <c r="B880" s="165"/>
      <c r="C880" s="166"/>
      <c r="D880" s="166"/>
      <c r="E880" s="599"/>
      <c r="F880" s="167"/>
      <c r="G880" s="599"/>
      <c r="H880" s="167"/>
    </row>
    <row r="881" spans="1:8" ht="15" hidden="1" customHeight="1">
      <c r="A881" s="169"/>
      <c r="B881" s="165"/>
      <c r="C881" s="166"/>
      <c r="D881" s="166"/>
      <c r="E881" s="599"/>
      <c r="F881" s="167"/>
      <c r="G881" s="599"/>
      <c r="H881" s="167"/>
    </row>
    <row r="882" spans="1:8" ht="15" hidden="1" customHeight="1">
      <c r="A882" s="169"/>
      <c r="B882" s="165"/>
      <c r="C882" s="166"/>
      <c r="D882" s="166"/>
      <c r="E882" s="599"/>
      <c r="F882" s="167"/>
      <c r="G882" s="599"/>
      <c r="H882" s="167"/>
    </row>
    <row r="883" spans="1:8" ht="15" hidden="1" customHeight="1">
      <c r="A883" s="169"/>
      <c r="B883" s="165"/>
      <c r="C883" s="166"/>
      <c r="D883" s="166"/>
      <c r="E883" s="599"/>
      <c r="F883" s="167"/>
      <c r="G883" s="599"/>
      <c r="H883" s="167"/>
    </row>
    <row r="884" spans="1:8" ht="15" hidden="1" customHeight="1">
      <c r="A884" s="169"/>
      <c r="B884" s="165"/>
      <c r="C884" s="166"/>
      <c r="D884" s="166"/>
      <c r="E884" s="599"/>
      <c r="F884" s="167"/>
      <c r="G884" s="599"/>
      <c r="H884" s="167"/>
    </row>
    <row r="885" spans="1:8" ht="15" hidden="1" customHeight="1">
      <c r="A885" s="169"/>
      <c r="B885" s="165"/>
      <c r="C885" s="166"/>
      <c r="D885" s="166"/>
      <c r="E885" s="599"/>
      <c r="F885" s="167"/>
      <c r="G885" s="599"/>
      <c r="H885" s="167"/>
    </row>
    <row r="886" spans="1:8" ht="15" hidden="1" customHeight="1">
      <c r="A886" s="186"/>
      <c r="B886" s="165"/>
      <c r="C886" s="166"/>
      <c r="D886" s="166"/>
      <c r="E886" s="599"/>
      <c r="F886" s="167"/>
      <c r="G886" s="599"/>
      <c r="H886" s="167"/>
    </row>
    <row r="887" spans="1:8" ht="15" hidden="1" customHeight="1">
      <c r="A887" s="186"/>
      <c r="B887" s="165"/>
      <c r="C887" s="166"/>
      <c r="D887" s="166"/>
      <c r="E887" s="599"/>
      <c r="F887" s="167"/>
      <c r="G887" s="599"/>
      <c r="H887" s="167"/>
    </row>
    <row r="888" spans="1:8" ht="15" hidden="1" customHeight="1">
      <c r="A888" s="169"/>
      <c r="B888" s="165"/>
      <c r="C888" s="166"/>
      <c r="D888" s="166"/>
      <c r="E888" s="599"/>
      <c r="F888" s="167"/>
      <c r="G888" s="599"/>
      <c r="H888" s="167"/>
    </row>
    <row r="889" spans="1:8" ht="15" hidden="1" customHeight="1">
      <c r="A889" s="169"/>
      <c r="B889" s="165"/>
      <c r="C889" s="166"/>
      <c r="D889" s="166"/>
      <c r="E889" s="599"/>
      <c r="F889" s="167"/>
      <c r="G889" s="599"/>
      <c r="H889" s="167"/>
    </row>
    <row r="890" spans="1:8" ht="15" hidden="1" customHeight="1">
      <c r="A890" s="169"/>
      <c r="B890" s="165"/>
      <c r="C890" s="166"/>
      <c r="D890" s="166"/>
      <c r="E890" s="599"/>
      <c r="F890" s="167"/>
      <c r="G890" s="599"/>
      <c r="H890" s="167"/>
    </row>
    <row r="891" spans="1:8" ht="15" hidden="1" customHeight="1">
      <c r="A891" s="176"/>
      <c r="B891" s="187"/>
      <c r="C891" s="166"/>
      <c r="D891" s="166"/>
      <c r="E891" s="599"/>
      <c r="F891" s="167"/>
      <c r="G891" s="599"/>
      <c r="H891" s="167"/>
    </row>
    <row r="892" spans="1:8" ht="15" hidden="1" customHeight="1">
      <c r="A892" s="169"/>
      <c r="B892" s="165"/>
      <c r="C892" s="166"/>
      <c r="D892" s="166"/>
      <c r="E892" s="599"/>
      <c r="F892" s="167"/>
      <c r="G892" s="599"/>
      <c r="H892" s="167"/>
    </row>
    <row r="893" spans="1:8" ht="15" hidden="1" customHeight="1">
      <c r="A893" s="169"/>
      <c r="B893" s="165"/>
      <c r="C893" s="166"/>
      <c r="D893" s="166"/>
      <c r="E893" s="599"/>
      <c r="F893" s="167"/>
      <c r="G893" s="599"/>
      <c r="H893" s="167"/>
    </row>
    <row r="894" spans="1:8" ht="15" hidden="1" customHeight="1">
      <c r="A894" s="169"/>
      <c r="B894" s="165"/>
      <c r="C894" s="166"/>
      <c r="D894" s="166"/>
      <c r="E894" s="599"/>
      <c r="F894" s="167"/>
      <c r="G894" s="599"/>
      <c r="H894" s="167"/>
    </row>
    <row r="895" spans="1:8" ht="15" hidden="1" customHeight="1">
      <c r="A895" s="169"/>
      <c r="B895" s="165"/>
      <c r="C895" s="166"/>
      <c r="D895" s="166"/>
      <c r="E895" s="599"/>
      <c r="F895" s="167"/>
      <c r="G895" s="599"/>
      <c r="H895" s="167"/>
    </row>
    <row r="896" spans="1:8" ht="15" hidden="1" customHeight="1">
      <c r="A896" s="169"/>
      <c r="B896" s="165"/>
      <c r="C896" s="166"/>
      <c r="D896" s="166"/>
      <c r="E896" s="599"/>
      <c r="F896" s="167"/>
      <c r="G896" s="599"/>
      <c r="H896" s="167"/>
    </row>
    <row r="897" spans="1:11" ht="15" hidden="1" customHeight="1">
      <c r="A897" s="169"/>
      <c r="B897" s="165"/>
      <c r="C897" s="166"/>
      <c r="D897" s="166"/>
      <c r="E897" s="599"/>
      <c r="F897" s="167"/>
      <c r="G897" s="599"/>
      <c r="H897" s="167"/>
    </row>
    <row r="898" spans="1:11" ht="15" hidden="1" customHeight="1">
      <c r="A898" s="169"/>
      <c r="B898" s="165"/>
      <c r="C898" s="166"/>
      <c r="D898" s="166"/>
      <c r="E898" s="599"/>
      <c r="F898" s="167"/>
      <c r="G898" s="599"/>
      <c r="H898" s="167"/>
    </row>
    <row r="899" spans="1:11" ht="15" hidden="1" customHeight="1">
      <c r="A899" s="169"/>
      <c r="B899" s="165"/>
      <c r="C899" s="166"/>
      <c r="D899" s="166"/>
      <c r="E899" s="599"/>
      <c r="F899" s="167"/>
      <c r="G899" s="599"/>
      <c r="H899" s="167"/>
    </row>
    <row r="900" spans="1:11" ht="15" hidden="1" customHeight="1">
      <c r="A900" s="169"/>
      <c r="B900" s="165"/>
      <c r="C900" s="166"/>
      <c r="D900" s="166"/>
      <c r="E900" s="599"/>
      <c r="F900" s="167"/>
      <c r="G900" s="599"/>
      <c r="H900" s="167"/>
    </row>
    <row r="901" spans="1:11" ht="15" hidden="1" customHeight="1">
      <c r="A901" s="169"/>
      <c r="B901" s="166"/>
      <c r="C901" s="166"/>
      <c r="D901" s="166"/>
      <c r="E901" s="599"/>
      <c r="F901" s="167"/>
      <c r="G901" s="599"/>
      <c r="H901" s="167"/>
    </row>
    <row r="902" spans="1:11" ht="15" hidden="1" customHeight="1">
      <c r="A902" s="169"/>
      <c r="B902" s="165"/>
      <c r="C902" s="166"/>
      <c r="D902" s="166"/>
      <c r="E902" s="599"/>
      <c r="F902" s="167"/>
      <c r="G902" s="599"/>
      <c r="H902" s="167"/>
    </row>
    <row r="903" spans="1:11" ht="15" hidden="1" customHeight="1">
      <c r="A903" s="169"/>
      <c r="B903" s="165"/>
      <c r="C903" s="166"/>
      <c r="D903" s="166"/>
      <c r="E903" s="599"/>
      <c r="F903" s="167"/>
      <c r="G903" s="599"/>
      <c r="H903" s="167"/>
    </row>
    <row r="904" spans="1:11" ht="15" hidden="1" customHeight="1">
      <c r="A904" s="169"/>
      <c r="B904" s="165"/>
      <c r="C904" s="166"/>
      <c r="D904" s="166"/>
      <c r="E904" s="599"/>
      <c r="F904" s="167"/>
      <c r="G904" s="599"/>
      <c r="H904" s="167"/>
    </row>
    <row r="905" spans="1:11" ht="15" hidden="1" customHeight="1">
      <c r="A905" s="169"/>
      <c r="B905" s="165"/>
      <c r="C905" s="166"/>
      <c r="D905" s="166"/>
      <c r="E905" s="599"/>
      <c r="F905" s="167"/>
      <c r="G905" s="599"/>
      <c r="H905" s="167"/>
    </row>
    <row r="906" spans="1:11" ht="15" hidden="1" customHeight="1">
      <c r="A906" s="169"/>
      <c r="B906" s="165"/>
      <c r="C906" s="166"/>
      <c r="D906" s="166"/>
      <c r="E906" s="599"/>
      <c r="F906" s="167"/>
      <c r="G906" s="599"/>
      <c r="H906" s="167"/>
    </row>
    <row r="907" spans="1:11" ht="15" hidden="1" customHeight="1">
      <c r="A907" s="169"/>
      <c r="B907" s="165"/>
      <c r="C907" s="166"/>
      <c r="D907" s="166"/>
      <c r="E907" s="599"/>
      <c r="F907" s="167"/>
      <c r="G907" s="599"/>
      <c r="H907" s="167"/>
    </row>
    <row r="908" spans="1:11" ht="15" hidden="1" customHeight="1">
      <c r="A908" s="169"/>
      <c r="B908" s="165"/>
      <c r="C908" s="166"/>
      <c r="D908" s="166"/>
      <c r="E908" s="599"/>
      <c r="F908" s="167"/>
      <c r="G908" s="599"/>
      <c r="H908" s="167"/>
      <c r="K908" s="2"/>
    </row>
    <row r="909" spans="1:11" ht="15" hidden="1" customHeight="1">
      <c r="A909" s="169"/>
      <c r="B909" s="165"/>
      <c r="C909" s="166"/>
      <c r="D909" s="166"/>
      <c r="E909" s="599"/>
      <c r="F909" s="167"/>
      <c r="G909" s="599"/>
      <c r="H909" s="167"/>
    </row>
    <row r="910" spans="1:11" ht="15" hidden="1" customHeight="1">
      <c r="A910" s="169"/>
      <c r="B910" s="165"/>
      <c r="C910" s="166"/>
      <c r="D910" s="166"/>
      <c r="E910" s="599"/>
      <c r="F910" s="167"/>
      <c r="G910" s="599"/>
      <c r="H910" s="167"/>
    </row>
    <row r="911" spans="1:11" ht="15" hidden="1" customHeight="1">
      <c r="A911" s="169"/>
      <c r="B911" s="165"/>
      <c r="C911" s="166"/>
      <c r="D911" s="166"/>
      <c r="E911" s="599"/>
      <c r="F911" s="167"/>
      <c r="G911" s="599"/>
      <c r="H911" s="167"/>
    </row>
    <row r="912" spans="1:11" ht="15" hidden="1" customHeight="1">
      <c r="A912" s="169"/>
      <c r="B912" s="165"/>
      <c r="C912" s="166"/>
      <c r="D912" s="166"/>
      <c r="E912" s="599"/>
      <c r="F912" s="167"/>
      <c r="G912" s="599"/>
      <c r="H912" s="167"/>
    </row>
    <row r="913" spans="1:11" ht="15" hidden="1" customHeight="1">
      <c r="A913" s="169"/>
      <c r="B913" s="165"/>
      <c r="C913" s="166"/>
      <c r="D913" s="166"/>
      <c r="E913" s="599"/>
      <c r="F913" s="167"/>
      <c r="G913" s="599"/>
      <c r="H913" s="167"/>
    </row>
    <row r="914" spans="1:11" ht="15" hidden="1" customHeight="1">
      <c r="A914" s="169"/>
      <c r="B914" s="165"/>
      <c r="C914" s="166"/>
      <c r="D914" s="166"/>
      <c r="E914" s="599"/>
      <c r="F914" s="167"/>
      <c r="G914" s="599"/>
      <c r="H914" s="167"/>
    </row>
    <row r="915" spans="1:11" ht="15" hidden="1" customHeight="1">
      <c r="A915" s="169"/>
      <c r="B915" s="165"/>
      <c r="C915" s="166"/>
      <c r="D915" s="166"/>
      <c r="E915" s="599"/>
      <c r="F915" s="167"/>
      <c r="G915" s="599"/>
      <c r="H915" s="167"/>
    </row>
    <row r="916" spans="1:11" ht="15" hidden="1" customHeight="1">
      <c r="A916" s="169"/>
      <c r="B916" s="165"/>
      <c r="C916" s="166"/>
      <c r="D916" s="166"/>
      <c r="E916" s="599"/>
      <c r="F916" s="167"/>
      <c r="G916" s="599"/>
      <c r="H916" s="167"/>
    </row>
    <row r="917" spans="1:11" ht="15" hidden="1" customHeight="1">
      <c r="A917" s="169"/>
      <c r="B917" s="165"/>
      <c r="C917" s="166"/>
      <c r="D917" s="166"/>
      <c r="E917" s="599"/>
      <c r="F917" s="167"/>
      <c r="G917" s="599"/>
      <c r="H917" s="167"/>
    </row>
    <row r="918" spans="1:11" ht="15" hidden="1" customHeight="1">
      <c r="A918" s="169"/>
      <c r="B918" s="165"/>
      <c r="C918" s="166"/>
      <c r="D918" s="166"/>
      <c r="E918" s="599"/>
      <c r="F918" s="167"/>
      <c r="G918" s="599"/>
      <c r="H918" s="167"/>
    </row>
    <row r="919" spans="1:11" ht="15" hidden="1" customHeight="1">
      <c r="A919" s="169"/>
      <c r="B919" s="165"/>
      <c r="C919" s="166"/>
      <c r="D919" s="166"/>
      <c r="E919" s="599"/>
      <c r="F919" s="167"/>
      <c r="G919" s="599"/>
      <c r="H919" s="167"/>
      <c r="K919" s="2"/>
    </row>
    <row r="920" spans="1:11" ht="15" hidden="1" customHeight="1">
      <c r="A920" s="169"/>
      <c r="B920" s="165"/>
      <c r="C920" s="166"/>
      <c r="D920" s="166"/>
      <c r="E920" s="599"/>
      <c r="F920" s="167"/>
      <c r="G920" s="599"/>
      <c r="H920" s="167"/>
    </row>
    <row r="921" spans="1:11" ht="15" hidden="1" customHeight="1">
      <c r="A921" s="169"/>
      <c r="B921" s="165"/>
      <c r="C921" s="166"/>
      <c r="D921" s="166"/>
      <c r="E921" s="599"/>
      <c r="F921" s="167"/>
      <c r="G921" s="599"/>
      <c r="H921" s="167"/>
    </row>
    <row r="922" spans="1:11" ht="15" hidden="1" customHeight="1">
      <c r="A922" s="169"/>
      <c r="B922" s="165"/>
      <c r="C922" s="166"/>
      <c r="D922" s="166"/>
      <c r="E922" s="599"/>
      <c r="F922" s="167"/>
      <c r="G922" s="599"/>
      <c r="H922" s="167"/>
    </row>
    <row r="923" spans="1:11" ht="15" hidden="1" customHeight="1">
      <c r="A923" s="169"/>
      <c r="B923" s="165"/>
      <c r="C923" s="166"/>
      <c r="D923" s="166"/>
      <c r="E923" s="599"/>
      <c r="F923" s="167"/>
      <c r="G923" s="599"/>
      <c r="H923" s="167"/>
    </row>
    <row r="924" spans="1:11" ht="15" hidden="1" customHeight="1">
      <c r="A924" s="169"/>
      <c r="B924" s="165"/>
      <c r="C924" s="166"/>
      <c r="D924" s="166"/>
      <c r="E924" s="599"/>
      <c r="F924" s="167"/>
      <c r="G924" s="599"/>
      <c r="H924" s="167"/>
    </row>
    <row r="925" spans="1:11" ht="15" hidden="1" customHeight="1">
      <c r="A925" s="169"/>
      <c r="B925" s="165"/>
      <c r="C925" s="166"/>
      <c r="D925" s="166"/>
      <c r="E925" s="599"/>
      <c r="F925" s="167"/>
      <c r="G925" s="599"/>
      <c r="H925" s="167"/>
      <c r="K925" s="2"/>
    </row>
    <row r="926" spans="1:11" ht="15" hidden="1" customHeight="1">
      <c r="A926" s="169"/>
      <c r="B926" s="165"/>
      <c r="C926" s="166"/>
      <c r="D926" s="166"/>
      <c r="E926" s="599"/>
      <c r="F926" s="167"/>
      <c r="G926" s="599"/>
      <c r="H926" s="167"/>
    </row>
    <row r="927" spans="1:11" ht="15" hidden="1" customHeight="1">
      <c r="A927" s="169"/>
      <c r="B927" s="165"/>
      <c r="C927" s="166"/>
      <c r="D927" s="166"/>
      <c r="E927" s="599"/>
      <c r="F927" s="167"/>
      <c r="G927" s="599"/>
      <c r="H927" s="167"/>
    </row>
    <row r="928" spans="1:11" ht="15" hidden="1" customHeight="1">
      <c r="A928" s="188"/>
      <c r="B928" s="189"/>
      <c r="C928" s="166"/>
      <c r="D928" s="166"/>
      <c r="E928" s="599"/>
      <c r="F928" s="167"/>
      <c r="G928" s="599"/>
      <c r="H928" s="167"/>
      <c r="K928" s="2"/>
    </row>
    <row r="929" spans="1:29" ht="15" hidden="1" customHeight="1">
      <c r="A929" s="173"/>
      <c r="B929" s="184"/>
      <c r="C929" s="166"/>
      <c r="D929" s="166"/>
      <c r="E929" s="599"/>
      <c r="F929" s="167"/>
      <c r="G929" s="599"/>
      <c r="H929" s="167"/>
    </row>
    <row r="930" spans="1:29" ht="15" hidden="1" customHeight="1">
      <c r="A930" s="173"/>
      <c r="B930" s="184"/>
      <c r="C930" s="166"/>
      <c r="D930" s="166"/>
      <c r="E930" s="599"/>
      <c r="F930" s="167"/>
      <c r="G930" s="599"/>
      <c r="H930" s="167"/>
    </row>
    <row r="931" spans="1:29" ht="15" hidden="1" customHeight="1">
      <c r="A931" s="169"/>
      <c r="B931" s="165"/>
      <c r="C931" s="166"/>
      <c r="D931" s="166"/>
      <c r="E931" s="599"/>
      <c r="F931" s="167"/>
      <c r="G931" s="599"/>
      <c r="H931" s="167"/>
    </row>
    <row r="932" spans="1:29" ht="15" hidden="1" customHeight="1">
      <c r="A932" s="169"/>
      <c r="B932" s="184"/>
      <c r="C932" s="166"/>
      <c r="D932" s="166"/>
      <c r="E932" s="599"/>
      <c r="F932" s="167"/>
      <c r="G932" s="599"/>
      <c r="H932" s="167"/>
    </row>
    <row r="933" spans="1:29" ht="15" hidden="1" customHeight="1">
      <c r="A933" s="169"/>
      <c r="B933" s="184"/>
      <c r="C933" s="166"/>
      <c r="D933" s="166"/>
      <c r="E933" s="599"/>
      <c r="F933" s="167"/>
      <c r="G933" s="599"/>
      <c r="H933" s="167"/>
    </row>
    <row r="934" spans="1:29" ht="15" hidden="1" customHeight="1">
      <c r="A934" s="169"/>
      <c r="B934" s="165"/>
      <c r="C934" s="166"/>
      <c r="D934" s="166"/>
      <c r="E934" s="599"/>
      <c r="F934" s="167"/>
      <c r="G934" s="599"/>
      <c r="H934" s="167"/>
    </row>
    <row r="935" spans="1:29" ht="15" hidden="1" customHeight="1">
      <c r="A935" s="169"/>
      <c r="B935" s="165"/>
      <c r="C935" s="166"/>
      <c r="D935" s="166"/>
      <c r="E935" s="599"/>
      <c r="F935" s="167"/>
      <c r="G935" s="599"/>
      <c r="H935" s="167"/>
    </row>
    <row r="936" spans="1:29" ht="15" hidden="1" customHeight="1">
      <c r="A936" s="169"/>
      <c r="B936" s="165"/>
      <c r="C936" s="166"/>
      <c r="D936" s="166"/>
      <c r="E936" s="599"/>
      <c r="F936" s="167"/>
      <c r="G936" s="599"/>
      <c r="H936" s="167"/>
    </row>
    <row r="937" spans="1:29" ht="15" hidden="1" customHeight="1">
      <c r="A937" s="169"/>
      <c r="B937" s="165"/>
      <c r="C937" s="166"/>
      <c r="D937" s="166"/>
      <c r="E937" s="599"/>
      <c r="F937" s="167"/>
      <c r="G937" s="599"/>
      <c r="H937" s="167"/>
    </row>
    <row r="938" spans="1:29" ht="15" hidden="1" customHeight="1">
      <c r="A938" s="169"/>
      <c r="B938" s="165"/>
      <c r="C938" s="166"/>
      <c r="D938" s="166"/>
      <c r="E938" s="599"/>
      <c r="F938" s="167"/>
      <c r="G938" s="599"/>
      <c r="H938" s="170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hidden="1" customHeight="1">
      <c r="A939" s="169"/>
      <c r="B939" s="165"/>
      <c r="C939" s="166"/>
      <c r="D939" s="166"/>
      <c r="E939" s="599"/>
      <c r="F939" s="167"/>
      <c r="G939" s="599"/>
      <c r="H939" s="167"/>
    </row>
    <row r="940" spans="1:29" ht="15" hidden="1" customHeight="1">
      <c r="A940" s="169"/>
      <c r="B940" s="165"/>
      <c r="C940" s="166"/>
      <c r="D940" s="166"/>
      <c r="E940" s="205"/>
      <c r="F940" s="170"/>
      <c r="G940" s="205"/>
      <c r="H940" s="167"/>
    </row>
    <row r="941" spans="1:29" ht="15" hidden="1" customHeight="1">
      <c r="A941" s="169"/>
      <c r="B941" s="165"/>
      <c r="C941" s="166"/>
      <c r="D941" s="166"/>
      <c r="E941" s="599"/>
      <c r="F941" s="167"/>
      <c r="G941" s="599"/>
      <c r="H941" s="167"/>
    </row>
    <row r="942" spans="1:29" ht="15" hidden="1" customHeight="1">
      <c r="A942" s="169"/>
      <c r="B942" s="165"/>
      <c r="C942" s="166"/>
      <c r="D942" s="166"/>
      <c r="E942" s="599"/>
      <c r="F942" s="167"/>
      <c r="G942" s="599"/>
      <c r="H942" s="167"/>
    </row>
    <row r="943" spans="1:29" ht="15" hidden="1" customHeight="1">
      <c r="A943" s="169"/>
      <c r="B943" s="165"/>
      <c r="C943" s="166"/>
      <c r="D943" s="166"/>
      <c r="E943" s="599"/>
      <c r="F943" s="167"/>
      <c r="G943" s="599"/>
      <c r="H943" s="167"/>
    </row>
    <row r="944" spans="1:29" ht="15" hidden="1" customHeight="1">
      <c r="A944" s="169"/>
      <c r="B944" s="165"/>
      <c r="C944" s="166"/>
      <c r="D944" s="166"/>
      <c r="E944" s="599"/>
      <c r="F944" s="167"/>
      <c r="G944" s="599"/>
      <c r="H944" s="167"/>
    </row>
    <row r="945" spans="1:15" ht="15" hidden="1" customHeight="1">
      <c r="A945" s="188"/>
      <c r="B945" s="189"/>
      <c r="C945" s="166"/>
      <c r="D945" s="166"/>
      <c r="E945" s="599"/>
      <c r="F945" s="167"/>
      <c r="G945" s="599"/>
      <c r="H945" s="167"/>
    </row>
    <row r="946" spans="1:15" ht="15" hidden="1" customHeight="1">
      <c r="A946" s="169"/>
      <c r="B946" s="165"/>
      <c r="C946" s="166"/>
      <c r="D946" s="166"/>
      <c r="E946" s="599"/>
      <c r="F946" s="167"/>
      <c r="G946" s="599"/>
      <c r="H946" s="167"/>
    </row>
    <row r="947" spans="1:15" ht="15" hidden="1" customHeight="1">
      <c r="A947" s="169"/>
      <c r="B947" s="165"/>
      <c r="C947" s="166"/>
      <c r="D947" s="166"/>
      <c r="E947" s="599"/>
      <c r="F947" s="167"/>
      <c r="G947" s="599"/>
      <c r="H947" s="167"/>
    </row>
    <row r="948" spans="1:15" ht="15" hidden="1" customHeight="1">
      <c r="A948" s="169"/>
      <c r="B948" s="165"/>
      <c r="C948" s="166"/>
      <c r="D948" s="166"/>
      <c r="E948" s="599"/>
      <c r="F948" s="167"/>
      <c r="G948" s="599"/>
      <c r="H948" s="167"/>
    </row>
    <row r="949" spans="1:15" ht="15" hidden="1" customHeight="1">
      <c r="A949" s="169"/>
      <c r="B949" s="165"/>
      <c r="C949" s="166"/>
      <c r="D949" s="166"/>
      <c r="E949" s="599"/>
      <c r="F949" s="167"/>
      <c r="G949" s="599"/>
      <c r="H949" s="167"/>
      <c r="M949" s="2"/>
      <c r="N949" s="2"/>
      <c r="O949" s="2"/>
    </row>
    <row r="950" spans="1:15" ht="15" hidden="1" customHeight="1">
      <c r="A950" s="169"/>
      <c r="B950" s="165"/>
      <c r="C950" s="166"/>
      <c r="D950" s="166"/>
      <c r="E950" s="599"/>
      <c r="F950" s="167"/>
      <c r="G950" s="599"/>
      <c r="H950" s="167"/>
    </row>
    <row r="951" spans="1:15" ht="15" hidden="1" customHeight="1">
      <c r="A951" s="169"/>
      <c r="B951" s="165"/>
      <c r="C951" s="166"/>
      <c r="D951" s="166"/>
      <c r="E951" s="599"/>
      <c r="F951" s="167"/>
      <c r="G951" s="599"/>
      <c r="H951" s="167"/>
    </row>
    <row r="952" spans="1:15" ht="15" hidden="1" customHeight="1">
      <c r="A952" s="169"/>
      <c r="B952" s="165"/>
      <c r="C952" s="166"/>
      <c r="D952" s="166"/>
      <c r="E952" s="599"/>
      <c r="F952" s="167"/>
      <c r="G952" s="599"/>
      <c r="H952" s="167"/>
    </row>
    <row r="953" spans="1:15" ht="15" hidden="1" customHeight="1">
      <c r="A953" s="169"/>
      <c r="B953" s="165"/>
      <c r="C953" s="166"/>
      <c r="D953" s="166"/>
      <c r="E953" s="599"/>
      <c r="F953" s="167"/>
      <c r="G953" s="599"/>
      <c r="H953" s="167"/>
    </row>
    <row r="954" spans="1:15" ht="15" hidden="1" customHeight="1">
      <c r="A954" s="169"/>
      <c r="B954" s="165"/>
      <c r="C954" s="166"/>
      <c r="D954" s="166"/>
      <c r="E954" s="599"/>
      <c r="F954" s="167"/>
      <c r="G954" s="599"/>
      <c r="H954" s="167"/>
    </row>
    <row r="955" spans="1:15" ht="15" hidden="1" customHeight="1">
      <c r="A955" s="169"/>
      <c r="B955" s="165"/>
      <c r="C955" s="166"/>
      <c r="D955" s="166"/>
      <c r="E955" s="599"/>
      <c r="F955" s="167"/>
      <c r="G955" s="599"/>
      <c r="H955" s="167"/>
    </row>
    <row r="956" spans="1:15" ht="15" hidden="1" customHeight="1">
      <c r="A956" s="169"/>
      <c r="B956" s="165"/>
      <c r="C956" s="166"/>
      <c r="D956" s="166"/>
      <c r="E956" s="599"/>
      <c r="F956" s="167"/>
      <c r="G956" s="599"/>
      <c r="H956" s="167"/>
    </row>
    <row r="957" spans="1:15" ht="15" hidden="1" customHeight="1">
      <c r="A957" s="169"/>
      <c r="B957" s="165"/>
      <c r="C957" s="166"/>
      <c r="D957" s="166"/>
      <c r="E957" s="599"/>
      <c r="F957" s="167"/>
      <c r="G957" s="599"/>
      <c r="H957" s="167"/>
    </row>
    <row r="958" spans="1:15" ht="15" hidden="1" customHeight="1">
      <c r="A958" s="169"/>
      <c r="B958" s="165"/>
      <c r="C958" s="166"/>
      <c r="D958" s="166"/>
      <c r="E958" s="599"/>
      <c r="F958" s="167"/>
      <c r="G958" s="599"/>
      <c r="H958" s="167"/>
    </row>
    <row r="959" spans="1:15" ht="15" hidden="1" customHeight="1">
      <c r="A959" s="169"/>
      <c r="B959" s="165"/>
      <c r="C959" s="166"/>
      <c r="D959" s="166"/>
      <c r="E959" s="599"/>
      <c r="F959" s="167"/>
      <c r="G959" s="599"/>
      <c r="H959" s="167"/>
    </row>
    <row r="960" spans="1:15" ht="15" hidden="1" customHeight="1">
      <c r="A960" s="169"/>
      <c r="B960" s="165"/>
      <c r="C960" s="166"/>
      <c r="D960" s="166"/>
      <c r="E960" s="599"/>
      <c r="F960" s="167"/>
      <c r="G960" s="599"/>
      <c r="H960" s="167"/>
    </row>
    <row r="961" spans="1:29" ht="15" hidden="1" customHeight="1">
      <c r="A961" s="169"/>
      <c r="B961" s="165"/>
      <c r="C961" s="166"/>
      <c r="D961" s="166"/>
      <c r="E961" s="599"/>
      <c r="F961" s="167"/>
      <c r="G961" s="599"/>
      <c r="H961" s="167"/>
    </row>
    <row r="962" spans="1:29" ht="15" hidden="1" customHeight="1">
      <c r="A962" s="169"/>
      <c r="B962" s="165"/>
      <c r="C962" s="166"/>
      <c r="D962" s="166"/>
      <c r="E962" s="599"/>
      <c r="F962" s="167"/>
      <c r="G962" s="599"/>
      <c r="H962" s="167"/>
    </row>
    <row r="963" spans="1:29" ht="15" hidden="1" customHeight="1">
      <c r="A963" s="169"/>
      <c r="B963" s="166"/>
      <c r="C963" s="166"/>
      <c r="D963" s="166"/>
      <c r="E963" s="599"/>
      <c r="F963" s="167"/>
      <c r="G963" s="599"/>
      <c r="H963" s="167"/>
    </row>
    <row r="964" spans="1:29" ht="15" hidden="1" customHeight="1">
      <c r="A964" s="169"/>
      <c r="B964" s="165"/>
      <c r="C964" s="166"/>
      <c r="D964" s="166"/>
      <c r="E964" s="599"/>
      <c r="F964" s="167"/>
      <c r="G964" s="599"/>
      <c r="H964" s="167"/>
    </row>
    <row r="965" spans="1:29" ht="15" hidden="1" customHeight="1">
      <c r="A965" s="169"/>
      <c r="B965" s="165"/>
      <c r="C965" s="166"/>
      <c r="D965" s="166"/>
      <c r="E965" s="599"/>
      <c r="F965" s="167"/>
      <c r="G965" s="599"/>
      <c r="H965" s="167"/>
    </row>
    <row r="966" spans="1:29" ht="15" hidden="1" customHeight="1">
      <c r="A966" s="190"/>
      <c r="B966" s="191"/>
      <c r="C966" s="192"/>
      <c r="D966" s="192"/>
      <c r="E966" s="599"/>
      <c r="F966" s="167"/>
      <c r="G966" s="599"/>
      <c r="H966" s="167"/>
    </row>
    <row r="967" spans="1:29" ht="15" hidden="1" customHeight="1">
      <c r="A967" s="169"/>
      <c r="B967" s="165"/>
      <c r="C967" s="166"/>
      <c r="D967" s="166"/>
      <c r="E967" s="599"/>
      <c r="F967" s="167"/>
      <c r="G967" s="599"/>
      <c r="H967" s="167"/>
    </row>
    <row r="968" spans="1:29" ht="15" hidden="1" customHeight="1">
      <c r="A968" s="169"/>
      <c r="B968" s="165"/>
      <c r="C968" s="166"/>
      <c r="D968" s="166"/>
      <c r="E968" s="599"/>
      <c r="F968" s="167"/>
      <c r="G968" s="599"/>
      <c r="H968" s="167"/>
    </row>
    <row r="969" spans="1:29" ht="15" hidden="1" customHeight="1">
      <c r="A969" s="169"/>
      <c r="B969" s="165"/>
      <c r="C969" s="166"/>
      <c r="D969" s="166"/>
      <c r="E969" s="599"/>
      <c r="F969" s="167"/>
      <c r="G969" s="599"/>
      <c r="H969" s="167"/>
    </row>
    <row r="970" spans="1:29" ht="15" hidden="1" customHeight="1">
      <c r="A970" s="169"/>
      <c r="B970" s="165"/>
      <c r="C970" s="166"/>
      <c r="D970" s="166"/>
      <c r="E970" s="599"/>
      <c r="F970" s="167"/>
      <c r="G970" s="599"/>
      <c r="H970" s="167"/>
    </row>
    <row r="971" spans="1:29" ht="15" hidden="1" customHeight="1">
      <c r="A971" s="169"/>
      <c r="B971" s="165"/>
      <c r="C971" s="166"/>
      <c r="D971" s="166"/>
      <c r="E971" s="599"/>
      <c r="F971" s="167"/>
      <c r="G971" s="599"/>
      <c r="H971" s="167"/>
    </row>
    <row r="972" spans="1:29" ht="15" hidden="1" customHeight="1">
      <c r="A972" s="169"/>
      <c r="B972" s="165"/>
      <c r="C972" s="166"/>
      <c r="D972" s="166"/>
      <c r="E972" s="599"/>
      <c r="F972" s="167"/>
      <c r="G972" s="599"/>
      <c r="H972" s="167"/>
    </row>
    <row r="973" spans="1:29" ht="15" hidden="1" customHeight="1">
      <c r="A973" s="169"/>
      <c r="B973" s="165"/>
      <c r="C973" s="166"/>
      <c r="D973" s="166"/>
      <c r="E973" s="599"/>
      <c r="F973" s="167"/>
      <c r="G973" s="599"/>
      <c r="H973" s="167"/>
    </row>
    <row r="974" spans="1:29" ht="15" hidden="1" customHeight="1">
      <c r="A974" s="169"/>
      <c r="B974" s="165"/>
      <c r="C974" s="166"/>
      <c r="D974" s="166"/>
      <c r="E974" s="599"/>
      <c r="F974" s="167"/>
      <c r="G974" s="599"/>
      <c r="H974" s="170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hidden="1" customHeight="1">
      <c r="A975" s="169"/>
      <c r="B975" s="165"/>
      <c r="C975" s="166"/>
      <c r="D975" s="166"/>
      <c r="E975" s="599"/>
      <c r="F975" s="167"/>
      <c r="G975" s="599"/>
      <c r="H975" s="167"/>
    </row>
    <row r="976" spans="1:29" ht="15" hidden="1" customHeight="1">
      <c r="A976" s="169"/>
      <c r="B976" s="165"/>
      <c r="C976" s="166"/>
      <c r="D976" s="166"/>
      <c r="E976" s="205"/>
      <c r="F976" s="170"/>
      <c r="G976" s="205"/>
      <c r="H976" s="167"/>
    </row>
    <row r="977" spans="1:29" ht="15" hidden="1" customHeight="1">
      <c r="A977" s="169"/>
      <c r="B977" s="165"/>
      <c r="C977" s="166"/>
      <c r="D977" s="166"/>
      <c r="E977" s="599"/>
      <c r="F977" s="167"/>
      <c r="G977" s="599"/>
      <c r="H977" s="170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hidden="1" customHeight="1">
      <c r="A978" s="169"/>
      <c r="B978" s="165"/>
      <c r="C978" s="166"/>
      <c r="D978" s="166"/>
      <c r="E978" s="599"/>
      <c r="F978" s="167"/>
      <c r="G978" s="599"/>
      <c r="H978" s="170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hidden="1" customHeight="1">
      <c r="A979" s="169"/>
      <c r="B979" s="165"/>
      <c r="C979" s="166"/>
      <c r="D979" s="166"/>
      <c r="E979" s="205"/>
      <c r="F979" s="170"/>
      <c r="G979" s="205"/>
      <c r="H979" s="167"/>
    </row>
    <row r="980" spans="1:29" ht="15" hidden="1" customHeight="1">
      <c r="A980" s="169"/>
      <c r="B980" s="165"/>
      <c r="C980" s="166"/>
      <c r="D980" s="166"/>
      <c r="E980" s="205"/>
      <c r="F980" s="170"/>
      <c r="G980" s="205"/>
      <c r="H980" s="167"/>
    </row>
    <row r="981" spans="1:29" ht="15" hidden="1" customHeight="1">
      <c r="A981" s="169"/>
      <c r="B981" s="165"/>
      <c r="C981" s="166"/>
      <c r="D981" s="166"/>
      <c r="E981" s="599"/>
      <c r="F981" s="167"/>
      <c r="G981" s="599"/>
      <c r="H981" s="167"/>
      <c r="K981" s="2"/>
    </row>
    <row r="982" spans="1:29" ht="15" hidden="1" customHeight="1">
      <c r="A982" s="169"/>
      <c r="B982" s="165"/>
      <c r="C982" s="166"/>
      <c r="D982" s="166"/>
      <c r="E982" s="599"/>
      <c r="F982" s="167"/>
      <c r="G982" s="599"/>
      <c r="H982" s="167"/>
    </row>
    <row r="983" spans="1:29" ht="15" hidden="1" customHeight="1">
      <c r="A983" s="169"/>
      <c r="B983" s="165"/>
      <c r="C983" s="166"/>
      <c r="D983" s="166"/>
      <c r="E983" s="599"/>
      <c r="F983" s="167"/>
      <c r="G983" s="599"/>
      <c r="H983" s="167"/>
    </row>
    <row r="984" spans="1:29" ht="15" hidden="1" customHeight="1">
      <c r="A984" s="169"/>
      <c r="B984" s="165"/>
      <c r="C984" s="166"/>
      <c r="D984" s="166"/>
      <c r="E984" s="599"/>
      <c r="F984" s="167"/>
      <c r="G984" s="599"/>
      <c r="H984" s="170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hidden="1" customHeight="1">
      <c r="A985" s="169"/>
      <c r="B985" s="165"/>
      <c r="C985" s="166"/>
      <c r="D985" s="166"/>
      <c r="E985" s="599"/>
      <c r="F985" s="167"/>
      <c r="G985" s="599"/>
      <c r="H985" s="167"/>
    </row>
    <row r="986" spans="1:29" ht="15" hidden="1" customHeight="1">
      <c r="A986" s="169"/>
      <c r="B986" s="165"/>
      <c r="C986" s="166"/>
      <c r="D986" s="166"/>
      <c r="E986" s="205"/>
      <c r="F986" s="170"/>
      <c r="G986" s="205"/>
      <c r="H986" s="167"/>
    </row>
    <row r="987" spans="1:29" ht="15" hidden="1" customHeight="1">
      <c r="A987" s="169"/>
      <c r="B987" s="165"/>
      <c r="C987" s="166"/>
      <c r="D987" s="166"/>
      <c r="E987" s="599"/>
      <c r="F987" s="167"/>
      <c r="G987" s="599"/>
      <c r="H987" s="167"/>
    </row>
    <row r="988" spans="1:29" ht="15" hidden="1" customHeight="1">
      <c r="A988" s="169"/>
      <c r="B988" s="165"/>
      <c r="C988" s="166"/>
      <c r="D988" s="166"/>
      <c r="E988" s="599"/>
      <c r="F988" s="167"/>
      <c r="G988" s="599"/>
      <c r="H988" s="167"/>
    </row>
    <row r="989" spans="1:29" ht="15" hidden="1" customHeight="1">
      <c r="A989" s="169"/>
      <c r="B989" s="165"/>
      <c r="C989" s="166"/>
      <c r="D989" s="166"/>
      <c r="E989" s="599"/>
      <c r="F989" s="167"/>
      <c r="G989" s="599"/>
      <c r="H989" s="167"/>
      <c r="K989" s="2"/>
    </row>
    <row r="990" spans="1:29" ht="15" hidden="1" customHeight="1">
      <c r="A990" s="169"/>
      <c r="B990" s="165"/>
      <c r="C990" s="166"/>
      <c r="D990" s="166"/>
      <c r="E990" s="599"/>
      <c r="F990" s="167"/>
      <c r="G990" s="599"/>
      <c r="H990" s="167"/>
    </row>
    <row r="991" spans="1:29" ht="15" hidden="1" customHeight="1">
      <c r="A991" s="169"/>
      <c r="B991" s="165"/>
      <c r="C991" s="166"/>
      <c r="D991" s="166"/>
      <c r="E991" s="599"/>
      <c r="F991" s="167"/>
      <c r="G991" s="599"/>
      <c r="H991" s="167"/>
    </row>
    <row r="992" spans="1:29" ht="15" hidden="1" customHeight="1">
      <c r="A992" s="169"/>
      <c r="B992" s="165"/>
      <c r="C992" s="166"/>
      <c r="D992" s="166"/>
      <c r="E992" s="599"/>
      <c r="F992" s="167"/>
      <c r="G992" s="599"/>
      <c r="H992" s="167"/>
    </row>
    <row r="993" spans="1:8" ht="15" hidden="1" customHeight="1">
      <c r="A993" s="169"/>
      <c r="B993" s="165"/>
      <c r="C993" s="166"/>
      <c r="D993" s="166"/>
      <c r="E993" s="599"/>
      <c r="F993" s="167"/>
      <c r="G993" s="599"/>
      <c r="H993" s="167"/>
    </row>
    <row r="994" spans="1:8" ht="15" hidden="1" customHeight="1">
      <c r="A994" s="169"/>
      <c r="B994" s="165"/>
      <c r="C994" s="166"/>
      <c r="D994" s="166"/>
      <c r="E994" s="599"/>
      <c r="F994" s="167"/>
      <c r="G994" s="599"/>
      <c r="H994" s="167"/>
    </row>
    <row r="995" spans="1:8" ht="15" hidden="1" customHeight="1">
      <c r="A995" s="169"/>
      <c r="B995" s="165"/>
      <c r="C995" s="166"/>
      <c r="D995" s="166"/>
      <c r="E995" s="599"/>
      <c r="F995" s="167"/>
      <c r="G995" s="599"/>
      <c r="H995" s="167"/>
    </row>
    <row r="996" spans="1:8" ht="15" hidden="1" customHeight="1">
      <c r="A996" s="169"/>
      <c r="B996" s="165"/>
      <c r="C996" s="166"/>
      <c r="D996" s="166"/>
      <c r="E996" s="599"/>
      <c r="F996" s="167"/>
      <c r="G996" s="599"/>
      <c r="H996" s="167"/>
    </row>
    <row r="997" spans="1:8" ht="15" hidden="1" customHeight="1">
      <c r="A997" s="169"/>
      <c r="B997" s="165"/>
      <c r="C997" s="166"/>
      <c r="D997" s="166"/>
      <c r="E997" s="599"/>
      <c r="F997" s="167"/>
      <c r="G997" s="599"/>
      <c r="H997" s="167"/>
    </row>
    <row r="998" spans="1:8" ht="15" hidden="1" customHeight="1">
      <c r="A998" s="169"/>
      <c r="B998" s="165"/>
      <c r="C998" s="166"/>
      <c r="D998" s="166"/>
      <c r="E998" s="599"/>
      <c r="F998" s="167"/>
      <c r="G998" s="599"/>
      <c r="H998" s="167"/>
    </row>
    <row r="999" spans="1:8" ht="15" hidden="1" customHeight="1">
      <c r="A999" s="176"/>
      <c r="B999" s="185"/>
      <c r="C999" s="166"/>
      <c r="D999" s="166"/>
      <c r="E999" s="599"/>
      <c r="F999" s="167"/>
      <c r="G999" s="599"/>
      <c r="H999" s="167"/>
    </row>
    <row r="1000" spans="1:8" ht="15" hidden="1" customHeight="1">
      <c r="A1000" s="169"/>
      <c r="B1000" s="165"/>
      <c r="C1000" s="166"/>
      <c r="D1000" s="166"/>
      <c r="E1000" s="599"/>
      <c r="F1000" s="167"/>
      <c r="G1000" s="599"/>
      <c r="H1000" s="167"/>
    </row>
    <row r="1001" spans="1:8" ht="15" hidden="1" customHeight="1">
      <c r="A1001" s="169"/>
      <c r="B1001" s="165"/>
      <c r="C1001" s="166"/>
      <c r="D1001" s="166"/>
      <c r="E1001" s="599"/>
      <c r="F1001" s="167"/>
      <c r="G1001" s="599"/>
      <c r="H1001" s="167"/>
    </row>
    <row r="1002" spans="1:8" ht="15" hidden="1" customHeight="1">
      <c r="A1002" s="169"/>
      <c r="B1002" s="165"/>
      <c r="C1002" s="166"/>
      <c r="D1002" s="166"/>
      <c r="E1002" s="599"/>
      <c r="F1002" s="167"/>
      <c r="G1002" s="599"/>
      <c r="H1002" s="167"/>
    </row>
    <row r="1003" spans="1:8" ht="15" hidden="1" customHeight="1">
      <c r="A1003" s="169"/>
      <c r="B1003" s="165"/>
      <c r="C1003" s="166"/>
      <c r="D1003" s="166"/>
      <c r="E1003" s="599"/>
      <c r="F1003" s="167"/>
      <c r="G1003" s="599"/>
      <c r="H1003" s="167"/>
    </row>
    <row r="1004" spans="1:8" ht="15" hidden="1" customHeight="1">
      <c r="A1004" s="169"/>
      <c r="B1004" s="165"/>
      <c r="C1004" s="166"/>
      <c r="D1004" s="166"/>
      <c r="E1004" s="599"/>
      <c r="F1004" s="167"/>
      <c r="G1004" s="599"/>
      <c r="H1004" s="167"/>
    </row>
    <row r="1005" spans="1:8" ht="15" hidden="1" customHeight="1">
      <c r="A1005" s="169"/>
      <c r="B1005" s="165"/>
      <c r="C1005" s="166"/>
      <c r="D1005" s="166"/>
      <c r="E1005" s="599"/>
      <c r="F1005" s="167"/>
      <c r="G1005" s="599"/>
      <c r="H1005" s="167"/>
    </row>
    <row r="1006" spans="1:8" ht="15" hidden="1" customHeight="1">
      <c r="A1006" s="169"/>
      <c r="B1006" s="165"/>
      <c r="C1006" s="166"/>
      <c r="D1006" s="166"/>
      <c r="E1006" s="599"/>
      <c r="F1006" s="167"/>
      <c r="G1006" s="599"/>
      <c r="H1006" s="167"/>
    </row>
    <row r="1007" spans="1:8" ht="15" hidden="1" customHeight="1">
      <c r="A1007" s="169"/>
      <c r="B1007" s="165"/>
      <c r="C1007" s="166"/>
      <c r="D1007" s="166"/>
      <c r="E1007" s="599"/>
      <c r="F1007" s="167"/>
      <c r="G1007" s="599"/>
      <c r="H1007" s="167"/>
    </row>
    <row r="1008" spans="1:8" ht="15" hidden="1" customHeight="1">
      <c r="A1008" s="169"/>
      <c r="B1008" s="165"/>
      <c r="C1008" s="166"/>
      <c r="D1008" s="166"/>
      <c r="E1008" s="599"/>
      <c r="F1008" s="167"/>
      <c r="G1008" s="599"/>
      <c r="H1008" s="167"/>
    </row>
    <row r="1009" spans="1:8" ht="15" hidden="1" customHeight="1">
      <c r="A1009" s="169"/>
      <c r="B1009" s="165"/>
      <c r="C1009" s="166"/>
      <c r="D1009" s="166"/>
      <c r="E1009" s="599"/>
      <c r="F1009" s="167"/>
      <c r="G1009" s="599"/>
      <c r="H1009" s="167"/>
    </row>
    <row r="1010" spans="1:8" ht="15" hidden="1" customHeight="1">
      <c r="A1010" s="169"/>
      <c r="B1010" s="165"/>
      <c r="C1010" s="166"/>
      <c r="D1010" s="166"/>
      <c r="E1010" s="599"/>
      <c r="F1010" s="167"/>
      <c r="G1010" s="599"/>
      <c r="H1010" s="167"/>
    </row>
    <row r="1011" spans="1:8" ht="15" hidden="1" customHeight="1">
      <c r="A1011" s="169"/>
      <c r="B1011" s="165"/>
      <c r="C1011" s="166"/>
      <c r="D1011" s="166"/>
      <c r="E1011" s="599"/>
      <c r="F1011" s="167"/>
      <c r="G1011" s="599"/>
      <c r="H1011" s="167"/>
    </row>
    <row r="1012" spans="1:8" ht="15" hidden="1" customHeight="1">
      <c r="A1012" s="169"/>
      <c r="B1012" s="165"/>
      <c r="C1012" s="166"/>
      <c r="D1012" s="166"/>
      <c r="E1012" s="599"/>
      <c r="F1012" s="167"/>
      <c r="G1012" s="599"/>
      <c r="H1012" s="167"/>
    </row>
    <row r="1013" spans="1:8" ht="15" hidden="1" customHeight="1">
      <c r="A1013" s="169"/>
      <c r="B1013" s="165"/>
      <c r="C1013" s="166"/>
      <c r="D1013" s="166"/>
      <c r="E1013" s="599"/>
      <c r="F1013" s="167"/>
      <c r="G1013" s="599"/>
      <c r="H1013" s="167"/>
    </row>
    <row r="1014" spans="1:8" ht="15" hidden="1" customHeight="1">
      <c r="A1014" s="169"/>
      <c r="B1014" s="165"/>
      <c r="C1014" s="166"/>
      <c r="D1014" s="166"/>
      <c r="E1014" s="599"/>
      <c r="F1014" s="167"/>
      <c r="G1014" s="599"/>
      <c r="H1014" s="167"/>
    </row>
    <row r="1015" spans="1:8" ht="15" hidden="1" customHeight="1">
      <c r="A1015" s="169"/>
      <c r="B1015" s="165"/>
      <c r="C1015" s="166"/>
      <c r="D1015" s="166"/>
      <c r="E1015" s="599"/>
      <c r="F1015" s="167"/>
      <c r="G1015" s="599"/>
      <c r="H1015" s="167"/>
    </row>
    <row r="1016" spans="1:8" ht="15" hidden="1" customHeight="1">
      <c r="A1016" s="169"/>
      <c r="B1016" s="165"/>
      <c r="C1016" s="166"/>
      <c r="D1016" s="166"/>
      <c r="E1016" s="599"/>
      <c r="F1016" s="167"/>
      <c r="G1016" s="599"/>
      <c r="H1016" s="167"/>
    </row>
    <row r="1017" spans="1:8" ht="15" hidden="1" customHeight="1">
      <c r="A1017" s="169"/>
      <c r="B1017" s="165"/>
      <c r="C1017" s="166"/>
      <c r="D1017" s="166"/>
      <c r="E1017" s="599"/>
      <c r="F1017" s="167"/>
      <c r="G1017" s="599"/>
      <c r="H1017" s="167"/>
    </row>
    <row r="1018" spans="1:8" ht="15" hidden="1" customHeight="1">
      <c r="A1018" s="169"/>
      <c r="B1018" s="165"/>
      <c r="C1018" s="166"/>
      <c r="D1018" s="166"/>
      <c r="E1018" s="599"/>
      <c r="F1018" s="167"/>
      <c r="G1018" s="599"/>
      <c r="H1018" s="167"/>
    </row>
    <row r="1019" spans="1:8" ht="15" hidden="1" customHeight="1">
      <c r="A1019" s="169"/>
      <c r="B1019" s="165"/>
      <c r="C1019" s="166"/>
      <c r="D1019" s="166"/>
      <c r="E1019" s="599"/>
      <c r="F1019" s="167"/>
      <c r="G1019" s="599"/>
      <c r="H1019" s="167"/>
    </row>
    <row r="1020" spans="1:8" ht="15" hidden="1" customHeight="1">
      <c r="A1020" s="169"/>
      <c r="B1020" s="165"/>
      <c r="C1020" s="166"/>
      <c r="D1020" s="166"/>
      <c r="E1020" s="599"/>
      <c r="F1020" s="167"/>
      <c r="G1020" s="599"/>
      <c r="H1020" s="167"/>
    </row>
    <row r="1021" spans="1:8" ht="15" hidden="1" customHeight="1">
      <c r="A1021" s="169"/>
      <c r="B1021" s="165"/>
      <c r="C1021" s="166"/>
      <c r="D1021" s="166"/>
      <c r="E1021" s="599"/>
      <c r="F1021" s="167"/>
      <c r="G1021" s="599"/>
      <c r="H1021" s="167"/>
    </row>
    <row r="1022" spans="1:8" ht="15" hidden="1" customHeight="1">
      <c r="A1022" s="169"/>
      <c r="B1022" s="189"/>
      <c r="C1022" s="166"/>
      <c r="D1022" s="166"/>
      <c r="E1022" s="599"/>
      <c r="F1022" s="167"/>
      <c r="G1022" s="599"/>
      <c r="H1022" s="167"/>
    </row>
    <row r="1023" spans="1:8" ht="15" hidden="1" customHeight="1">
      <c r="A1023" s="169"/>
      <c r="B1023" s="165"/>
      <c r="C1023" s="166"/>
      <c r="D1023" s="166"/>
      <c r="E1023" s="599"/>
      <c r="F1023" s="167"/>
      <c r="G1023" s="599"/>
      <c r="H1023" s="167"/>
    </row>
    <row r="1024" spans="1:8" ht="15" hidden="1" customHeight="1">
      <c r="A1024" s="169"/>
      <c r="B1024" s="165"/>
      <c r="C1024" s="166"/>
      <c r="D1024" s="166"/>
      <c r="E1024" s="599"/>
      <c r="F1024" s="167"/>
      <c r="G1024" s="599"/>
      <c r="H1024" s="167"/>
    </row>
    <row r="1025" spans="1:11" ht="15" hidden="1" customHeight="1">
      <c r="A1025" s="169"/>
      <c r="B1025" s="165"/>
      <c r="C1025" s="166"/>
      <c r="D1025" s="166"/>
      <c r="E1025" s="599"/>
      <c r="F1025" s="167"/>
      <c r="G1025" s="599"/>
      <c r="H1025" s="167"/>
    </row>
    <row r="1026" spans="1:11" ht="15" hidden="1" customHeight="1">
      <c r="A1026" s="169"/>
      <c r="B1026" s="165"/>
      <c r="C1026" s="166"/>
      <c r="D1026" s="166"/>
      <c r="E1026" s="599"/>
      <c r="F1026" s="167"/>
      <c r="G1026" s="599"/>
      <c r="H1026" s="167"/>
    </row>
    <row r="1027" spans="1:11" ht="15" hidden="1" customHeight="1">
      <c r="A1027" s="169"/>
      <c r="B1027" s="165"/>
      <c r="C1027" s="166"/>
      <c r="D1027" s="166"/>
      <c r="E1027" s="599"/>
      <c r="F1027" s="167"/>
      <c r="G1027" s="599"/>
      <c r="H1027" s="167"/>
    </row>
    <row r="1028" spans="1:11" ht="15" hidden="1" customHeight="1">
      <c r="A1028" s="169"/>
      <c r="B1028" s="165"/>
      <c r="C1028" s="166"/>
      <c r="D1028" s="166"/>
      <c r="E1028" s="599"/>
      <c r="F1028" s="167"/>
      <c r="G1028" s="599"/>
      <c r="H1028" s="167"/>
      <c r="K1028" s="2"/>
    </row>
    <row r="1029" spans="1:11" ht="15" hidden="1" customHeight="1">
      <c r="A1029" s="169"/>
      <c r="B1029" s="165"/>
      <c r="C1029" s="166"/>
      <c r="D1029" s="166"/>
      <c r="E1029" s="599"/>
      <c r="F1029" s="167"/>
      <c r="G1029" s="599"/>
      <c r="H1029" s="167"/>
      <c r="K1029" s="2"/>
    </row>
    <row r="1030" spans="1:11" ht="15" hidden="1" customHeight="1">
      <c r="A1030" s="169"/>
      <c r="B1030" s="165"/>
      <c r="C1030" s="166"/>
      <c r="D1030" s="166"/>
      <c r="E1030" s="599"/>
      <c r="F1030" s="167"/>
      <c r="G1030" s="599"/>
      <c r="H1030" s="167"/>
    </row>
    <row r="1031" spans="1:11" ht="15" hidden="1" customHeight="1">
      <c r="A1031" s="169"/>
      <c r="B1031" s="165"/>
      <c r="C1031" s="166"/>
      <c r="D1031" s="166"/>
      <c r="E1031" s="599"/>
      <c r="F1031" s="167"/>
      <c r="G1031" s="599"/>
      <c r="H1031" s="167"/>
    </row>
    <row r="1032" spans="1:11" ht="15" hidden="1" customHeight="1">
      <c r="A1032" s="169"/>
      <c r="B1032" s="165"/>
      <c r="C1032" s="166"/>
      <c r="D1032" s="166"/>
      <c r="E1032" s="599"/>
      <c r="F1032" s="167"/>
      <c r="G1032" s="599"/>
      <c r="H1032" s="167"/>
    </row>
    <row r="1033" spans="1:11" ht="15" hidden="1" customHeight="1">
      <c r="A1033" s="169"/>
      <c r="B1033" s="165"/>
      <c r="C1033" s="166"/>
      <c r="D1033" s="166"/>
      <c r="E1033" s="599"/>
      <c r="F1033" s="167"/>
      <c r="G1033" s="599"/>
      <c r="H1033" s="167"/>
    </row>
    <row r="1034" spans="1:11" ht="15.75" hidden="1" customHeight="1">
      <c r="A1034" s="169"/>
      <c r="B1034" s="165"/>
      <c r="C1034" s="166"/>
      <c r="D1034" s="166"/>
      <c r="E1034" s="599"/>
      <c r="F1034" s="167"/>
      <c r="G1034" s="599"/>
      <c r="H1034" s="167"/>
    </row>
    <row r="1035" spans="1:11" ht="15.75" hidden="1" customHeight="1">
      <c r="A1035" s="169"/>
      <c r="B1035" s="165"/>
      <c r="C1035" s="166"/>
      <c r="D1035" s="166"/>
      <c r="E1035" s="599"/>
      <c r="F1035" s="167"/>
      <c r="G1035" s="599"/>
      <c r="H1035" s="167"/>
      <c r="K1035" s="2"/>
    </row>
    <row r="1036" spans="1:11" ht="15.75" hidden="1" customHeight="1">
      <c r="A1036" s="169"/>
      <c r="B1036" s="165"/>
      <c r="C1036" s="166"/>
      <c r="D1036" s="166"/>
      <c r="E1036" s="599"/>
      <c r="F1036" s="167"/>
      <c r="G1036" s="599"/>
      <c r="H1036" s="167"/>
    </row>
    <row r="1037" spans="1:11" ht="15.75" hidden="1" customHeight="1">
      <c r="A1037" s="169"/>
      <c r="B1037" s="165"/>
      <c r="C1037" s="166"/>
      <c r="D1037" s="166"/>
      <c r="E1037" s="599"/>
      <c r="F1037" s="167"/>
      <c r="G1037" s="599"/>
      <c r="H1037" s="167"/>
    </row>
    <row r="1038" spans="1:11" ht="15.75" hidden="1" customHeight="1">
      <c r="A1038" s="169"/>
      <c r="B1038" s="165"/>
      <c r="C1038" s="166"/>
      <c r="D1038" s="166"/>
      <c r="E1038" s="599"/>
      <c r="F1038" s="167"/>
      <c r="G1038" s="599"/>
      <c r="H1038" s="167"/>
    </row>
    <row r="1039" spans="1:11" ht="15.75" hidden="1" customHeight="1">
      <c r="A1039" s="169"/>
      <c r="B1039" s="165"/>
      <c r="C1039" s="166"/>
      <c r="D1039" s="166"/>
      <c r="E1039" s="599"/>
      <c r="F1039" s="167"/>
      <c r="G1039" s="599"/>
      <c r="H1039" s="167"/>
    </row>
    <row r="1040" spans="1:11" ht="15.75" hidden="1" customHeight="1">
      <c r="A1040" s="169"/>
      <c r="B1040" s="165"/>
      <c r="C1040" s="166"/>
      <c r="D1040" s="166"/>
      <c r="E1040" s="599"/>
      <c r="F1040" s="167"/>
      <c r="G1040" s="599"/>
      <c r="H1040" s="167"/>
    </row>
    <row r="1041" spans="1:29" ht="15.75" hidden="1" customHeight="1">
      <c r="A1041" s="169"/>
      <c r="B1041" s="165"/>
      <c r="C1041" s="166"/>
      <c r="D1041" s="166"/>
      <c r="E1041" s="599"/>
      <c r="F1041" s="167"/>
      <c r="G1041" s="599"/>
      <c r="H1041" s="170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hidden="1" customHeight="1">
      <c r="A1042" s="169"/>
      <c r="B1042" s="165"/>
      <c r="C1042" s="166"/>
      <c r="D1042" s="166"/>
      <c r="E1042" s="599"/>
      <c r="F1042" s="167"/>
      <c r="G1042" s="599"/>
      <c r="H1042" s="167"/>
    </row>
    <row r="1043" spans="1:29" ht="15.75" hidden="1" customHeight="1">
      <c r="A1043" s="169"/>
      <c r="B1043" s="165"/>
      <c r="C1043" s="166"/>
      <c r="D1043" s="166"/>
      <c r="E1043" s="205"/>
      <c r="F1043" s="170"/>
      <c r="G1043" s="205"/>
      <c r="H1043" s="167"/>
    </row>
    <row r="1044" spans="1:29" ht="15.75" hidden="1" customHeight="1">
      <c r="A1044" s="169"/>
      <c r="B1044" s="165"/>
      <c r="C1044" s="166"/>
      <c r="D1044" s="166"/>
      <c r="E1044" s="599"/>
      <c r="F1044" s="167"/>
      <c r="G1044" s="599"/>
      <c r="H1044" s="167"/>
    </row>
    <row r="1045" spans="1:29" ht="15.75" hidden="1" customHeight="1">
      <c r="A1045" s="169"/>
      <c r="B1045" s="165"/>
      <c r="C1045" s="166"/>
      <c r="D1045" s="166"/>
      <c r="E1045" s="599"/>
      <c r="F1045" s="167"/>
      <c r="G1045" s="599"/>
      <c r="H1045" s="167"/>
    </row>
    <row r="1046" spans="1:29" ht="15.75" hidden="1" customHeight="1">
      <c r="A1046" s="169"/>
      <c r="B1046" s="165"/>
      <c r="C1046" s="166"/>
      <c r="D1046" s="166"/>
      <c r="E1046" s="599"/>
      <c r="F1046" s="167"/>
      <c r="G1046" s="599"/>
      <c r="H1046" s="167"/>
    </row>
    <row r="1047" spans="1:29" ht="15.75" hidden="1" customHeight="1">
      <c r="A1047" s="169"/>
      <c r="B1047" s="165"/>
      <c r="C1047" s="166"/>
      <c r="D1047" s="166"/>
      <c r="E1047" s="599"/>
      <c r="F1047" s="167"/>
      <c r="G1047" s="599"/>
      <c r="H1047" s="167"/>
    </row>
    <row r="1048" spans="1:29" ht="15.75" hidden="1" customHeight="1">
      <c r="A1048" s="169"/>
      <c r="B1048" s="165"/>
      <c r="C1048" s="166"/>
      <c r="D1048" s="166"/>
      <c r="E1048" s="599"/>
      <c r="F1048" s="167"/>
      <c r="G1048" s="599"/>
      <c r="H1048" s="167"/>
      <c r="K1048" s="2"/>
    </row>
    <row r="1049" spans="1:29" ht="15.75" hidden="1" customHeight="1">
      <c r="A1049" s="169"/>
      <c r="B1049" s="165"/>
      <c r="C1049" s="166"/>
      <c r="D1049" s="166"/>
      <c r="E1049" s="599"/>
      <c r="F1049" s="167"/>
      <c r="G1049" s="599"/>
      <c r="H1049" s="167"/>
    </row>
    <row r="1050" spans="1:29" ht="15.75" hidden="1" customHeight="1">
      <c r="A1050" s="169"/>
      <c r="B1050" s="165"/>
      <c r="C1050" s="166"/>
      <c r="D1050" s="166"/>
      <c r="E1050" s="599"/>
      <c r="F1050" s="167"/>
      <c r="G1050" s="599"/>
      <c r="H1050" s="167"/>
    </row>
    <row r="1051" spans="1:29" ht="15.75" hidden="1" customHeight="1">
      <c r="A1051" s="169"/>
      <c r="B1051" s="165"/>
      <c r="C1051" s="166"/>
      <c r="D1051" s="166"/>
      <c r="E1051" s="599"/>
      <c r="F1051" s="167"/>
      <c r="G1051" s="599"/>
      <c r="H1051" s="167"/>
    </row>
    <row r="1052" spans="1:29" ht="15.75" hidden="1" customHeight="1">
      <c r="A1052" s="169"/>
      <c r="B1052" s="165"/>
      <c r="C1052" s="166"/>
      <c r="D1052" s="166"/>
      <c r="E1052" s="599"/>
      <c r="F1052" s="167"/>
      <c r="G1052" s="599"/>
      <c r="H1052" s="167"/>
    </row>
    <row r="1053" spans="1:29" ht="15.75" hidden="1" customHeight="1">
      <c r="A1053" s="176"/>
      <c r="B1053" s="166"/>
      <c r="C1053" s="166"/>
      <c r="D1053" s="166"/>
      <c r="E1053" s="599"/>
      <c r="F1053" s="167"/>
      <c r="G1053" s="599"/>
      <c r="H1053" s="167"/>
    </row>
    <row r="1054" spans="1:29" ht="15.75" hidden="1" customHeight="1">
      <c r="A1054" s="169"/>
      <c r="B1054" s="165"/>
      <c r="C1054" s="166"/>
      <c r="D1054" s="166"/>
      <c r="E1054" s="599"/>
      <c r="F1054" s="167"/>
      <c r="G1054" s="599"/>
      <c r="H1054" s="167"/>
    </row>
    <row r="1055" spans="1:29" ht="15.75" hidden="1" customHeight="1">
      <c r="A1055" s="169"/>
      <c r="B1055" s="165"/>
      <c r="C1055" s="166"/>
      <c r="D1055" s="166"/>
      <c r="E1055" s="599"/>
      <c r="F1055" s="167"/>
      <c r="G1055" s="599"/>
      <c r="H1055" s="167"/>
    </row>
    <row r="1056" spans="1:29" ht="15.75" hidden="1" customHeight="1">
      <c r="A1056" s="169"/>
      <c r="B1056" s="165"/>
      <c r="C1056" s="166"/>
      <c r="D1056" s="166"/>
      <c r="E1056" s="599"/>
      <c r="F1056" s="167"/>
      <c r="G1056" s="599"/>
      <c r="H1056" s="167"/>
    </row>
    <row r="1057" spans="1:8" ht="15.75" hidden="1" customHeight="1">
      <c r="A1057" s="169"/>
      <c r="B1057" s="165"/>
      <c r="C1057" s="166"/>
      <c r="D1057" s="166"/>
      <c r="E1057" s="599"/>
      <c r="F1057" s="167"/>
      <c r="G1057" s="599"/>
      <c r="H1057" s="167"/>
    </row>
    <row r="1058" spans="1:8" ht="15.75" hidden="1" customHeight="1">
      <c r="A1058" s="169"/>
      <c r="B1058" s="165"/>
      <c r="C1058" s="166"/>
      <c r="D1058" s="166"/>
      <c r="E1058" s="599"/>
      <c r="F1058" s="167"/>
      <c r="G1058" s="599"/>
      <c r="H1058" s="167"/>
    </row>
    <row r="1059" spans="1:8" ht="15.75" hidden="1" customHeight="1">
      <c r="A1059" s="169"/>
      <c r="B1059" s="165"/>
      <c r="C1059" s="166"/>
      <c r="D1059" s="166"/>
      <c r="E1059" s="599"/>
      <c r="F1059" s="167"/>
      <c r="G1059" s="599"/>
      <c r="H1059" s="167"/>
    </row>
    <row r="1060" spans="1:8" ht="15.75" hidden="1" customHeight="1">
      <c r="A1060" s="169"/>
      <c r="B1060" s="165"/>
      <c r="C1060" s="166"/>
      <c r="D1060" s="166"/>
      <c r="E1060" s="599"/>
      <c r="F1060" s="167"/>
      <c r="G1060" s="599"/>
      <c r="H1060" s="167"/>
    </row>
    <row r="1061" spans="1:8" ht="15.75" hidden="1" customHeight="1">
      <c r="A1061" s="169"/>
      <c r="B1061" s="165"/>
      <c r="C1061" s="166"/>
      <c r="D1061" s="166"/>
      <c r="E1061" s="599"/>
      <c r="F1061" s="167"/>
      <c r="G1061" s="599"/>
      <c r="H1061" s="167"/>
    </row>
    <row r="1062" spans="1:8" ht="15" hidden="1" customHeight="1">
      <c r="A1062" s="169"/>
      <c r="B1062" s="165"/>
      <c r="C1062" s="166"/>
      <c r="D1062" s="166"/>
      <c r="E1062" s="599"/>
      <c r="F1062" s="167"/>
      <c r="G1062" s="599"/>
    </row>
    <row r="1063" spans="1:8" ht="15" hidden="1" customHeight="1">
      <c r="A1063" s="186"/>
      <c r="B1063" s="165"/>
      <c r="C1063" s="166"/>
      <c r="D1063" s="166"/>
      <c r="E1063" s="599"/>
      <c r="F1063" s="167"/>
      <c r="G1063" s="599"/>
    </row>
  </sheetData>
  <autoFilter ref="M4:M11" xr:uid="{A38FAA08-CA3C-479A-AACD-3E808A02BC80}"/>
  <dataValidations count="3">
    <dataValidation type="list" allowBlank="1" showErrorMessage="1" sqref="C2:C1063" xr:uid="{00000000-0002-0000-0900-000000000000}">
      <formula1>$I$1:$I$11</formula1>
    </dataValidation>
    <dataValidation type="list" allowBlank="1" showErrorMessage="1" sqref="D1" xr:uid="{00000000-0002-0000-0900-000002000000}">
      <formula1>$K$1:$K$146</formula1>
    </dataValidation>
    <dataValidation type="list" allowBlank="1" showInputMessage="1" showErrorMessage="1" sqref="D2:D1157" xr:uid="{090CC026-5C96-494D-BCAC-BDF8CF361434}">
      <formula1>$K$3:$K$146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319F-C1F7-440E-9818-0396DC701150}">
  <dimension ref="A1:H912"/>
  <sheetViews>
    <sheetView workbookViewId="0">
      <selection activeCell="G2" sqref="G2:G510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600"/>
    <col min="7" max="7" width="43.875" bestFit="1" customWidth="1"/>
  </cols>
  <sheetData>
    <row r="1" spans="1:8">
      <c r="A1" s="1058" t="s">
        <v>1637</v>
      </c>
      <c r="B1" s="1058" t="s">
        <v>265</v>
      </c>
      <c r="C1" s="1058" t="s">
        <v>1640</v>
      </c>
      <c r="D1" s="1058" t="s">
        <v>278</v>
      </c>
    </row>
    <row r="2" spans="1:8" ht="15">
      <c r="A2" s="180" t="s">
        <v>568</v>
      </c>
      <c r="B2" s="181" t="s">
        <v>567</v>
      </c>
      <c r="C2" s="1057" t="s">
        <v>75</v>
      </c>
      <c r="D2" s="1057" t="s">
        <v>29</v>
      </c>
      <c r="G2" s="1048" t="s">
        <v>2205</v>
      </c>
      <c r="H2" s="1048" t="s">
        <v>2206</v>
      </c>
    </row>
    <row r="3" spans="1:8" ht="15">
      <c r="A3" s="180" t="s">
        <v>570</v>
      </c>
      <c r="B3" s="181" t="s">
        <v>569</v>
      </c>
      <c r="C3" s="1057" t="s">
        <v>144</v>
      </c>
      <c r="D3" s="1057" t="s">
        <v>31</v>
      </c>
      <c r="G3" s="1048" t="s">
        <v>2224</v>
      </c>
      <c r="H3" s="1048" t="s">
        <v>2225</v>
      </c>
    </row>
    <row r="4" spans="1:8" ht="15">
      <c r="A4" s="180" t="s">
        <v>572</v>
      </c>
      <c r="B4" s="181" t="s">
        <v>571</v>
      </c>
      <c r="C4" s="1057" t="s">
        <v>75</v>
      </c>
      <c r="D4" s="1057" t="s">
        <v>29</v>
      </c>
      <c r="G4" s="1048" t="s">
        <v>2226</v>
      </c>
      <c r="H4" s="1048" t="s">
        <v>2227</v>
      </c>
    </row>
    <row r="5" spans="1:8" ht="15">
      <c r="A5" s="180" t="s">
        <v>574</v>
      </c>
      <c r="B5" s="181" t="s">
        <v>573</v>
      </c>
      <c r="C5" s="1057" t="s">
        <v>144</v>
      </c>
      <c r="D5" s="1057" t="s">
        <v>31</v>
      </c>
      <c r="G5" s="1048" t="s">
        <v>2854</v>
      </c>
      <c r="H5" s="1048" t="s">
        <v>2393</v>
      </c>
    </row>
    <row r="6" spans="1:8" ht="15">
      <c r="A6" s="180" t="s">
        <v>576</v>
      </c>
      <c r="B6" s="181" t="s">
        <v>575</v>
      </c>
      <c r="C6" s="1057" t="s">
        <v>75</v>
      </c>
      <c r="D6" s="1057" t="s">
        <v>29</v>
      </c>
      <c r="G6" s="1048" t="s">
        <v>2389</v>
      </c>
      <c r="H6" s="1048" t="s">
        <v>2390</v>
      </c>
    </row>
    <row r="7" spans="1:8" ht="15">
      <c r="A7" s="180" t="s">
        <v>578</v>
      </c>
      <c r="B7" s="181" t="s">
        <v>577</v>
      </c>
      <c r="C7" s="1057" t="s">
        <v>144</v>
      </c>
      <c r="D7" s="1057" t="s">
        <v>31</v>
      </c>
      <c r="G7" s="1048" t="s">
        <v>2391</v>
      </c>
      <c r="H7" s="1048" t="s">
        <v>2392</v>
      </c>
    </row>
    <row r="8" spans="1:8" ht="15">
      <c r="A8" s="180" t="s">
        <v>580</v>
      </c>
      <c r="B8" s="181" t="s">
        <v>579</v>
      </c>
      <c r="C8" s="1057" t="s">
        <v>75</v>
      </c>
      <c r="D8" s="1057" t="s">
        <v>29</v>
      </c>
      <c r="G8" s="1048" t="s">
        <v>2183</v>
      </c>
      <c r="H8" s="1048" t="s">
        <v>2184</v>
      </c>
    </row>
    <row r="9" spans="1:8" ht="15">
      <c r="A9" s="180" t="s">
        <v>582</v>
      </c>
      <c r="B9" s="181" t="s">
        <v>581</v>
      </c>
      <c r="C9" s="1057" t="s">
        <v>144</v>
      </c>
      <c r="D9" s="1057" t="s">
        <v>31</v>
      </c>
      <c r="G9" s="1048" t="s">
        <v>2027</v>
      </c>
      <c r="H9" s="1048" t="s">
        <v>2017</v>
      </c>
    </row>
    <row r="10" spans="1:8" ht="15">
      <c r="A10" s="180" t="s">
        <v>584</v>
      </c>
      <c r="B10" s="181" t="s">
        <v>583</v>
      </c>
      <c r="C10" s="1057" t="s">
        <v>75</v>
      </c>
      <c r="D10" s="1057" t="s">
        <v>29</v>
      </c>
      <c r="G10" s="1048" t="s">
        <v>2015</v>
      </c>
      <c r="H10" s="1048" t="s">
        <v>2016</v>
      </c>
    </row>
    <row r="11" spans="1:8" ht="15">
      <c r="A11" s="180" t="s">
        <v>586</v>
      </c>
      <c r="B11" s="181" t="s">
        <v>585</v>
      </c>
      <c r="C11" s="1057" t="s">
        <v>144</v>
      </c>
      <c r="D11" s="1057" t="s">
        <v>31</v>
      </c>
      <c r="G11" s="1048" t="s">
        <v>2102</v>
      </c>
      <c r="H11" s="1048" t="s">
        <v>2103</v>
      </c>
    </row>
    <row r="12" spans="1:8" ht="15">
      <c r="A12" s="180" t="s">
        <v>588</v>
      </c>
      <c r="B12" s="181" t="s">
        <v>587</v>
      </c>
      <c r="C12" s="1057" t="s">
        <v>75</v>
      </c>
      <c r="D12" s="1057" t="s">
        <v>29</v>
      </c>
      <c r="G12" s="1048" t="s">
        <v>2737</v>
      </c>
      <c r="H12" s="1048" t="s">
        <v>2738</v>
      </c>
    </row>
    <row r="13" spans="1:8" ht="15">
      <c r="A13" s="180" t="s">
        <v>590</v>
      </c>
      <c r="B13" s="181" t="s">
        <v>589</v>
      </c>
      <c r="C13" s="1057" t="s">
        <v>144</v>
      </c>
      <c r="D13" s="1057" t="s">
        <v>31</v>
      </c>
      <c r="G13" s="1048" t="s">
        <v>2834</v>
      </c>
      <c r="H13" s="1048" t="s">
        <v>2835</v>
      </c>
    </row>
    <row r="14" spans="1:8" ht="15">
      <c r="A14" s="180" t="s">
        <v>592</v>
      </c>
      <c r="B14" s="181" t="s">
        <v>591</v>
      </c>
      <c r="C14" s="1057" t="s">
        <v>75</v>
      </c>
      <c r="D14" s="1057" t="s">
        <v>29</v>
      </c>
      <c r="G14" s="1048" t="s">
        <v>2060</v>
      </c>
      <c r="H14" s="1048" t="s">
        <v>2061</v>
      </c>
    </row>
    <row r="15" spans="1:8" ht="15">
      <c r="A15" s="180" t="s">
        <v>594</v>
      </c>
      <c r="B15" s="181" t="s">
        <v>593</v>
      </c>
      <c r="C15" s="1057" t="s">
        <v>144</v>
      </c>
      <c r="D15" s="1057" t="s">
        <v>31</v>
      </c>
      <c r="G15" s="1048" t="s">
        <v>2783</v>
      </c>
      <c r="H15" s="1048" t="s">
        <v>2784</v>
      </c>
    </row>
    <row r="16" spans="1:8" ht="15">
      <c r="A16" s="180" t="s">
        <v>596</v>
      </c>
      <c r="B16" s="181" t="s">
        <v>595</v>
      </c>
      <c r="C16" s="1057" t="s">
        <v>75</v>
      </c>
      <c r="D16" s="1057" t="s">
        <v>29</v>
      </c>
      <c r="G16" s="1048" t="s">
        <v>2020</v>
      </c>
      <c r="H16" s="1048" t="s">
        <v>2021</v>
      </c>
    </row>
    <row r="17" spans="1:8" ht="15">
      <c r="A17" s="180" t="s">
        <v>598</v>
      </c>
      <c r="B17" s="181" t="s">
        <v>597</v>
      </c>
      <c r="C17" s="1057" t="s">
        <v>144</v>
      </c>
      <c r="D17" s="1057" t="s">
        <v>31</v>
      </c>
      <c r="G17" s="1048" t="s">
        <v>2621</v>
      </c>
      <c r="H17" s="1048" t="s">
        <v>2622</v>
      </c>
    </row>
    <row r="18" spans="1:8" ht="15">
      <c r="A18" s="180" t="s">
        <v>754</v>
      </c>
      <c r="B18" s="181" t="s">
        <v>753</v>
      </c>
      <c r="C18" s="1057" t="s">
        <v>1642</v>
      </c>
      <c r="D18" s="1057"/>
      <c r="G18" s="1048" t="s">
        <v>2822</v>
      </c>
      <c r="H18" s="1048" t="s">
        <v>2823</v>
      </c>
    </row>
    <row r="19" spans="1:8" ht="15">
      <c r="A19" s="180" t="s">
        <v>756</v>
      </c>
      <c r="B19" s="181" t="s">
        <v>755</v>
      </c>
      <c r="C19" s="1057" t="s">
        <v>1642</v>
      </c>
      <c r="D19" s="1057"/>
      <c r="G19" s="1048" t="s">
        <v>2109</v>
      </c>
      <c r="H19" s="1048" t="s">
        <v>2110</v>
      </c>
    </row>
    <row r="20" spans="1:8" ht="15">
      <c r="A20" s="180" t="s">
        <v>758</v>
      </c>
      <c r="B20" s="181" t="s">
        <v>757</v>
      </c>
      <c r="C20" s="1057" t="s">
        <v>1642</v>
      </c>
      <c r="D20" s="1057"/>
      <c r="G20" s="1048" t="s">
        <v>2477</v>
      </c>
      <c r="H20" s="1048" t="s">
        <v>2478</v>
      </c>
    </row>
    <row r="21" spans="1:8" ht="15">
      <c r="A21" s="180" t="s">
        <v>760</v>
      </c>
      <c r="B21" s="181" t="s">
        <v>759</v>
      </c>
      <c r="C21" s="1057" t="s">
        <v>1642</v>
      </c>
      <c r="D21" s="1057"/>
      <c r="G21" s="1048" t="s">
        <v>2118</v>
      </c>
      <c r="H21" s="1048" t="s">
        <v>2119</v>
      </c>
    </row>
    <row r="22" spans="1:8" ht="15">
      <c r="A22" s="180" t="s">
        <v>762</v>
      </c>
      <c r="B22" s="181" t="s">
        <v>761</v>
      </c>
      <c r="C22" s="1057" t="s">
        <v>1642</v>
      </c>
      <c r="D22" s="1057"/>
      <c r="G22" s="1048" t="s">
        <v>2761</v>
      </c>
      <c r="H22" s="1048" t="s">
        <v>2762</v>
      </c>
    </row>
    <row r="23" spans="1:8" ht="15">
      <c r="A23" s="180" t="s">
        <v>764</v>
      </c>
      <c r="B23" s="181" t="s">
        <v>763</v>
      </c>
      <c r="C23" s="1057" t="s">
        <v>1642</v>
      </c>
      <c r="D23" s="1057"/>
      <c r="G23" s="1048" t="s">
        <v>2826</v>
      </c>
      <c r="H23" s="1048" t="s">
        <v>2481</v>
      </c>
    </row>
    <row r="24" spans="1:8" ht="15">
      <c r="A24" s="180" t="s">
        <v>766</v>
      </c>
      <c r="B24" s="181" t="s">
        <v>765</v>
      </c>
      <c r="C24" s="1057" t="s">
        <v>1642</v>
      </c>
      <c r="D24" s="1057"/>
      <c r="G24" s="1048" t="s">
        <v>2479</v>
      </c>
      <c r="H24" s="1048" t="s">
        <v>2480</v>
      </c>
    </row>
    <row r="25" spans="1:8" ht="15">
      <c r="A25" s="180" t="s">
        <v>768</v>
      </c>
      <c r="B25" s="181" t="s">
        <v>767</v>
      </c>
      <c r="C25" s="1057" t="s">
        <v>1642</v>
      </c>
      <c r="D25" s="1057"/>
      <c r="G25" s="1048" t="s">
        <v>2032</v>
      </c>
      <c r="H25" s="1048" t="s">
        <v>2033</v>
      </c>
    </row>
    <row r="26" spans="1:8" ht="15">
      <c r="A26" s="180" t="s">
        <v>770</v>
      </c>
      <c r="B26" s="181" t="s">
        <v>769</v>
      </c>
      <c r="C26" s="1057" t="s">
        <v>1642</v>
      </c>
      <c r="D26" s="1057"/>
      <c r="G26" s="1048" t="s">
        <v>2824</v>
      </c>
      <c r="H26" s="1048" t="s">
        <v>2825</v>
      </c>
    </row>
    <row r="27" spans="1:8" ht="15">
      <c r="A27" s="180" t="s">
        <v>772</v>
      </c>
      <c r="B27" s="181" t="s">
        <v>771</v>
      </c>
      <c r="C27" s="1057" t="s">
        <v>1642</v>
      </c>
      <c r="D27" s="1057"/>
      <c r="G27" s="1048" t="s">
        <v>2740</v>
      </c>
      <c r="H27" s="1048" t="s">
        <v>2741</v>
      </c>
    </row>
    <row r="28" spans="1:8" ht="15">
      <c r="A28" s="180" t="s">
        <v>774</v>
      </c>
      <c r="B28" s="181" t="s">
        <v>773</v>
      </c>
      <c r="C28" s="1057" t="s">
        <v>1642</v>
      </c>
      <c r="D28" s="1057"/>
      <c r="G28" s="1048" t="s">
        <v>2589</v>
      </c>
      <c r="H28" s="1048" t="s">
        <v>2590</v>
      </c>
    </row>
    <row r="29" spans="1:8" ht="15">
      <c r="A29" s="180" t="s">
        <v>776</v>
      </c>
      <c r="B29" s="181" t="s">
        <v>775</v>
      </c>
      <c r="C29" s="1057" t="s">
        <v>1642</v>
      </c>
      <c r="D29" s="1057"/>
      <c r="G29" s="1048" t="s">
        <v>2763</v>
      </c>
      <c r="H29" s="1048" t="s">
        <v>2764</v>
      </c>
    </row>
    <row r="30" spans="1:8" ht="15">
      <c r="A30" s="180" t="s">
        <v>778</v>
      </c>
      <c r="B30" s="181" t="s">
        <v>777</v>
      </c>
      <c r="C30" s="1057" t="s">
        <v>1642</v>
      </c>
      <c r="D30" s="1057"/>
      <c r="G30" s="1048" t="s">
        <v>2140</v>
      </c>
      <c r="H30" s="1048" t="s">
        <v>2141</v>
      </c>
    </row>
    <row r="31" spans="1:8" ht="15">
      <c r="A31" s="180" t="s">
        <v>780</v>
      </c>
      <c r="B31" s="181" t="s">
        <v>779</v>
      </c>
      <c r="C31" s="1057" t="s">
        <v>1642</v>
      </c>
      <c r="D31" s="1057"/>
      <c r="G31" s="1048" t="s">
        <v>2691</v>
      </c>
      <c r="H31" s="1048" t="s">
        <v>2692</v>
      </c>
    </row>
    <row r="32" spans="1:8" ht="15">
      <c r="A32" s="180" t="s">
        <v>782</v>
      </c>
      <c r="B32" s="181" t="s">
        <v>781</v>
      </c>
      <c r="C32" s="1057" t="s">
        <v>1642</v>
      </c>
      <c r="D32" s="1057"/>
      <c r="G32" s="1048" t="s">
        <v>2104</v>
      </c>
      <c r="H32" s="1048" t="s">
        <v>2105</v>
      </c>
    </row>
    <row r="33" spans="1:8" ht="15">
      <c r="A33" s="180" t="s">
        <v>784</v>
      </c>
      <c r="B33" s="181" t="s">
        <v>783</v>
      </c>
      <c r="C33" s="1057" t="s">
        <v>1642</v>
      </c>
      <c r="D33" s="1057"/>
      <c r="G33" s="1048" t="s">
        <v>2130</v>
      </c>
      <c r="H33" s="1048" t="s">
        <v>2131</v>
      </c>
    </row>
    <row r="34" spans="1:8" ht="15">
      <c r="A34" s="172" t="s">
        <v>552</v>
      </c>
      <c r="B34" s="172" t="s">
        <v>551</v>
      </c>
      <c r="C34" s="1057" t="s">
        <v>1646</v>
      </c>
      <c r="D34" s="1057"/>
      <c r="G34" s="1048" t="s">
        <v>2806</v>
      </c>
      <c r="H34" s="1048" t="s">
        <v>2807</v>
      </c>
    </row>
    <row r="35" spans="1:8" ht="15">
      <c r="A35" s="172" t="s">
        <v>554</v>
      </c>
      <c r="B35" s="172" t="s">
        <v>553</v>
      </c>
      <c r="C35" s="1057" t="s">
        <v>1646</v>
      </c>
      <c r="D35" s="1057"/>
      <c r="G35" s="1048" t="s">
        <v>2394</v>
      </c>
      <c r="H35" s="1048" t="s">
        <v>2395</v>
      </c>
    </row>
    <row r="36" spans="1:8" ht="15">
      <c r="A36" s="172" t="s">
        <v>556</v>
      </c>
      <c r="B36" s="172" t="s">
        <v>555</v>
      </c>
      <c r="C36" s="1057" t="s">
        <v>1646</v>
      </c>
      <c r="D36" s="1057"/>
      <c r="G36" s="1048" t="s">
        <v>2642</v>
      </c>
      <c r="H36" s="1048" t="s">
        <v>2643</v>
      </c>
    </row>
    <row r="37" spans="1:8" ht="15">
      <c r="A37" s="180" t="s">
        <v>558</v>
      </c>
      <c r="B37" s="181" t="s">
        <v>557</v>
      </c>
      <c r="C37" s="1057" t="s">
        <v>1646</v>
      </c>
      <c r="D37" s="1057"/>
      <c r="G37" s="1048" t="s">
        <v>2152</v>
      </c>
      <c r="H37" s="1048" t="s">
        <v>2153</v>
      </c>
    </row>
    <row r="38" spans="1:8" ht="15">
      <c r="A38" s="180" t="s">
        <v>560</v>
      </c>
      <c r="B38" s="181" t="s">
        <v>559</v>
      </c>
      <c r="C38" s="1057" t="s">
        <v>1646</v>
      </c>
      <c r="D38" s="1057"/>
      <c r="G38" s="1048" t="s">
        <v>2396</v>
      </c>
      <c r="H38" s="1048" t="s">
        <v>2397</v>
      </c>
    </row>
    <row r="39" spans="1:8" ht="15">
      <c r="A39" s="180" t="s">
        <v>562</v>
      </c>
      <c r="B39" s="181" t="s">
        <v>561</v>
      </c>
      <c r="C39" s="1057" t="s">
        <v>1646</v>
      </c>
      <c r="D39" s="1057"/>
      <c r="G39" s="1048" t="s">
        <v>2124</v>
      </c>
      <c r="H39" s="1048" t="s">
        <v>2125</v>
      </c>
    </row>
    <row r="40" spans="1:8" ht="15">
      <c r="A40" s="180" t="s">
        <v>564</v>
      </c>
      <c r="B40" s="181" t="s">
        <v>563</v>
      </c>
      <c r="C40" s="1057" t="s">
        <v>1646</v>
      </c>
      <c r="D40" s="1057"/>
      <c r="G40" s="1048" t="s">
        <v>2605</v>
      </c>
      <c r="H40" s="1048" t="s">
        <v>2606</v>
      </c>
    </row>
    <row r="41" spans="1:8" ht="15">
      <c r="A41" s="180" t="s">
        <v>566</v>
      </c>
      <c r="B41" s="181" t="s">
        <v>565</v>
      </c>
      <c r="C41" s="1057" t="s">
        <v>1646</v>
      </c>
      <c r="D41" s="1057"/>
      <c r="G41" s="1048" t="s">
        <v>2181</v>
      </c>
      <c r="H41" s="1048" t="s">
        <v>2182</v>
      </c>
    </row>
    <row r="42" spans="1:8" ht="15">
      <c r="A42" s="180" t="s">
        <v>600</v>
      </c>
      <c r="B42" s="181" t="s">
        <v>599</v>
      </c>
      <c r="C42" s="1057" t="s">
        <v>155</v>
      </c>
      <c r="D42" s="1057"/>
      <c r="G42" s="1048" t="s">
        <v>2199</v>
      </c>
      <c r="H42" s="1048" t="s">
        <v>2200</v>
      </c>
    </row>
    <row r="43" spans="1:8" ht="15">
      <c r="A43" s="180" t="s">
        <v>602</v>
      </c>
      <c r="B43" s="181" t="s">
        <v>601</v>
      </c>
      <c r="C43" s="1057" t="s">
        <v>155</v>
      </c>
      <c r="D43" s="1057"/>
      <c r="G43" s="1048" t="s">
        <v>2398</v>
      </c>
      <c r="H43" s="1048" t="s">
        <v>2399</v>
      </c>
    </row>
    <row r="44" spans="1:8" ht="15">
      <c r="A44" s="180" t="s">
        <v>604</v>
      </c>
      <c r="B44" s="181" t="s">
        <v>603</v>
      </c>
      <c r="C44" s="1057" t="s">
        <v>155</v>
      </c>
      <c r="D44" s="1057"/>
      <c r="G44" s="1048" t="s">
        <v>2682</v>
      </c>
      <c r="H44" s="1048" t="s">
        <v>2683</v>
      </c>
    </row>
    <row r="45" spans="1:8" ht="15">
      <c r="A45" s="180" t="s">
        <v>606</v>
      </c>
      <c r="B45" s="181" t="s">
        <v>605</v>
      </c>
      <c r="C45" s="1057" t="s">
        <v>1646</v>
      </c>
      <c r="D45" s="1057" t="s">
        <v>159</v>
      </c>
      <c r="G45" s="1048" t="s">
        <v>2785</v>
      </c>
      <c r="H45" s="1048" t="s">
        <v>2786</v>
      </c>
    </row>
    <row r="46" spans="1:8" ht="15">
      <c r="A46" s="180" t="s">
        <v>608</v>
      </c>
      <c r="B46" s="181" t="s">
        <v>607</v>
      </c>
      <c r="C46" s="1057" t="s">
        <v>1646</v>
      </c>
      <c r="D46" s="1057" t="s">
        <v>161</v>
      </c>
      <c r="G46" s="1048" t="s">
        <v>2201</v>
      </c>
      <c r="H46" s="1048" t="s">
        <v>2202</v>
      </c>
    </row>
    <row r="47" spans="1:8" ht="15">
      <c r="A47" s="180" t="s">
        <v>610</v>
      </c>
      <c r="B47" s="181" t="s">
        <v>609</v>
      </c>
      <c r="C47" s="1057" t="s">
        <v>155</v>
      </c>
      <c r="D47" s="1057" t="s">
        <v>162</v>
      </c>
      <c r="G47" s="1048" t="s">
        <v>2186</v>
      </c>
      <c r="H47" s="1048" t="s">
        <v>2187</v>
      </c>
    </row>
    <row r="48" spans="1:8" ht="15">
      <c r="A48" s="180" t="s">
        <v>612</v>
      </c>
      <c r="B48" s="181" t="s">
        <v>611</v>
      </c>
      <c r="C48" s="1057" t="s">
        <v>171</v>
      </c>
      <c r="D48" s="1057" t="s">
        <v>173</v>
      </c>
      <c r="G48" s="1048" t="s">
        <v>2122</v>
      </c>
      <c r="H48" s="1048" t="s">
        <v>2123</v>
      </c>
    </row>
    <row r="49" spans="1:8" ht="15">
      <c r="A49" s="180" t="s">
        <v>614</v>
      </c>
      <c r="B49" s="181" t="s">
        <v>613</v>
      </c>
      <c r="C49" s="1057" t="s">
        <v>155</v>
      </c>
      <c r="D49" s="1057"/>
      <c r="G49" s="1048" t="s">
        <v>2116</v>
      </c>
      <c r="H49" s="1048" t="s">
        <v>2117</v>
      </c>
    </row>
    <row r="50" spans="1:8" ht="15">
      <c r="A50" s="180" t="s">
        <v>616</v>
      </c>
      <c r="B50" s="181" t="s">
        <v>615</v>
      </c>
      <c r="C50" s="1057" t="s">
        <v>1646</v>
      </c>
      <c r="D50" s="1057"/>
      <c r="G50" s="1048" t="s">
        <v>2142</v>
      </c>
      <c r="H50" s="1048" t="s">
        <v>2143</v>
      </c>
    </row>
    <row r="51" spans="1:8" ht="15">
      <c r="A51" s="180" t="s">
        <v>618</v>
      </c>
      <c r="B51" s="181" t="s">
        <v>617</v>
      </c>
      <c r="C51" s="1057" t="s">
        <v>1642</v>
      </c>
      <c r="D51" s="1057"/>
      <c r="G51" s="1048" t="s">
        <v>2177</v>
      </c>
      <c r="H51" s="1048" t="s">
        <v>2178</v>
      </c>
    </row>
    <row r="52" spans="1:8" ht="15">
      <c r="A52" s="180" t="s">
        <v>620</v>
      </c>
      <c r="B52" s="181" t="s">
        <v>619</v>
      </c>
      <c r="C52" s="1057" t="s">
        <v>1642</v>
      </c>
      <c r="D52" s="1057"/>
      <c r="G52" s="1048" t="s">
        <v>2803</v>
      </c>
      <c r="H52" s="1048" t="s">
        <v>2804</v>
      </c>
    </row>
    <row r="53" spans="1:8" ht="15">
      <c r="A53" s="180" t="s">
        <v>622</v>
      </c>
      <c r="B53" s="181" t="s">
        <v>621</v>
      </c>
      <c r="C53" s="1057" t="s">
        <v>1646</v>
      </c>
      <c r="D53" s="1057"/>
      <c r="G53" s="1048" t="s">
        <v>478</v>
      </c>
      <c r="H53" s="1048" t="s">
        <v>2129</v>
      </c>
    </row>
    <row r="54" spans="1:8" ht="15">
      <c r="A54" s="180" t="s">
        <v>624</v>
      </c>
      <c r="B54" s="181" t="s">
        <v>623</v>
      </c>
      <c r="C54" s="1057" t="s">
        <v>1642</v>
      </c>
      <c r="D54" s="1057"/>
      <c r="G54" s="1048" t="s">
        <v>2576</v>
      </c>
      <c r="H54" s="1048" t="s">
        <v>2577</v>
      </c>
    </row>
    <row r="55" spans="1:8" ht="15">
      <c r="A55" s="180" t="s">
        <v>626</v>
      </c>
      <c r="B55" s="181" t="s">
        <v>625</v>
      </c>
      <c r="C55" s="1057" t="s">
        <v>1642</v>
      </c>
      <c r="D55" s="1057"/>
      <c r="G55" s="1048" t="s">
        <v>2574</v>
      </c>
      <c r="H55" s="1048" t="s">
        <v>2575</v>
      </c>
    </row>
    <row r="56" spans="1:8" ht="15">
      <c r="A56" s="180" t="s">
        <v>628</v>
      </c>
      <c r="B56" s="181" t="s">
        <v>627</v>
      </c>
      <c r="C56" s="1057" t="s">
        <v>1646</v>
      </c>
      <c r="D56" s="1057"/>
      <c r="G56" s="1048" t="s">
        <v>2400</v>
      </c>
      <c r="H56" s="1048" t="s">
        <v>2401</v>
      </c>
    </row>
    <row r="57" spans="1:8" ht="15">
      <c r="A57" s="180" t="s">
        <v>630</v>
      </c>
      <c r="B57" s="181" t="s">
        <v>629</v>
      </c>
      <c r="C57" s="1057" t="s">
        <v>1642</v>
      </c>
      <c r="D57" s="1057"/>
      <c r="G57" s="1048" t="s">
        <v>2156</v>
      </c>
      <c r="H57" s="1048" t="s">
        <v>2157</v>
      </c>
    </row>
    <row r="58" spans="1:8" ht="15">
      <c r="A58" s="180" t="s">
        <v>632</v>
      </c>
      <c r="B58" s="181" t="s">
        <v>631</v>
      </c>
      <c r="C58" s="1057" t="s">
        <v>144</v>
      </c>
      <c r="D58" s="1057"/>
      <c r="G58" s="1048" t="s">
        <v>2402</v>
      </c>
      <c r="H58" s="1048" t="s">
        <v>2403</v>
      </c>
    </row>
    <row r="59" spans="1:8" ht="15">
      <c r="A59" s="180" t="s">
        <v>634</v>
      </c>
      <c r="B59" s="181" t="s">
        <v>633</v>
      </c>
      <c r="C59" s="1057" t="s">
        <v>144</v>
      </c>
      <c r="D59" s="1057"/>
      <c r="G59" s="1048" t="s">
        <v>2126</v>
      </c>
      <c r="H59" s="1048" t="s">
        <v>2127</v>
      </c>
    </row>
    <row r="60" spans="1:8" ht="15">
      <c r="A60" s="180" t="s">
        <v>636</v>
      </c>
      <c r="B60" s="181" t="s">
        <v>635</v>
      </c>
      <c r="C60" s="1057" t="s">
        <v>1646</v>
      </c>
      <c r="D60" s="1057"/>
      <c r="G60" s="1048" t="s">
        <v>2404</v>
      </c>
      <c r="H60" s="1048" t="s">
        <v>2405</v>
      </c>
    </row>
    <row r="61" spans="1:8" ht="15">
      <c r="A61" s="180" t="s">
        <v>638</v>
      </c>
      <c r="B61" s="181" t="s">
        <v>637</v>
      </c>
      <c r="C61" s="1057" t="s">
        <v>1646</v>
      </c>
      <c r="D61" s="1057"/>
      <c r="G61" s="1048" t="s">
        <v>2197</v>
      </c>
      <c r="H61" s="1048" t="s">
        <v>2198</v>
      </c>
    </row>
    <row r="62" spans="1:8" ht="15">
      <c r="A62" s="180" t="s">
        <v>640</v>
      </c>
      <c r="B62" s="181" t="s">
        <v>639</v>
      </c>
      <c r="C62" s="1057" t="s">
        <v>75</v>
      </c>
      <c r="D62" s="1057" t="s">
        <v>181</v>
      </c>
      <c r="G62" s="1048" t="s">
        <v>2406</v>
      </c>
      <c r="H62" s="1048" t="s">
        <v>2407</v>
      </c>
    </row>
    <row r="63" spans="1:8" ht="15">
      <c r="A63" s="180" t="s">
        <v>642</v>
      </c>
      <c r="B63" s="181" t="s">
        <v>641</v>
      </c>
      <c r="C63" s="1057" t="s">
        <v>75</v>
      </c>
      <c r="D63" s="1057" t="s">
        <v>181</v>
      </c>
      <c r="G63" s="1048" t="s">
        <v>2570</v>
      </c>
      <c r="H63" s="1048" t="s">
        <v>2571</v>
      </c>
    </row>
    <row r="64" spans="1:8" ht="15">
      <c r="A64" s="180" t="s">
        <v>644</v>
      </c>
      <c r="B64" s="181" t="s">
        <v>643</v>
      </c>
      <c r="C64" s="1057" t="s">
        <v>75</v>
      </c>
      <c r="D64" s="1057" t="s">
        <v>181</v>
      </c>
      <c r="G64" s="1048" t="s">
        <v>2408</v>
      </c>
      <c r="H64" s="1048" t="s">
        <v>2409</v>
      </c>
    </row>
    <row r="65" spans="1:8" ht="15">
      <c r="A65" s="180" t="s">
        <v>646</v>
      </c>
      <c r="B65" s="181" t="s">
        <v>645</v>
      </c>
      <c r="C65" s="1057" t="s">
        <v>75</v>
      </c>
      <c r="D65" s="1057" t="s">
        <v>181</v>
      </c>
      <c r="G65" s="1048" t="s">
        <v>2163</v>
      </c>
      <c r="H65" s="1048" t="s">
        <v>2164</v>
      </c>
    </row>
    <row r="66" spans="1:8" ht="15">
      <c r="A66" s="180" t="s">
        <v>648</v>
      </c>
      <c r="B66" s="181" t="s">
        <v>647</v>
      </c>
      <c r="C66" s="1057" t="s">
        <v>75</v>
      </c>
      <c r="D66" s="1057" t="s">
        <v>181</v>
      </c>
      <c r="G66" s="1048" t="s">
        <v>2410</v>
      </c>
      <c r="H66" s="1048" t="s">
        <v>2411</v>
      </c>
    </row>
    <row r="67" spans="1:8" ht="15">
      <c r="A67" s="180" t="s">
        <v>650</v>
      </c>
      <c r="B67" s="181" t="s">
        <v>649</v>
      </c>
      <c r="C67" s="1057" t="s">
        <v>75</v>
      </c>
      <c r="D67" s="1057" t="s">
        <v>181</v>
      </c>
      <c r="G67" s="1048" t="s">
        <v>2412</v>
      </c>
      <c r="H67" s="1048" t="s">
        <v>2413</v>
      </c>
    </row>
    <row r="68" spans="1:8" ht="15">
      <c r="A68" s="180" t="s">
        <v>652</v>
      </c>
      <c r="B68" s="181" t="s">
        <v>651</v>
      </c>
      <c r="C68" s="1057" t="s">
        <v>75</v>
      </c>
      <c r="D68" s="1057" t="s">
        <v>181</v>
      </c>
      <c r="G68" s="1048" t="s">
        <v>2568</v>
      </c>
      <c r="H68" s="1048" t="s">
        <v>2569</v>
      </c>
    </row>
    <row r="69" spans="1:8" ht="15">
      <c r="A69" s="180" t="s">
        <v>654</v>
      </c>
      <c r="B69" s="181" t="s">
        <v>653</v>
      </c>
      <c r="C69" s="1057" t="s">
        <v>75</v>
      </c>
      <c r="D69" s="1057" t="s">
        <v>181</v>
      </c>
      <c r="G69" s="1048" t="s">
        <v>2154</v>
      </c>
      <c r="H69" s="1048" t="s">
        <v>2155</v>
      </c>
    </row>
    <row r="70" spans="1:8" ht="15">
      <c r="A70" s="180" t="s">
        <v>656</v>
      </c>
      <c r="B70" s="181" t="s">
        <v>655</v>
      </c>
      <c r="C70" s="1057" t="s">
        <v>144</v>
      </c>
      <c r="D70" s="1057" t="s">
        <v>181</v>
      </c>
      <c r="G70" s="1048" t="s">
        <v>822</v>
      </c>
      <c r="H70" s="1048" t="s">
        <v>2414</v>
      </c>
    </row>
    <row r="71" spans="1:8" ht="15">
      <c r="A71" s="180" t="s">
        <v>658</v>
      </c>
      <c r="B71" s="181" t="s">
        <v>657</v>
      </c>
      <c r="C71" s="1057" t="s">
        <v>144</v>
      </c>
      <c r="D71" s="1057" t="s">
        <v>181</v>
      </c>
      <c r="G71" s="1048" t="s">
        <v>2195</v>
      </c>
      <c r="H71" s="1048" t="s">
        <v>2196</v>
      </c>
    </row>
    <row r="72" spans="1:8" ht="15">
      <c r="A72" s="180" t="s">
        <v>660</v>
      </c>
      <c r="B72" s="181" t="s">
        <v>659</v>
      </c>
      <c r="C72" s="1057" t="s">
        <v>144</v>
      </c>
      <c r="D72" s="1057" t="s">
        <v>181</v>
      </c>
      <c r="G72" s="1048" t="s">
        <v>2415</v>
      </c>
      <c r="H72" s="1048" t="s">
        <v>2416</v>
      </c>
    </row>
    <row r="73" spans="1:8" ht="15">
      <c r="A73" s="180" t="s">
        <v>662</v>
      </c>
      <c r="B73" s="181" t="s">
        <v>661</v>
      </c>
      <c r="C73" s="1057" t="s">
        <v>144</v>
      </c>
      <c r="D73" s="1057" t="s">
        <v>181</v>
      </c>
      <c r="G73" s="1048" t="s">
        <v>2752</v>
      </c>
      <c r="H73" s="1048" t="s">
        <v>2753</v>
      </c>
    </row>
    <row r="74" spans="1:8" ht="15">
      <c r="A74" s="180" t="s">
        <v>664</v>
      </c>
      <c r="B74" s="181" t="s">
        <v>663</v>
      </c>
      <c r="C74" s="1057" t="s">
        <v>144</v>
      </c>
      <c r="D74" s="1057" t="s">
        <v>181</v>
      </c>
      <c r="G74" s="1048" t="s">
        <v>2208</v>
      </c>
      <c r="H74" s="1048" t="s">
        <v>2209</v>
      </c>
    </row>
    <row r="75" spans="1:8" ht="15">
      <c r="A75" s="180" t="s">
        <v>666</v>
      </c>
      <c r="B75" s="181" t="s">
        <v>665</v>
      </c>
      <c r="C75" s="1057" t="s">
        <v>144</v>
      </c>
      <c r="D75" s="1057" t="s">
        <v>181</v>
      </c>
      <c r="G75" s="1048" t="s">
        <v>2846</v>
      </c>
      <c r="H75" s="1048" t="s">
        <v>2847</v>
      </c>
    </row>
    <row r="76" spans="1:8" ht="15">
      <c r="A76" s="180" t="s">
        <v>668</v>
      </c>
      <c r="B76" s="181" t="s">
        <v>667</v>
      </c>
      <c r="C76" s="1057" t="s">
        <v>144</v>
      </c>
      <c r="D76" s="1057" t="s">
        <v>181</v>
      </c>
      <c r="G76" s="1048" t="s">
        <v>2036</v>
      </c>
      <c r="H76" s="1048" t="s">
        <v>2037</v>
      </c>
    </row>
    <row r="77" spans="1:8" ht="15">
      <c r="A77" s="180" t="s">
        <v>670</v>
      </c>
      <c r="B77" s="181" t="s">
        <v>669</v>
      </c>
      <c r="C77" s="1057" t="s">
        <v>144</v>
      </c>
      <c r="D77" s="1057" t="s">
        <v>181</v>
      </c>
      <c r="G77" s="1048" t="s">
        <v>2417</v>
      </c>
      <c r="H77" s="1048" t="s">
        <v>2418</v>
      </c>
    </row>
    <row r="78" spans="1:8" ht="15">
      <c r="A78" s="181" t="s">
        <v>672</v>
      </c>
      <c r="B78" s="181" t="s">
        <v>671</v>
      </c>
      <c r="C78" s="1057" t="s">
        <v>75</v>
      </c>
      <c r="D78" s="1057" t="s">
        <v>1738</v>
      </c>
      <c r="G78" s="1048" t="s">
        <v>2203</v>
      </c>
      <c r="H78" s="1048" t="s">
        <v>2204</v>
      </c>
    </row>
    <row r="79" spans="1:8" ht="15">
      <c r="A79" s="181" t="s">
        <v>674</v>
      </c>
      <c r="B79" s="181" t="s">
        <v>673</v>
      </c>
      <c r="C79" s="1057" t="s">
        <v>75</v>
      </c>
      <c r="D79" s="1057" t="s">
        <v>1738</v>
      </c>
      <c r="G79" s="1048" t="s">
        <v>2056</v>
      </c>
      <c r="H79" s="1048" t="s">
        <v>2057</v>
      </c>
    </row>
    <row r="80" spans="1:8" ht="15">
      <c r="A80" s="181" t="s">
        <v>676</v>
      </c>
      <c r="B80" s="181" t="s">
        <v>675</v>
      </c>
      <c r="C80" s="1057" t="s">
        <v>75</v>
      </c>
      <c r="D80" s="1057" t="s">
        <v>1738</v>
      </c>
      <c r="G80" s="1048" t="s">
        <v>2796</v>
      </c>
      <c r="H80" s="1048" t="s">
        <v>2797</v>
      </c>
    </row>
    <row r="81" spans="1:8" ht="15">
      <c r="A81" s="181" t="s">
        <v>678</v>
      </c>
      <c r="B81" s="181" t="s">
        <v>677</v>
      </c>
      <c r="C81" s="1057" t="s">
        <v>75</v>
      </c>
      <c r="D81" s="1057" t="s">
        <v>1738</v>
      </c>
      <c r="G81" s="1048" t="s">
        <v>2813</v>
      </c>
      <c r="H81" s="1048" t="s">
        <v>2066</v>
      </c>
    </row>
    <row r="82" spans="1:8" ht="15">
      <c r="A82" s="181" t="s">
        <v>680</v>
      </c>
      <c r="B82" s="181" t="s">
        <v>679</v>
      </c>
      <c r="C82" s="1057" t="s">
        <v>75</v>
      </c>
      <c r="D82" s="1057" t="s">
        <v>1738</v>
      </c>
      <c r="G82" s="1048" t="s">
        <v>2064</v>
      </c>
      <c r="H82" s="1048" t="s">
        <v>2065</v>
      </c>
    </row>
    <row r="83" spans="1:8" ht="15">
      <c r="A83" s="181" t="s">
        <v>682</v>
      </c>
      <c r="B83" s="181" t="s">
        <v>681</v>
      </c>
      <c r="C83" s="1057" t="s">
        <v>75</v>
      </c>
      <c r="D83" s="1057" t="s">
        <v>1738</v>
      </c>
      <c r="G83" s="1048" t="s">
        <v>2616</v>
      </c>
      <c r="H83" s="1048" t="s">
        <v>2617</v>
      </c>
    </row>
    <row r="84" spans="1:8" ht="15">
      <c r="A84" s="181" t="s">
        <v>684</v>
      </c>
      <c r="B84" s="181" t="s">
        <v>683</v>
      </c>
      <c r="C84" s="1057" t="s">
        <v>75</v>
      </c>
      <c r="D84" s="1057" t="s">
        <v>1738</v>
      </c>
      <c r="G84" s="1048" t="s">
        <v>2818</v>
      </c>
      <c r="H84" s="1048" t="s">
        <v>2819</v>
      </c>
    </row>
    <row r="85" spans="1:8" ht="15">
      <c r="A85" s="181" t="s">
        <v>686</v>
      </c>
      <c r="B85" s="181" t="s">
        <v>685</v>
      </c>
      <c r="C85" s="1057" t="s">
        <v>75</v>
      </c>
      <c r="D85" s="1057" t="s">
        <v>1738</v>
      </c>
      <c r="G85" s="1048" t="s">
        <v>2173</v>
      </c>
      <c r="H85" s="1048" t="s">
        <v>2134</v>
      </c>
    </row>
    <row r="86" spans="1:8" ht="15">
      <c r="A86" s="180" t="s">
        <v>688</v>
      </c>
      <c r="B86" s="181" t="s">
        <v>687</v>
      </c>
      <c r="C86" s="1057" t="s">
        <v>75</v>
      </c>
      <c r="D86" s="1057"/>
      <c r="G86" s="1048" t="s">
        <v>2772</v>
      </c>
      <c r="H86" s="1048" t="s">
        <v>2773</v>
      </c>
    </row>
    <row r="87" spans="1:8" ht="15">
      <c r="A87" s="180" t="s">
        <v>690</v>
      </c>
      <c r="B87" s="181" t="s">
        <v>689</v>
      </c>
      <c r="C87" s="1057" t="s">
        <v>144</v>
      </c>
      <c r="D87" s="1057"/>
      <c r="G87" s="1048" t="s">
        <v>2746</v>
      </c>
      <c r="H87" s="1048" t="s">
        <v>2747</v>
      </c>
    </row>
    <row r="88" spans="1:8" ht="15">
      <c r="A88" s="180" t="s">
        <v>692</v>
      </c>
      <c r="B88" s="181" t="s">
        <v>691</v>
      </c>
      <c r="C88" s="1057" t="s">
        <v>155</v>
      </c>
      <c r="D88" s="1057"/>
      <c r="G88" s="1048" t="s">
        <v>2228</v>
      </c>
      <c r="H88" s="1048" t="s">
        <v>2229</v>
      </c>
    </row>
    <row r="89" spans="1:8" ht="15">
      <c r="A89" s="180" t="s">
        <v>694</v>
      </c>
      <c r="B89" s="181" t="s">
        <v>693</v>
      </c>
      <c r="C89" s="1057" t="s">
        <v>171</v>
      </c>
      <c r="D89" s="1057"/>
      <c r="G89" s="1048" t="s">
        <v>2009</v>
      </c>
      <c r="H89" s="1048" t="s">
        <v>2010</v>
      </c>
    </row>
    <row r="90" spans="1:8" ht="15">
      <c r="A90" s="180" t="s">
        <v>696</v>
      </c>
      <c r="B90" s="181" t="s">
        <v>695</v>
      </c>
      <c r="C90" s="1057" t="s">
        <v>175</v>
      </c>
      <c r="D90" s="1057"/>
      <c r="G90" s="1048" t="s">
        <v>2049</v>
      </c>
      <c r="H90" s="1048" t="s">
        <v>2050</v>
      </c>
    </row>
    <row r="91" spans="1:8" ht="15">
      <c r="A91" s="180" t="s">
        <v>698</v>
      </c>
      <c r="B91" s="181" t="s">
        <v>697</v>
      </c>
      <c r="C91" s="1057" t="s">
        <v>75</v>
      </c>
      <c r="D91" s="1057"/>
      <c r="G91" s="1048" t="s">
        <v>2132</v>
      </c>
      <c r="H91" s="1048" t="s">
        <v>2133</v>
      </c>
    </row>
    <row r="92" spans="1:8" ht="15">
      <c r="A92" s="180" t="s">
        <v>700</v>
      </c>
      <c r="B92" s="181" t="s">
        <v>699</v>
      </c>
      <c r="C92" s="1057" t="s">
        <v>144</v>
      </c>
      <c r="D92" s="1057"/>
      <c r="G92" s="1048" t="s">
        <v>2419</v>
      </c>
      <c r="H92" s="1048" t="s">
        <v>2420</v>
      </c>
    </row>
    <row r="93" spans="1:8" ht="15">
      <c r="A93" s="180" t="s">
        <v>702</v>
      </c>
      <c r="B93" s="181" t="s">
        <v>701</v>
      </c>
      <c r="C93" s="1057" t="s">
        <v>155</v>
      </c>
      <c r="D93" s="1057"/>
      <c r="G93" s="1048" t="s">
        <v>2146</v>
      </c>
      <c r="H93" s="1048" t="s">
        <v>2147</v>
      </c>
    </row>
    <row r="94" spans="1:8" ht="15">
      <c r="A94" s="180" t="s">
        <v>704</v>
      </c>
      <c r="B94" s="181" t="s">
        <v>703</v>
      </c>
      <c r="C94" s="1057" t="s">
        <v>175</v>
      </c>
      <c r="D94" s="1057"/>
      <c r="G94" s="1048" t="s">
        <v>2231</v>
      </c>
      <c r="H94" s="1048" t="s">
        <v>2232</v>
      </c>
    </row>
    <row r="95" spans="1:8" ht="15">
      <c r="A95" s="180" t="s">
        <v>706</v>
      </c>
      <c r="B95" s="181" t="s">
        <v>705</v>
      </c>
      <c r="C95" s="1057" t="s">
        <v>144</v>
      </c>
      <c r="D95" s="1057"/>
      <c r="G95" s="1048" t="s">
        <v>2710</v>
      </c>
      <c r="H95" s="1048" t="s">
        <v>2162</v>
      </c>
    </row>
    <row r="96" spans="1:8" ht="15">
      <c r="A96" s="180" t="s">
        <v>708</v>
      </c>
      <c r="B96" s="181" t="s">
        <v>707</v>
      </c>
      <c r="C96" s="1057" t="s">
        <v>75</v>
      </c>
      <c r="D96" s="1057" t="s">
        <v>163</v>
      </c>
      <c r="G96" s="1048" t="s">
        <v>2160</v>
      </c>
      <c r="H96" s="1048" t="s">
        <v>2161</v>
      </c>
    </row>
    <row r="97" spans="1:8" ht="15">
      <c r="A97" s="180" t="s">
        <v>710</v>
      </c>
      <c r="B97" s="181" t="s">
        <v>709</v>
      </c>
      <c r="C97" s="1057" t="s">
        <v>75</v>
      </c>
      <c r="D97" s="1057"/>
      <c r="G97" s="1048" t="s">
        <v>2233</v>
      </c>
      <c r="H97" s="1048" t="s">
        <v>2234</v>
      </c>
    </row>
    <row r="98" spans="1:8" ht="15">
      <c r="A98" s="180" t="s">
        <v>712</v>
      </c>
      <c r="B98" s="181" t="s">
        <v>711</v>
      </c>
      <c r="C98" s="1057" t="s">
        <v>144</v>
      </c>
      <c r="D98" s="1057"/>
      <c r="G98" s="1048" t="s">
        <v>2749</v>
      </c>
      <c r="H98" s="1048" t="s">
        <v>2750</v>
      </c>
    </row>
    <row r="99" spans="1:8" ht="15">
      <c r="A99" s="180" t="s">
        <v>714</v>
      </c>
      <c r="B99" s="181" t="s">
        <v>713</v>
      </c>
      <c r="C99" s="1057" t="s">
        <v>75</v>
      </c>
      <c r="D99" s="1057"/>
      <c r="G99" s="1048" t="s">
        <v>2582</v>
      </c>
      <c r="H99" s="1048" t="s">
        <v>2583</v>
      </c>
    </row>
    <row r="100" spans="1:8" ht="15">
      <c r="A100" s="180" t="s">
        <v>716</v>
      </c>
      <c r="B100" s="181" t="s">
        <v>715</v>
      </c>
      <c r="C100" s="1057" t="s">
        <v>144</v>
      </c>
      <c r="D100" s="1057"/>
      <c r="G100" s="1048" t="s">
        <v>536</v>
      </c>
      <c r="H100" s="1048" t="s">
        <v>2185</v>
      </c>
    </row>
    <row r="101" spans="1:8" ht="15">
      <c r="A101" s="180" t="s">
        <v>718</v>
      </c>
      <c r="B101" s="181" t="s">
        <v>717</v>
      </c>
      <c r="C101" s="1057" t="s">
        <v>155</v>
      </c>
      <c r="D101" s="1057"/>
      <c r="G101" s="1048" t="s">
        <v>2235</v>
      </c>
      <c r="H101" s="1048" t="s">
        <v>2236</v>
      </c>
    </row>
    <row r="102" spans="1:8" ht="15">
      <c r="A102" s="180" t="s">
        <v>720</v>
      </c>
      <c r="B102" s="181" t="s">
        <v>719</v>
      </c>
      <c r="C102" s="1057" t="s">
        <v>175</v>
      </c>
      <c r="D102" s="1057"/>
      <c r="G102" s="1048" t="s">
        <v>2237</v>
      </c>
      <c r="H102" s="1048" t="s">
        <v>2238</v>
      </c>
    </row>
    <row r="103" spans="1:8" ht="15">
      <c r="A103" s="180" t="s">
        <v>722</v>
      </c>
      <c r="B103" s="181" t="s">
        <v>721</v>
      </c>
      <c r="C103" s="1057" t="s">
        <v>75</v>
      </c>
      <c r="D103" s="1057"/>
      <c r="G103" s="1048" t="s">
        <v>2193</v>
      </c>
      <c r="H103" s="1048" t="s">
        <v>2194</v>
      </c>
    </row>
    <row r="104" spans="1:8" ht="15">
      <c r="A104" s="180" t="s">
        <v>724</v>
      </c>
      <c r="B104" s="181" t="s">
        <v>723</v>
      </c>
      <c r="C104" s="1057" t="s">
        <v>144</v>
      </c>
      <c r="D104" s="1057"/>
      <c r="G104" s="1048" t="s">
        <v>2239</v>
      </c>
      <c r="H104" s="1048" t="s">
        <v>2240</v>
      </c>
    </row>
    <row r="105" spans="1:8" ht="15">
      <c r="A105" s="180" t="s">
        <v>726</v>
      </c>
      <c r="B105" s="181" t="s">
        <v>725</v>
      </c>
      <c r="C105" s="1057" t="s">
        <v>155</v>
      </c>
      <c r="D105" s="1057"/>
      <c r="G105" s="1048" t="s">
        <v>2242</v>
      </c>
      <c r="H105" s="1048" t="s">
        <v>2243</v>
      </c>
    </row>
    <row r="106" spans="1:8" ht="15">
      <c r="A106" s="180" t="s">
        <v>728</v>
      </c>
      <c r="B106" s="181" t="s">
        <v>727</v>
      </c>
      <c r="C106" s="1057" t="s">
        <v>155</v>
      </c>
      <c r="D106" s="1057" t="s">
        <v>163</v>
      </c>
      <c r="G106" s="1048" t="s">
        <v>2244</v>
      </c>
      <c r="H106" s="1048" t="s">
        <v>2245</v>
      </c>
    </row>
    <row r="107" spans="1:8" ht="15">
      <c r="A107" s="180" t="s">
        <v>730</v>
      </c>
      <c r="B107" s="181" t="s">
        <v>729</v>
      </c>
      <c r="C107" s="1057" t="s">
        <v>155</v>
      </c>
      <c r="D107" s="1057"/>
      <c r="G107" s="1048" t="s">
        <v>2246</v>
      </c>
      <c r="H107" s="1048" t="s">
        <v>2247</v>
      </c>
    </row>
    <row r="108" spans="1:8" ht="15">
      <c r="A108" s="180" t="s">
        <v>732</v>
      </c>
      <c r="B108" s="181" t="s">
        <v>731</v>
      </c>
      <c r="C108" s="1057" t="s">
        <v>75</v>
      </c>
      <c r="D108" s="1057"/>
      <c r="G108" s="1048" t="s">
        <v>2600</v>
      </c>
      <c r="H108" s="1048" t="s">
        <v>2601</v>
      </c>
    </row>
    <row r="109" spans="1:8" ht="15">
      <c r="A109" s="180" t="s">
        <v>734</v>
      </c>
      <c r="B109" s="181" t="s">
        <v>733</v>
      </c>
      <c r="C109" s="1057" t="s">
        <v>144</v>
      </c>
      <c r="D109" s="1057"/>
      <c r="G109" s="1048" t="s">
        <v>2058</v>
      </c>
      <c r="H109" s="1048" t="s">
        <v>2059</v>
      </c>
    </row>
    <row r="110" spans="1:8" ht="15">
      <c r="A110" s="180" t="s">
        <v>736</v>
      </c>
      <c r="B110" s="181" t="s">
        <v>735</v>
      </c>
      <c r="C110" s="1057" t="s">
        <v>155</v>
      </c>
      <c r="D110" s="1057"/>
      <c r="G110" s="1048" t="s">
        <v>2098</v>
      </c>
      <c r="H110" s="1048" t="s">
        <v>2099</v>
      </c>
    </row>
    <row r="111" spans="1:8" ht="15">
      <c r="A111" s="180" t="s">
        <v>738</v>
      </c>
      <c r="B111" s="181" t="s">
        <v>737</v>
      </c>
      <c r="C111" s="1057" t="s">
        <v>171</v>
      </c>
      <c r="D111" s="1057"/>
      <c r="G111" s="1048" t="s">
        <v>2421</v>
      </c>
      <c r="H111" s="1048" t="s">
        <v>2422</v>
      </c>
    </row>
    <row r="112" spans="1:8" ht="15">
      <c r="A112" s="180" t="s">
        <v>740</v>
      </c>
      <c r="B112" s="181" t="s">
        <v>739</v>
      </c>
      <c r="C112" s="1057" t="s">
        <v>175</v>
      </c>
      <c r="D112" s="1057"/>
      <c r="G112" s="1048" t="s">
        <v>2094</v>
      </c>
      <c r="H112" s="1048" t="s">
        <v>2095</v>
      </c>
    </row>
    <row r="113" spans="1:8" ht="15">
      <c r="A113" s="180" t="s">
        <v>742</v>
      </c>
      <c r="B113" s="181" t="s">
        <v>741</v>
      </c>
      <c r="C113" s="1057" t="s">
        <v>1646</v>
      </c>
      <c r="D113" s="1057" t="s">
        <v>113</v>
      </c>
      <c r="G113" s="1048" t="s">
        <v>2188</v>
      </c>
      <c r="H113" s="1048" t="s">
        <v>2189</v>
      </c>
    </row>
    <row r="114" spans="1:8" ht="15">
      <c r="A114" s="180" t="s">
        <v>744</v>
      </c>
      <c r="B114" s="181" t="s">
        <v>743</v>
      </c>
      <c r="C114" s="1057" t="s">
        <v>1646</v>
      </c>
      <c r="D114" s="1057" t="s">
        <v>113</v>
      </c>
      <c r="G114" s="1048" t="s">
        <v>2248</v>
      </c>
      <c r="H114" s="1048" t="s">
        <v>2249</v>
      </c>
    </row>
    <row r="115" spans="1:8" ht="15">
      <c r="A115" s="180" t="s">
        <v>746</v>
      </c>
      <c r="B115" s="181" t="s">
        <v>745</v>
      </c>
      <c r="C115" s="1057" t="s">
        <v>155</v>
      </c>
      <c r="D115" s="1057" t="s">
        <v>113</v>
      </c>
      <c r="G115" s="1048" t="s">
        <v>2250</v>
      </c>
      <c r="H115" s="1048" t="s">
        <v>2251</v>
      </c>
    </row>
    <row r="116" spans="1:8" ht="15">
      <c r="A116" s="180" t="s">
        <v>748</v>
      </c>
      <c r="B116" s="181" t="s">
        <v>747</v>
      </c>
      <c r="C116" s="1057" t="s">
        <v>171</v>
      </c>
      <c r="D116" s="1057" t="s">
        <v>113</v>
      </c>
      <c r="G116" s="1048" t="s">
        <v>2252</v>
      </c>
      <c r="H116" s="1048" t="s">
        <v>2253</v>
      </c>
    </row>
    <row r="117" spans="1:8" ht="15">
      <c r="A117" s="180" t="s">
        <v>750</v>
      </c>
      <c r="B117" s="181" t="s">
        <v>749</v>
      </c>
      <c r="C117" s="1057" t="s">
        <v>175</v>
      </c>
      <c r="D117" s="1057" t="s">
        <v>113</v>
      </c>
      <c r="G117" s="1048" t="s">
        <v>2254</v>
      </c>
      <c r="H117" s="1048" t="s">
        <v>2255</v>
      </c>
    </row>
    <row r="118" spans="1:8" ht="15">
      <c r="A118" s="180" t="s">
        <v>752</v>
      </c>
      <c r="B118" s="181" t="s">
        <v>751</v>
      </c>
      <c r="C118" s="1057" t="s">
        <v>175</v>
      </c>
      <c r="D118" s="1057"/>
      <c r="G118" s="1048" t="s">
        <v>2689</v>
      </c>
      <c r="H118" s="1048" t="s">
        <v>2690</v>
      </c>
    </row>
    <row r="119" spans="1:8" ht="15">
      <c r="A119" s="180" t="s">
        <v>520</v>
      </c>
      <c r="B119" s="181" t="s">
        <v>1567</v>
      </c>
      <c r="C119" s="1057" t="s">
        <v>1642</v>
      </c>
      <c r="D119" s="1057" t="s">
        <v>8</v>
      </c>
      <c r="G119" s="1048" t="s">
        <v>827</v>
      </c>
      <c r="H119" s="1048" t="s">
        <v>2190</v>
      </c>
    </row>
    <row r="120" spans="1:8" ht="15">
      <c r="A120" s="180" t="s">
        <v>1144</v>
      </c>
      <c r="B120" s="181" t="s">
        <v>1143</v>
      </c>
      <c r="C120" s="1057" t="s">
        <v>1642</v>
      </c>
      <c r="D120" s="1057" t="s">
        <v>8</v>
      </c>
      <c r="G120" s="1048" t="s">
        <v>2210</v>
      </c>
      <c r="H120" s="1048" t="s">
        <v>2211</v>
      </c>
    </row>
    <row r="121" spans="1:8" ht="15">
      <c r="A121" s="180" t="s">
        <v>519</v>
      </c>
      <c r="B121" s="181" t="s">
        <v>518</v>
      </c>
      <c r="C121" s="1057" t="s">
        <v>1642</v>
      </c>
      <c r="D121" s="1057" t="s">
        <v>1924</v>
      </c>
      <c r="G121" s="1048" t="s">
        <v>2256</v>
      </c>
      <c r="H121" s="1048" t="s">
        <v>2257</v>
      </c>
    </row>
    <row r="122" spans="1:8" ht="15">
      <c r="A122" s="180" t="s">
        <v>786</v>
      </c>
      <c r="B122" s="181" t="s">
        <v>785</v>
      </c>
      <c r="C122" s="1057" t="s">
        <v>1642</v>
      </c>
      <c r="D122" s="1057" t="s">
        <v>8</v>
      </c>
      <c r="G122" s="1048" t="s">
        <v>2423</v>
      </c>
      <c r="H122" s="1048" t="s">
        <v>2424</v>
      </c>
    </row>
    <row r="123" spans="1:8" ht="15">
      <c r="A123" s="180" t="s">
        <v>788</v>
      </c>
      <c r="B123" s="181" t="s">
        <v>787</v>
      </c>
      <c r="C123" s="1057" t="s">
        <v>1642</v>
      </c>
      <c r="D123" s="1057" t="s">
        <v>8</v>
      </c>
      <c r="G123" s="1048" t="s">
        <v>2425</v>
      </c>
      <c r="H123" s="1048" t="s">
        <v>2426</v>
      </c>
    </row>
    <row r="124" spans="1:8" ht="15">
      <c r="A124" s="180" t="s">
        <v>1142</v>
      </c>
      <c r="B124" s="181" t="s">
        <v>1141</v>
      </c>
      <c r="C124" s="1057" t="s">
        <v>1642</v>
      </c>
      <c r="D124" s="1057" t="s">
        <v>8</v>
      </c>
      <c r="G124" s="1048" t="s">
        <v>2427</v>
      </c>
      <c r="H124" s="1048" t="s">
        <v>2428</v>
      </c>
    </row>
    <row r="125" spans="1:8" ht="15">
      <c r="A125" s="180" t="s">
        <v>526</v>
      </c>
      <c r="B125" s="181" t="s">
        <v>525</v>
      </c>
      <c r="C125" s="1057" t="s">
        <v>1642</v>
      </c>
      <c r="D125" s="1057" t="s">
        <v>8</v>
      </c>
      <c r="G125" s="1048" t="s">
        <v>2258</v>
      </c>
      <c r="H125" s="1048" t="s">
        <v>2259</v>
      </c>
    </row>
    <row r="126" spans="1:8" ht="15">
      <c r="A126" s="180" t="s">
        <v>292</v>
      </c>
      <c r="B126" s="181" t="s">
        <v>291</v>
      </c>
      <c r="C126" s="1057" t="s">
        <v>1642</v>
      </c>
      <c r="D126" s="1057" t="s">
        <v>12</v>
      </c>
      <c r="G126" s="1048" t="s">
        <v>2260</v>
      </c>
      <c r="H126" s="1048" t="s">
        <v>2261</v>
      </c>
    </row>
    <row r="127" spans="1:8" ht="15">
      <c r="A127" s="180" t="s">
        <v>411</v>
      </c>
      <c r="B127" s="181" t="s">
        <v>1549</v>
      </c>
      <c r="C127" s="1057" t="s">
        <v>1642</v>
      </c>
      <c r="D127" s="1057" t="s">
        <v>13</v>
      </c>
      <c r="G127" s="1048" t="s">
        <v>2262</v>
      </c>
      <c r="H127" s="1048" t="s">
        <v>2263</v>
      </c>
    </row>
    <row r="128" spans="1:8" ht="15">
      <c r="A128" s="180" t="s">
        <v>410</v>
      </c>
      <c r="B128" s="181" t="s">
        <v>409</v>
      </c>
      <c r="C128" s="1057" t="s">
        <v>1642</v>
      </c>
      <c r="D128" s="1057" t="s">
        <v>13</v>
      </c>
      <c r="G128" s="1048" t="s">
        <v>2264</v>
      </c>
      <c r="H128" s="1048" t="s">
        <v>2265</v>
      </c>
    </row>
    <row r="129" spans="1:8" ht="15">
      <c r="A129" s="180" t="s">
        <v>393</v>
      </c>
      <c r="B129" s="181" t="s">
        <v>1418</v>
      </c>
      <c r="C129" s="1057" t="s">
        <v>1642</v>
      </c>
      <c r="D129" s="1057" t="s">
        <v>17</v>
      </c>
      <c r="G129" s="1048" t="s">
        <v>2267</v>
      </c>
      <c r="H129" s="1048" t="s">
        <v>2268</v>
      </c>
    </row>
    <row r="130" spans="1:8" ht="15">
      <c r="A130" s="180" t="s">
        <v>392</v>
      </c>
      <c r="B130" s="181" t="s">
        <v>391</v>
      </c>
      <c r="C130" s="1057" t="s">
        <v>1642</v>
      </c>
      <c r="D130" s="1057" t="s">
        <v>21</v>
      </c>
      <c r="G130" s="1048" t="s">
        <v>2269</v>
      </c>
      <c r="H130" s="1048" t="s">
        <v>2270</v>
      </c>
    </row>
    <row r="131" spans="1:8" ht="15">
      <c r="A131" s="180" t="s">
        <v>1522</v>
      </c>
      <c r="B131" s="181" t="s">
        <v>1558</v>
      </c>
      <c r="C131" s="1057" t="s">
        <v>1642</v>
      </c>
      <c r="D131" s="1057" t="s">
        <v>15</v>
      </c>
      <c r="G131" s="1048" t="s">
        <v>2271</v>
      </c>
      <c r="H131" s="1048" t="s">
        <v>2272</v>
      </c>
    </row>
    <row r="132" spans="1:8" ht="15">
      <c r="A132" s="180" t="s">
        <v>355</v>
      </c>
      <c r="B132" s="181" t="s">
        <v>354</v>
      </c>
      <c r="C132" s="1057" t="s">
        <v>1642</v>
      </c>
      <c r="D132" s="1057" t="s">
        <v>19</v>
      </c>
      <c r="G132" s="1048" t="s">
        <v>2429</v>
      </c>
      <c r="H132" s="1048" t="s">
        <v>2430</v>
      </c>
    </row>
    <row r="133" spans="1:8" ht="15">
      <c r="A133" s="180" t="s">
        <v>1424</v>
      </c>
      <c r="B133" s="181" t="s">
        <v>1423</v>
      </c>
      <c r="C133" s="1057" t="s">
        <v>1642</v>
      </c>
      <c r="D133" s="1057" t="s">
        <v>1931</v>
      </c>
      <c r="G133" s="1048" t="s">
        <v>2273</v>
      </c>
      <c r="H133" s="1048" t="s">
        <v>2274</v>
      </c>
    </row>
    <row r="134" spans="1:8" ht="15">
      <c r="A134" s="181" t="s">
        <v>1417</v>
      </c>
      <c r="B134" s="181" t="s">
        <v>1416</v>
      </c>
      <c r="C134" s="1057" t="s">
        <v>1642</v>
      </c>
      <c r="D134" s="1057" t="s">
        <v>1931</v>
      </c>
      <c r="G134" s="1048" t="s">
        <v>2276</v>
      </c>
      <c r="H134" s="1048" t="s">
        <v>2277</v>
      </c>
    </row>
    <row r="135" spans="1:8" ht="15">
      <c r="A135" s="180" t="s">
        <v>1176</v>
      </c>
      <c r="B135" s="181" t="s">
        <v>1175</v>
      </c>
      <c r="C135" s="1057" t="s">
        <v>1642</v>
      </c>
      <c r="D135" s="1057" t="s">
        <v>40</v>
      </c>
      <c r="G135" s="1048" t="s">
        <v>2279</v>
      </c>
      <c r="H135" s="1048" t="s">
        <v>2280</v>
      </c>
    </row>
    <row r="136" spans="1:8" ht="15">
      <c r="A136" s="180" t="s">
        <v>1521</v>
      </c>
      <c r="B136" s="181" t="s">
        <v>1520</v>
      </c>
      <c r="C136" s="1057" t="s">
        <v>1642</v>
      </c>
      <c r="D136" s="1057" t="s">
        <v>15</v>
      </c>
      <c r="G136" s="1048" t="s">
        <v>2281</v>
      </c>
      <c r="H136" s="1048" t="s">
        <v>2282</v>
      </c>
    </row>
    <row r="137" spans="1:8" ht="15">
      <c r="A137" s="180" t="s">
        <v>1200</v>
      </c>
      <c r="B137" s="181" t="s">
        <v>1199</v>
      </c>
      <c r="C137" s="1057" t="s">
        <v>1642</v>
      </c>
      <c r="D137" s="1057" t="s">
        <v>1931</v>
      </c>
      <c r="G137" s="1048" t="s">
        <v>2212</v>
      </c>
      <c r="H137" s="1048" t="s">
        <v>2213</v>
      </c>
    </row>
    <row r="138" spans="1:8" ht="15">
      <c r="A138" s="180" t="s">
        <v>790</v>
      </c>
      <c r="B138" s="181" t="s">
        <v>789</v>
      </c>
      <c r="C138" s="1057" t="s">
        <v>1642</v>
      </c>
      <c r="D138" s="1057" t="s">
        <v>25</v>
      </c>
      <c r="G138" s="1048" t="s">
        <v>2283</v>
      </c>
      <c r="H138" s="1048" t="s">
        <v>2284</v>
      </c>
    </row>
    <row r="139" spans="1:8" ht="15">
      <c r="A139" s="180" t="s">
        <v>527</v>
      </c>
      <c r="B139" s="181" t="s">
        <v>791</v>
      </c>
      <c r="C139" s="1057" t="s">
        <v>1642</v>
      </c>
      <c r="D139" s="1057" t="s">
        <v>1931</v>
      </c>
      <c r="G139" s="1048" t="s">
        <v>2285</v>
      </c>
      <c r="H139" s="1048" t="s">
        <v>2286</v>
      </c>
    </row>
    <row r="140" spans="1:8" ht="15">
      <c r="A140" s="180" t="s">
        <v>347</v>
      </c>
      <c r="B140" s="181" t="s">
        <v>1574</v>
      </c>
      <c r="C140" s="1057" t="s">
        <v>1642</v>
      </c>
      <c r="D140" s="1057" t="s">
        <v>29</v>
      </c>
      <c r="G140" s="1048" t="s">
        <v>2287</v>
      </c>
      <c r="H140" s="1048" t="s">
        <v>2288</v>
      </c>
    </row>
    <row r="141" spans="1:8" ht="15">
      <c r="A141" s="180" t="s">
        <v>956</v>
      </c>
      <c r="B141" s="181" t="s">
        <v>955</v>
      </c>
      <c r="C141" s="1057" t="s">
        <v>1642</v>
      </c>
      <c r="D141" s="1057">
        <v>0</v>
      </c>
      <c r="G141" s="1048" t="s">
        <v>2289</v>
      </c>
      <c r="H141" s="1048" t="s">
        <v>2290</v>
      </c>
    </row>
    <row r="142" spans="1:8" ht="15">
      <c r="A142" s="180" t="s">
        <v>458</v>
      </c>
      <c r="B142" s="181" t="s">
        <v>457</v>
      </c>
      <c r="C142" s="1057" t="s">
        <v>1642</v>
      </c>
      <c r="D142" s="1057" t="s">
        <v>29</v>
      </c>
      <c r="G142" s="1048" t="s">
        <v>2291</v>
      </c>
      <c r="H142" s="1048" t="s">
        <v>2292</v>
      </c>
    </row>
    <row r="143" spans="1:8" ht="15">
      <c r="A143" s="180" t="s">
        <v>442</v>
      </c>
      <c r="B143" s="181" t="s">
        <v>441</v>
      </c>
      <c r="C143" s="1057" t="s">
        <v>1642</v>
      </c>
      <c r="D143" s="1057" t="s">
        <v>31</v>
      </c>
      <c r="G143" s="1048" t="s">
        <v>2293</v>
      </c>
      <c r="H143" s="1048" t="s">
        <v>2294</v>
      </c>
    </row>
    <row r="144" spans="1:8" ht="15">
      <c r="A144" s="180" t="s">
        <v>307</v>
      </c>
      <c r="B144" s="181" t="s">
        <v>306</v>
      </c>
      <c r="C144" s="1057" t="s">
        <v>1642</v>
      </c>
      <c r="D144" s="1057" t="s">
        <v>31</v>
      </c>
      <c r="G144" s="1048" t="s">
        <v>2295</v>
      </c>
      <c r="H144" s="1048" t="s">
        <v>2296</v>
      </c>
    </row>
    <row r="145" spans="1:8" ht="15">
      <c r="A145" s="180" t="s">
        <v>958</v>
      </c>
      <c r="B145" s="181" t="s">
        <v>957</v>
      </c>
      <c r="C145" s="1057" t="s">
        <v>1642</v>
      </c>
      <c r="D145" s="1057" t="s">
        <v>147</v>
      </c>
      <c r="G145" s="1048" t="s">
        <v>2297</v>
      </c>
      <c r="H145" s="1048" t="s">
        <v>2298</v>
      </c>
    </row>
    <row r="146" spans="1:8" ht="15">
      <c r="A146" s="180" t="s">
        <v>346</v>
      </c>
      <c r="B146" s="181" t="s">
        <v>345</v>
      </c>
      <c r="C146" s="1057" t="s">
        <v>1642</v>
      </c>
      <c r="D146" s="1057" t="s">
        <v>29</v>
      </c>
      <c r="G146" s="1048" t="s">
        <v>2299</v>
      </c>
      <c r="H146" s="1048" t="s">
        <v>2300</v>
      </c>
    </row>
    <row r="147" spans="1:8" ht="15">
      <c r="A147" s="180" t="s">
        <v>960</v>
      </c>
      <c r="B147" s="181" t="s">
        <v>959</v>
      </c>
      <c r="C147" s="1057" t="s">
        <v>1642</v>
      </c>
      <c r="D147" s="1057">
        <v>0</v>
      </c>
      <c r="G147" s="1048" t="s">
        <v>2301</v>
      </c>
      <c r="H147" s="1048" t="s">
        <v>2302</v>
      </c>
    </row>
    <row r="148" spans="1:8" ht="15">
      <c r="A148" s="180" t="s">
        <v>1576</v>
      </c>
      <c r="B148" s="181" t="s">
        <v>1575</v>
      </c>
      <c r="C148" s="1057" t="s">
        <v>1642</v>
      </c>
      <c r="D148" s="1057" t="s">
        <v>29</v>
      </c>
      <c r="G148" s="1048" t="s">
        <v>2025</v>
      </c>
      <c r="H148" s="1048" t="s">
        <v>2026</v>
      </c>
    </row>
    <row r="149" spans="1:8" ht="15">
      <c r="A149" s="180" t="s">
        <v>962</v>
      </c>
      <c r="B149" s="181" t="s">
        <v>961</v>
      </c>
      <c r="C149" s="1057" t="s">
        <v>1642</v>
      </c>
      <c r="D149" s="1057">
        <v>0</v>
      </c>
      <c r="G149" s="1048" t="s">
        <v>2482</v>
      </c>
      <c r="H149" s="1048" t="s">
        <v>2483</v>
      </c>
    </row>
    <row r="150" spans="1:8" ht="15">
      <c r="A150" s="180" t="s">
        <v>405</v>
      </c>
      <c r="B150" s="181" t="s">
        <v>404</v>
      </c>
      <c r="C150" s="1057" t="s">
        <v>1642</v>
      </c>
      <c r="D150" s="1057" t="s">
        <v>33</v>
      </c>
      <c r="G150" s="1048" t="s">
        <v>2431</v>
      </c>
      <c r="H150" s="1048" t="s">
        <v>2432</v>
      </c>
    </row>
    <row r="151" spans="1:8" ht="15">
      <c r="A151" s="180" t="s">
        <v>1500</v>
      </c>
      <c r="B151" s="181" t="s">
        <v>1499</v>
      </c>
      <c r="C151" s="1057" t="s">
        <v>1642</v>
      </c>
      <c r="D151" s="1057" t="s">
        <v>33</v>
      </c>
      <c r="G151" s="1048" t="s">
        <v>2484</v>
      </c>
      <c r="H151" s="1048" t="s">
        <v>2485</v>
      </c>
    </row>
    <row r="152" spans="1:8" ht="15">
      <c r="A152" s="180" t="s">
        <v>793</v>
      </c>
      <c r="B152" s="181" t="s">
        <v>792</v>
      </c>
      <c r="C152" s="1057" t="s">
        <v>1642</v>
      </c>
      <c r="D152" s="1057" t="s">
        <v>33</v>
      </c>
      <c r="G152" s="1048" t="s">
        <v>2433</v>
      </c>
      <c r="H152" s="1048" t="s">
        <v>2434</v>
      </c>
    </row>
    <row r="153" spans="1:8" ht="15">
      <c r="A153" s="180" t="s">
        <v>1441</v>
      </c>
      <c r="B153" s="181" t="s">
        <v>1440</v>
      </c>
      <c r="C153" s="1057" t="s">
        <v>1642</v>
      </c>
      <c r="D153" s="1057" t="s">
        <v>39</v>
      </c>
      <c r="G153" s="1048" t="s">
        <v>2486</v>
      </c>
      <c r="H153" s="1048" t="s">
        <v>2487</v>
      </c>
    </row>
    <row r="154" spans="1:8" ht="15">
      <c r="A154" s="180" t="s">
        <v>1475</v>
      </c>
      <c r="B154" s="181" t="s">
        <v>1474</v>
      </c>
      <c r="C154" s="1057" t="s">
        <v>1642</v>
      </c>
      <c r="D154" s="1057" t="s">
        <v>41</v>
      </c>
      <c r="G154" s="1048" t="s">
        <v>2018</v>
      </c>
      <c r="H154" s="1048" t="s">
        <v>2019</v>
      </c>
    </row>
    <row r="155" spans="1:8" ht="15">
      <c r="A155" s="180" t="s">
        <v>505</v>
      </c>
      <c r="B155" s="181" t="s">
        <v>504</v>
      </c>
      <c r="C155" s="1057" t="s">
        <v>1642</v>
      </c>
      <c r="D155" s="1057" t="s">
        <v>33</v>
      </c>
      <c r="G155" s="1048" t="s">
        <v>2488</v>
      </c>
      <c r="H155" s="1048" t="s">
        <v>2489</v>
      </c>
    </row>
    <row r="156" spans="1:8" ht="15">
      <c r="A156" s="180" t="s">
        <v>1439</v>
      </c>
      <c r="B156" s="181" t="s">
        <v>1438</v>
      </c>
      <c r="C156" s="1057" t="s">
        <v>1642</v>
      </c>
      <c r="D156" s="1057" t="s">
        <v>33</v>
      </c>
      <c r="G156" s="1048" t="s">
        <v>2435</v>
      </c>
      <c r="H156" s="1048" t="s">
        <v>2436</v>
      </c>
    </row>
    <row r="157" spans="1:8" ht="15">
      <c r="A157" s="180" t="s">
        <v>1433</v>
      </c>
      <c r="B157" s="181" t="s">
        <v>1432</v>
      </c>
      <c r="C157" s="1057" t="s">
        <v>1642</v>
      </c>
      <c r="D157" s="1057" t="s">
        <v>43</v>
      </c>
      <c r="G157" s="1048" t="s">
        <v>2490</v>
      </c>
      <c r="H157" s="1048" t="s">
        <v>2491</v>
      </c>
    </row>
    <row r="158" spans="1:8" ht="15">
      <c r="A158" s="180" t="s">
        <v>493</v>
      </c>
      <c r="B158" s="181" t="s">
        <v>492</v>
      </c>
      <c r="C158" s="1057" t="s">
        <v>1642</v>
      </c>
      <c r="D158" s="1057" t="s">
        <v>43</v>
      </c>
      <c r="G158" s="1048" t="s">
        <v>2303</v>
      </c>
      <c r="H158" s="1048" t="s">
        <v>342</v>
      </c>
    </row>
    <row r="159" spans="1:8" ht="15">
      <c r="A159" s="180" t="s">
        <v>1429</v>
      </c>
      <c r="B159" s="181" t="s">
        <v>1428</v>
      </c>
      <c r="C159" s="1057" t="s">
        <v>1642</v>
      </c>
      <c r="D159" s="1057" t="s">
        <v>43</v>
      </c>
      <c r="G159" s="1048" t="s">
        <v>2013</v>
      </c>
      <c r="H159" s="1048" t="s">
        <v>2014</v>
      </c>
    </row>
    <row r="160" spans="1:8" ht="15">
      <c r="A160" s="180" t="s">
        <v>495</v>
      </c>
      <c r="B160" s="181" t="s">
        <v>494</v>
      </c>
      <c r="C160" s="1057" t="s">
        <v>1642</v>
      </c>
      <c r="D160" s="1057" t="s">
        <v>43</v>
      </c>
      <c r="G160" s="1048" t="s">
        <v>2492</v>
      </c>
      <c r="H160" s="1048" t="s">
        <v>2493</v>
      </c>
    </row>
    <row r="161" spans="1:8" ht="15">
      <c r="A161" s="180" t="s">
        <v>469</v>
      </c>
      <c r="B161" s="181" t="s">
        <v>468</v>
      </c>
      <c r="C161" s="1057" t="s">
        <v>1642</v>
      </c>
      <c r="D161" s="1057" t="s">
        <v>43</v>
      </c>
      <c r="G161" s="1048" t="s">
        <v>2437</v>
      </c>
      <c r="H161" s="1048" t="s">
        <v>2438</v>
      </c>
    </row>
    <row r="162" spans="1:8" ht="15">
      <c r="A162" s="180" t="s">
        <v>463</v>
      </c>
      <c r="B162" s="181" t="s">
        <v>462</v>
      </c>
      <c r="C162" s="1057" t="s">
        <v>1642</v>
      </c>
      <c r="D162" s="1057" t="s">
        <v>40</v>
      </c>
      <c r="G162" s="1048" t="s">
        <v>2494</v>
      </c>
      <c r="H162" s="1048" t="s">
        <v>2495</v>
      </c>
    </row>
    <row r="163" spans="1:8" ht="15">
      <c r="A163" s="180" t="s">
        <v>539</v>
      </c>
      <c r="B163" s="181" t="s">
        <v>538</v>
      </c>
      <c r="C163" s="1057" t="s">
        <v>1642</v>
      </c>
      <c r="D163" s="1057" t="s">
        <v>43</v>
      </c>
      <c r="G163" s="1048" t="s">
        <v>2439</v>
      </c>
      <c r="H163" s="1048" t="s">
        <v>2440</v>
      </c>
    </row>
    <row r="164" spans="1:8" ht="15">
      <c r="A164" s="180" t="s">
        <v>541</v>
      </c>
      <c r="B164" s="181" t="s">
        <v>540</v>
      </c>
      <c r="C164" s="1057" t="s">
        <v>1642</v>
      </c>
      <c r="D164" s="1057" t="s">
        <v>43</v>
      </c>
      <c r="G164" s="1048" t="s">
        <v>2496</v>
      </c>
      <c r="H164" s="1048" t="s">
        <v>2497</v>
      </c>
    </row>
    <row r="165" spans="1:8" ht="15">
      <c r="A165" s="181" t="s">
        <v>1370</v>
      </c>
      <c r="B165" s="181" t="s">
        <v>1369</v>
      </c>
      <c r="C165" s="1057" t="s">
        <v>1642</v>
      </c>
      <c r="D165" s="1057" t="s">
        <v>43</v>
      </c>
      <c r="G165" s="1048" t="s">
        <v>2002</v>
      </c>
      <c r="H165" s="1048" t="s">
        <v>2003</v>
      </c>
    </row>
    <row r="166" spans="1:8" ht="15">
      <c r="A166" s="180" t="s">
        <v>449</v>
      </c>
      <c r="B166" s="181" t="s">
        <v>448</v>
      </c>
      <c r="C166" s="1057" t="s">
        <v>1642</v>
      </c>
      <c r="D166" s="1057" t="s">
        <v>43</v>
      </c>
      <c r="G166" s="1048" t="s">
        <v>2498</v>
      </c>
      <c r="H166" s="1048" t="s">
        <v>2499</v>
      </c>
    </row>
    <row r="167" spans="1:8" ht="15">
      <c r="A167" s="180" t="s">
        <v>1161</v>
      </c>
      <c r="B167" s="181" t="s">
        <v>1160</v>
      </c>
      <c r="C167" s="1057" t="s">
        <v>1642</v>
      </c>
      <c r="D167" s="1057" t="s">
        <v>43</v>
      </c>
      <c r="G167" s="1048" t="s">
        <v>2030</v>
      </c>
      <c r="H167" s="1048" t="s">
        <v>2031</v>
      </c>
    </row>
    <row r="168" spans="1:8" ht="15">
      <c r="A168" s="180" t="s">
        <v>428</v>
      </c>
      <c r="B168" s="181" t="s">
        <v>427</v>
      </c>
      <c r="C168" s="1057" t="s">
        <v>1642</v>
      </c>
      <c r="D168" s="1057" t="s">
        <v>43</v>
      </c>
      <c r="G168" s="1048" t="s">
        <v>2500</v>
      </c>
      <c r="H168" s="1048" t="s">
        <v>2501</v>
      </c>
    </row>
    <row r="169" spans="1:8" ht="15">
      <c r="A169" s="180" t="s">
        <v>485</v>
      </c>
      <c r="B169" s="181" t="s">
        <v>484</v>
      </c>
      <c r="C169" s="1057" t="s">
        <v>1642</v>
      </c>
      <c r="D169" s="1057" t="s">
        <v>40</v>
      </c>
      <c r="G169" s="1048" t="s">
        <v>1998</v>
      </c>
      <c r="H169" s="1048" t="s">
        <v>1999</v>
      </c>
    </row>
    <row r="170" spans="1:8" ht="15">
      <c r="A170" s="181" t="s">
        <v>1299</v>
      </c>
      <c r="B170" s="181" t="s">
        <v>1298</v>
      </c>
      <c r="C170" s="1057" t="s">
        <v>1642</v>
      </c>
      <c r="D170" s="1057" t="s">
        <v>40</v>
      </c>
      <c r="G170" s="1048" t="s">
        <v>2502</v>
      </c>
      <c r="H170" s="1048" t="s">
        <v>2503</v>
      </c>
    </row>
    <row r="171" spans="1:8" ht="15">
      <c r="A171" s="180" t="s">
        <v>477</v>
      </c>
      <c r="B171" s="181" t="s">
        <v>476</v>
      </c>
      <c r="C171" s="1057" t="s">
        <v>1642</v>
      </c>
      <c r="D171" s="1057" t="s">
        <v>43</v>
      </c>
      <c r="G171" s="1048" t="s">
        <v>2028</v>
      </c>
      <c r="H171" s="1048" t="s">
        <v>2029</v>
      </c>
    </row>
    <row r="172" spans="1:8" ht="15">
      <c r="A172" s="180" t="s">
        <v>1479</v>
      </c>
      <c r="B172" s="181" t="s">
        <v>1478</v>
      </c>
      <c r="C172" s="1057" t="s">
        <v>1642</v>
      </c>
      <c r="D172" s="1057" t="s">
        <v>43</v>
      </c>
      <c r="G172" s="1048" t="s">
        <v>2504</v>
      </c>
      <c r="H172" s="1048" t="s">
        <v>2505</v>
      </c>
    </row>
    <row r="173" spans="1:8" ht="15">
      <c r="A173" s="180" t="s">
        <v>487</v>
      </c>
      <c r="B173" s="181" t="s">
        <v>486</v>
      </c>
      <c r="C173" s="1057" t="s">
        <v>1642</v>
      </c>
      <c r="D173" s="1057" t="s">
        <v>43</v>
      </c>
      <c r="G173" s="1048" t="s">
        <v>2441</v>
      </c>
      <c r="H173" s="1048" t="s">
        <v>2442</v>
      </c>
    </row>
    <row r="174" spans="1:8" ht="15">
      <c r="A174" s="180" t="s">
        <v>319</v>
      </c>
      <c r="B174" s="181" t="s">
        <v>318</v>
      </c>
      <c r="C174" s="1057" t="s">
        <v>1642</v>
      </c>
      <c r="D174" s="1057" t="s">
        <v>43</v>
      </c>
      <c r="G174" s="1048" t="s">
        <v>2507</v>
      </c>
      <c r="H174" s="1048" t="s">
        <v>2508</v>
      </c>
    </row>
    <row r="175" spans="1:8" ht="15">
      <c r="A175" s="180" t="s">
        <v>479</v>
      </c>
      <c r="B175" s="181" t="s">
        <v>478</v>
      </c>
      <c r="C175" s="1057" t="s">
        <v>1642</v>
      </c>
      <c r="D175" s="1057" t="s">
        <v>43</v>
      </c>
      <c r="G175" s="1048" t="s">
        <v>2004</v>
      </c>
      <c r="H175" s="1048" t="s">
        <v>2005</v>
      </c>
    </row>
    <row r="176" spans="1:8" ht="15">
      <c r="A176" s="181" t="s">
        <v>1277</v>
      </c>
      <c r="B176" s="181" t="s">
        <v>1276</v>
      </c>
      <c r="C176" s="1057" t="s">
        <v>1642</v>
      </c>
      <c r="D176" s="1057" t="s">
        <v>43</v>
      </c>
      <c r="G176" s="1048" t="s">
        <v>2509</v>
      </c>
      <c r="H176" s="1048" t="s">
        <v>2510</v>
      </c>
    </row>
    <row r="177" spans="1:8" ht="15">
      <c r="A177" s="180" t="s">
        <v>1152</v>
      </c>
      <c r="B177" s="181" t="s">
        <v>1151</v>
      </c>
      <c r="C177" s="1057" t="s">
        <v>1642</v>
      </c>
      <c r="D177" s="1057" t="s">
        <v>43</v>
      </c>
      <c r="G177" s="1048" t="s">
        <v>2000</v>
      </c>
      <c r="H177" s="1048" t="s">
        <v>2001</v>
      </c>
    </row>
    <row r="178" spans="1:8" ht="15">
      <c r="A178" s="180" t="s">
        <v>795</v>
      </c>
      <c r="B178" s="181" t="s">
        <v>794</v>
      </c>
      <c r="C178" s="1057" t="s">
        <v>1642</v>
      </c>
      <c r="D178" s="1057" t="s">
        <v>53</v>
      </c>
      <c r="G178" s="1048" t="s">
        <v>2511</v>
      </c>
      <c r="H178" s="1048" t="s">
        <v>2512</v>
      </c>
    </row>
    <row r="179" spans="1:8" ht="15">
      <c r="A179" s="180" t="s">
        <v>481</v>
      </c>
      <c r="B179" s="181" t="s">
        <v>480</v>
      </c>
      <c r="C179" s="1057" t="s">
        <v>1642</v>
      </c>
      <c r="D179" s="1057" t="s">
        <v>53</v>
      </c>
      <c r="G179" s="1048" t="s">
        <v>2304</v>
      </c>
      <c r="H179" s="1048" t="s">
        <v>2305</v>
      </c>
    </row>
    <row r="180" spans="1:8" ht="15">
      <c r="A180" s="180" t="s">
        <v>797</v>
      </c>
      <c r="B180" s="181" t="s">
        <v>796</v>
      </c>
      <c r="C180" s="1057" t="s">
        <v>1642</v>
      </c>
      <c r="D180" s="1057" t="s">
        <v>53</v>
      </c>
      <c r="G180" s="1048" t="s">
        <v>2443</v>
      </c>
      <c r="H180" s="1048" t="s">
        <v>2444</v>
      </c>
    </row>
    <row r="181" spans="1:8" ht="15">
      <c r="A181" s="180" t="s">
        <v>434</v>
      </c>
      <c r="B181" s="181" t="s">
        <v>433</v>
      </c>
      <c r="C181" s="1057" t="s">
        <v>1642</v>
      </c>
      <c r="D181" s="1057" t="s">
        <v>53</v>
      </c>
      <c r="G181" s="1048" t="s">
        <v>2513</v>
      </c>
      <c r="H181" s="1048" t="s">
        <v>2514</v>
      </c>
    </row>
    <row r="182" spans="1:8" ht="15">
      <c r="A182" s="180" t="s">
        <v>799</v>
      </c>
      <c r="B182" s="181" t="s">
        <v>798</v>
      </c>
      <c r="C182" s="1057" t="s">
        <v>1642</v>
      </c>
      <c r="D182" s="1057" t="s">
        <v>57</v>
      </c>
      <c r="G182" s="1048" t="s">
        <v>2307</v>
      </c>
      <c r="H182" s="1048" t="s">
        <v>2308</v>
      </c>
    </row>
    <row r="183" spans="1:8" ht="15">
      <c r="A183" s="180" t="s">
        <v>440</v>
      </c>
      <c r="B183" s="181" t="s">
        <v>439</v>
      </c>
      <c r="C183" s="1057" t="s">
        <v>1642</v>
      </c>
      <c r="D183" s="1057" t="s">
        <v>57</v>
      </c>
      <c r="G183" s="1048" t="s">
        <v>2309</v>
      </c>
      <c r="H183" s="1048" t="s">
        <v>2310</v>
      </c>
    </row>
    <row r="184" spans="1:8" ht="15">
      <c r="A184" s="180" t="s">
        <v>801</v>
      </c>
      <c r="B184" s="181" t="s">
        <v>800</v>
      </c>
      <c r="C184" s="1057" t="s">
        <v>1642</v>
      </c>
      <c r="D184" s="1057" t="s">
        <v>57</v>
      </c>
      <c r="G184" s="1048" t="s">
        <v>2311</v>
      </c>
      <c r="H184" s="1048" t="s">
        <v>2312</v>
      </c>
    </row>
    <row r="185" spans="1:8" ht="15">
      <c r="A185" s="180" t="s">
        <v>543</v>
      </c>
      <c r="B185" s="181" t="s">
        <v>542</v>
      </c>
      <c r="C185" s="1057" t="s">
        <v>1642</v>
      </c>
      <c r="D185" s="1057" t="s">
        <v>57</v>
      </c>
      <c r="G185" s="1048" t="s">
        <v>2313</v>
      </c>
      <c r="H185" s="1048" t="s">
        <v>2314</v>
      </c>
    </row>
    <row r="186" spans="1:8" ht="15">
      <c r="A186" s="180" t="s">
        <v>803</v>
      </c>
      <c r="B186" s="181" t="s">
        <v>802</v>
      </c>
      <c r="C186" s="1057" t="s">
        <v>1642</v>
      </c>
      <c r="D186" s="1057" t="s">
        <v>57</v>
      </c>
      <c r="G186" s="1048" t="s">
        <v>2315</v>
      </c>
      <c r="H186" s="1048" t="s">
        <v>2316</v>
      </c>
    </row>
    <row r="187" spans="1:8" ht="15">
      <c r="A187" s="180" t="s">
        <v>805</v>
      </c>
      <c r="B187" s="181" t="s">
        <v>804</v>
      </c>
      <c r="C187" s="1057" t="s">
        <v>1642</v>
      </c>
      <c r="D187" s="1057" t="s">
        <v>57</v>
      </c>
      <c r="G187" s="1048" t="s">
        <v>2317</v>
      </c>
      <c r="H187" s="1048" t="s">
        <v>2318</v>
      </c>
    </row>
    <row r="188" spans="1:8" ht="15">
      <c r="A188" s="180" t="s">
        <v>807</v>
      </c>
      <c r="B188" s="181" t="s">
        <v>806</v>
      </c>
      <c r="C188" s="1057" t="s">
        <v>1642</v>
      </c>
      <c r="D188" s="1057" t="s">
        <v>60</v>
      </c>
      <c r="G188" s="1048" t="s">
        <v>2319</v>
      </c>
      <c r="H188" s="1048" t="s">
        <v>2320</v>
      </c>
    </row>
    <row r="189" spans="1:8" ht="15">
      <c r="A189" s="180" t="s">
        <v>535</v>
      </c>
      <c r="B189" s="181" t="s">
        <v>534</v>
      </c>
      <c r="C189" s="1057" t="s">
        <v>1642</v>
      </c>
      <c r="D189" s="1057" t="s">
        <v>60</v>
      </c>
      <c r="G189" s="1048" t="s">
        <v>2038</v>
      </c>
      <c r="H189" s="1048" t="s">
        <v>2039</v>
      </c>
    </row>
    <row r="190" spans="1:8" ht="15">
      <c r="A190" s="180" t="s">
        <v>809</v>
      </c>
      <c r="B190" s="181" t="s">
        <v>808</v>
      </c>
      <c r="C190" s="1057" t="s">
        <v>1642</v>
      </c>
      <c r="D190" s="1057" t="s">
        <v>1925</v>
      </c>
      <c r="G190" s="1048" t="s">
        <v>2515</v>
      </c>
      <c r="H190" s="1048" t="s">
        <v>2516</v>
      </c>
    </row>
    <row r="191" spans="1:8" ht="15">
      <c r="A191" s="180" t="s">
        <v>471</v>
      </c>
      <c r="B191" s="181" t="s">
        <v>470</v>
      </c>
      <c r="C191" s="1057" t="s">
        <v>1642</v>
      </c>
      <c r="D191" s="1057" t="s">
        <v>1925</v>
      </c>
      <c r="G191" s="1048" t="s">
        <v>2321</v>
      </c>
      <c r="H191" s="1048" t="s">
        <v>2322</v>
      </c>
    </row>
    <row r="192" spans="1:8" ht="15">
      <c r="A192" s="180" t="s">
        <v>811</v>
      </c>
      <c r="B192" s="181" t="s">
        <v>810</v>
      </c>
      <c r="C192" s="1057" t="s">
        <v>1642</v>
      </c>
      <c r="D192" s="1057" t="s">
        <v>60</v>
      </c>
      <c r="G192" s="1048" t="s">
        <v>2006</v>
      </c>
      <c r="H192" s="1048" t="s">
        <v>2007</v>
      </c>
    </row>
    <row r="193" spans="1:8" ht="15">
      <c r="A193" s="180" t="s">
        <v>813</v>
      </c>
      <c r="B193" s="181" t="s">
        <v>812</v>
      </c>
      <c r="C193" s="1057" t="s">
        <v>1642</v>
      </c>
      <c r="D193" s="1057" t="s">
        <v>60</v>
      </c>
      <c r="G193" s="1048" t="s">
        <v>2517</v>
      </c>
      <c r="H193" s="1048" t="s">
        <v>2518</v>
      </c>
    </row>
    <row r="194" spans="1:8" ht="15">
      <c r="A194" s="180" t="s">
        <v>815</v>
      </c>
      <c r="B194" s="181" t="s">
        <v>814</v>
      </c>
      <c r="C194" s="1057" t="s">
        <v>1642</v>
      </c>
      <c r="D194" s="1057" t="s">
        <v>1925</v>
      </c>
      <c r="G194" s="1048" t="s">
        <v>2323</v>
      </c>
      <c r="H194" s="1048" t="s">
        <v>2324</v>
      </c>
    </row>
    <row r="195" spans="1:8" ht="15">
      <c r="A195" s="180" t="s">
        <v>817</v>
      </c>
      <c r="B195" s="181" t="s">
        <v>816</v>
      </c>
      <c r="C195" s="1057" t="s">
        <v>1642</v>
      </c>
      <c r="D195" s="1057" t="s">
        <v>1925</v>
      </c>
      <c r="G195" s="1048" t="s">
        <v>2325</v>
      </c>
      <c r="H195" s="1048" t="s">
        <v>2326</v>
      </c>
    </row>
    <row r="196" spans="1:8" ht="15">
      <c r="A196" s="180" t="s">
        <v>1172</v>
      </c>
      <c r="B196" s="181" t="s">
        <v>1171</v>
      </c>
      <c r="C196" s="1057" t="s">
        <v>1642</v>
      </c>
      <c r="D196" s="1057" t="s">
        <v>59</v>
      </c>
      <c r="G196" s="1048" t="s">
        <v>2011</v>
      </c>
      <c r="H196" s="1048" t="s">
        <v>2012</v>
      </c>
    </row>
    <row r="197" spans="1:8" ht="15">
      <c r="A197" s="180" t="s">
        <v>489</v>
      </c>
      <c r="B197" s="181" t="s">
        <v>488</v>
      </c>
      <c r="C197" s="1057" t="s">
        <v>1642</v>
      </c>
      <c r="D197" s="1057" t="s">
        <v>59</v>
      </c>
      <c r="G197" s="1048" t="s">
        <v>2011</v>
      </c>
      <c r="H197" s="1048" t="s">
        <v>2519</v>
      </c>
    </row>
    <row r="198" spans="1:8" ht="15">
      <c r="A198" s="180" t="s">
        <v>819</v>
      </c>
      <c r="B198" s="181" t="s">
        <v>818</v>
      </c>
      <c r="C198" s="1057" t="s">
        <v>1642</v>
      </c>
      <c r="D198" s="1057" t="s">
        <v>59</v>
      </c>
      <c r="G198" s="1048" t="s">
        <v>2191</v>
      </c>
      <c r="H198" s="1048" t="s">
        <v>2192</v>
      </c>
    </row>
    <row r="199" spans="1:8" ht="15">
      <c r="A199" s="180" t="s">
        <v>821</v>
      </c>
      <c r="B199" s="181" t="s">
        <v>820</v>
      </c>
      <c r="C199" s="1057" t="s">
        <v>1642</v>
      </c>
      <c r="D199" s="1057" t="s">
        <v>59</v>
      </c>
      <c r="G199" s="1048" t="s">
        <v>2520</v>
      </c>
      <c r="H199" s="1048" t="s">
        <v>2521</v>
      </c>
    </row>
    <row r="200" spans="1:8" ht="15">
      <c r="A200" s="180" t="s">
        <v>823</v>
      </c>
      <c r="B200" s="181" t="s">
        <v>822</v>
      </c>
      <c r="C200" s="1057" t="s">
        <v>1642</v>
      </c>
      <c r="D200" s="1057" t="s">
        <v>62</v>
      </c>
      <c r="G200" s="1048" t="s">
        <v>2041</v>
      </c>
      <c r="H200" s="1048" t="s">
        <v>2042</v>
      </c>
    </row>
    <row r="201" spans="1:8" ht="15">
      <c r="A201" s="180" t="s">
        <v>517</v>
      </c>
      <c r="B201" s="181" t="s">
        <v>516</v>
      </c>
      <c r="C201" s="1057" t="s">
        <v>1642</v>
      </c>
      <c r="D201" s="1057" t="s">
        <v>1926</v>
      </c>
      <c r="G201" s="1048" t="s">
        <v>2041</v>
      </c>
      <c r="H201" s="1048" t="s">
        <v>2522</v>
      </c>
    </row>
    <row r="202" spans="1:8" ht="15">
      <c r="A202" s="181" t="s">
        <v>1339</v>
      </c>
      <c r="B202" s="181" t="s">
        <v>1338</v>
      </c>
      <c r="C202" s="1057" t="s">
        <v>1642</v>
      </c>
      <c r="D202" s="1057" t="s">
        <v>1931</v>
      </c>
      <c r="G202" s="1048" t="s">
        <v>2051</v>
      </c>
      <c r="H202" s="1048" t="s">
        <v>2052</v>
      </c>
    </row>
    <row r="203" spans="1:8" ht="15">
      <c r="A203" s="180" t="s">
        <v>281</v>
      </c>
      <c r="B203" s="181" t="s">
        <v>280</v>
      </c>
      <c r="C203" s="1057" t="s">
        <v>1642</v>
      </c>
      <c r="D203" s="1057" t="s">
        <v>30</v>
      </c>
      <c r="G203" s="1048" t="s">
        <v>2051</v>
      </c>
      <c r="H203" s="1048" t="s">
        <v>2523</v>
      </c>
    </row>
    <row r="204" spans="1:8" ht="15">
      <c r="A204" s="172" t="s">
        <v>549</v>
      </c>
      <c r="B204" s="172" t="s">
        <v>548</v>
      </c>
      <c r="C204" s="1057" t="s">
        <v>1642</v>
      </c>
      <c r="D204" s="1057" t="s">
        <v>18</v>
      </c>
      <c r="G204" s="1048" t="s">
        <v>2628</v>
      </c>
      <c r="H204" s="1048" t="s">
        <v>2629</v>
      </c>
    </row>
    <row r="205" spans="1:8" ht="15">
      <c r="A205" s="180" t="s">
        <v>398</v>
      </c>
      <c r="B205" s="181" t="s">
        <v>1515</v>
      </c>
      <c r="C205" s="1057" t="s">
        <v>1642</v>
      </c>
      <c r="D205" s="1057" t="s">
        <v>18</v>
      </c>
      <c r="G205" s="1048" t="s">
        <v>2524</v>
      </c>
      <c r="H205" s="1048" t="s">
        <v>2525</v>
      </c>
    </row>
    <row r="206" spans="1:8" ht="15">
      <c r="A206" s="180" t="s">
        <v>397</v>
      </c>
      <c r="B206" s="181" t="s">
        <v>396</v>
      </c>
      <c r="C206" s="1057" t="s">
        <v>1642</v>
      </c>
      <c r="D206" s="1057" t="s">
        <v>18</v>
      </c>
      <c r="G206" s="1048" t="s">
        <v>2071</v>
      </c>
      <c r="H206" s="1048" t="s">
        <v>2072</v>
      </c>
    </row>
    <row r="207" spans="1:8" ht="15">
      <c r="A207" s="180" t="s">
        <v>418</v>
      </c>
      <c r="B207" s="181" t="s">
        <v>1533</v>
      </c>
      <c r="C207" s="1057" t="s">
        <v>1642</v>
      </c>
      <c r="D207" s="1057" t="s">
        <v>18</v>
      </c>
      <c r="G207" s="1048" t="s">
        <v>2071</v>
      </c>
      <c r="H207" s="1048" t="s">
        <v>2526</v>
      </c>
    </row>
    <row r="208" spans="1:8" ht="15">
      <c r="A208" s="180" t="s">
        <v>417</v>
      </c>
      <c r="B208" s="181" t="s">
        <v>416</v>
      </c>
      <c r="C208" s="1057" t="s">
        <v>1642</v>
      </c>
      <c r="D208" s="1057" t="s">
        <v>18</v>
      </c>
      <c r="G208" s="1048" t="s">
        <v>2144</v>
      </c>
      <c r="H208" s="1048" t="s">
        <v>2145</v>
      </c>
    </row>
    <row r="209" spans="1:8" ht="15">
      <c r="A209" s="180" t="s">
        <v>1146</v>
      </c>
      <c r="B209" s="181" t="s">
        <v>1145</v>
      </c>
      <c r="C209" s="1057" t="s">
        <v>1642</v>
      </c>
      <c r="D209" s="1057" t="s">
        <v>18</v>
      </c>
      <c r="G209" s="1048" t="s">
        <v>2144</v>
      </c>
      <c r="H209" s="1048" t="s">
        <v>2527</v>
      </c>
    </row>
    <row r="210" spans="1:8" ht="15">
      <c r="A210" s="180" t="s">
        <v>455</v>
      </c>
      <c r="B210" s="181" t="s">
        <v>454</v>
      </c>
      <c r="C210" s="1057" t="s">
        <v>1642</v>
      </c>
      <c r="D210" s="1057" t="s">
        <v>26</v>
      </c>
      <c r="G210" s="1048" t="s">
        <v>2167</v>
      </c>
      <c r="H210" s="1048" t="s">
        <v>2168</v>
      </c>
    </row>
    <row r="211" spans="1:8" ht="15">
      <c r="A211" s="180" t="s">
        <v>456</v>
      </c>
      <c r="B211" s="181" t="s">
        <v>511</v>
      </c>
      <c r="C211" s="1057" t="s">
        <v>1642</v>
      </c>
      <c r="D211" s="1057" t="s">
        <v>26</v>
      </c>
      <c r="G211" s="1048" t="s">
        <v>2528</v>
      </c>
      <c r="H211" s="1048" t="s">
        <v>2529</v>
      </c>
    </row>
    <row r="212" spans="1:8" ht="15">
      <c r="A212" s="180" t="s">
        <v>1465</v>
      </c>
      <c r="B212" s="181" t="s">
        <v>1464</v>
      </c>
      <c r="C212" s="1057" t="s">
        <v>1642</v>
      </c>
      <c r="D212" s="1057" t="s">
        <v>26</v>
      </c>
      <c r="G212" s="1048" t="s">
        <v>2086</v>
      </c>
      <c r="H212" s="1048" t="s">
        <v>2087</v>
      </c>
    </row>
    <row r="213" spans="1:8" ht="15">
      <c r="A213" s="180" t="s">
        <v>499</v>
      </c>
      <c r="B213" s="181" t="s">
        <v>498</v>
      </c>
      <c r="C213" s="1057" t="s">
        <v>1642</v>
      </c>
      <c r="D213" s="1057" t="s">
        <v>26</v>
      </c>
      <c r="G213" s="1048" t="s">
        <v>2530</v>
      </c>
      <c r="H213" s="1048" t="s">
        <v>2531</v>
      </c>
    </row>
    <row r="214" spans="1:8" ht="15">
      <c r="A214" s="180" t="s">
        <v>408</v>
      </c>
      <c r="B214" s="181" t="s">
        <v>1559</v>
      </c>
      <c r="C214" s="1057" t="s">
        <v>1642</v>
      </c>
      <c r="D214" s="1057" t="s">
        <v>16</v>
      </c>
      <c r="G214" s="1048" t="s">
        <v>2069</v>
      </c>
      <c r="H214" s="1048" t="s">
        <v>2070</v>
      </c>
    </row>
    <row r="215" spans="1:8" ht="15">
      <c r="A215" s="180" t="s">
        <v>407</v>
      </c>
      <c r="B215" s="181" t="s">
        <v>406</v>
      </c>
      <c r="C215" s="1057" t="s">
        <v>1642</v>
      </c>
      <c r="D215" s="1057" t="s">
        <v>26</v>
      </c>
      <c r="G215" s="1048" t="s">
        <v>2532</v>
      </c>
      <c r="H215" s="1048" t="s">
        <v>2533</v>
      </c>
    </row>
    <row r="216" spans="1:8" ht="15">
      <c r="A216" s="180" t="s">
        <v>497</v>
      </c>
      <c r="B216" s="181" t="s">
        <v>496</v>
      </c>
      <c r="C216" s="1057" t="s">
        <v>1642</v>
      </c>
      <c r="D216" s="1057" t="s">
        <v>40</v>
      </c>
      <c r="G216" s="1048" t="s">
        <v>2067</v>
      </c>
      <c r="H216" s="1048" t="s">
        <v>2068</v>
      </c>
    </row>
    <row r="217" spans="1:8" ht="15">
      <c r="A217" s="180" t="s">
        <v>460</v>
      </c>
      <c r="B217" s="181" t="s">
        <v>459</v>
      </c>
      <c r="C217" s="1057" t="s">
        <v>1642</v>
      </c>
      <c r="D217" s="1057" t="s">
        <v>40</v>
      </c>
      <c r="G217" s="1048" t="s">
        <v>2534</v>
      </c>
      <c r="H217" s="1048" t="s">
        <v>2535</v>
      </c>
    </row>
    <row r="218" spans="1:8" ht="15">
      <c r="A218" s="180" t="s">
        <v>825</v>
      </c>
      <c r="B218" s="181" t="s">
        <v>824</v>
      </c>
      <c r="C218" s="1057" t="s">
        <v>1642</v>
      </c>
      <c r="D218" s="1057" t="s">
        <v>11</v>
      </c>
      <c r="G218" s="1048" t="s">
        <v>2100</v>
      </c>
      <c r="H218" s="1048" t="s">
        <v>2101</v>
      </c>
    </row>
    <row r="219" spans="1:8" ht="15">
      <c r="A219" s="181" t="s">
        <v>447</v>
      </c>
      <c r="B219" s="181" t="s">
        <v>1382</v>
      </c>
      <c r="C219" s="1057" t="s">
        <v>1642</v>
      </c>
      <c r="D219" s="1057" t="s">
        <v>38</v>
      </c>
      <c r="G219" s="1048" t="s">
        <v>2536</v>
      </c>
      <c r="H219" s="1048" t="s">
        <v>2537</v>
      </c>
    </row>
    <row r="220" spans="1:8" ht="15">
      <c r="A220" s="180" t="s">
        <v>503</v>
      </c>
      <c r="B220" s="181" t="s">
        <v>502</v>
      </c>
      <c r="C220" s="1057" t="s">
        <v>1642</v>
      </c>
      <c r="D220" s="1057" t="s">
        <v>38</v>
      </c>
      <c r="G220" s="1048" t="s">
        <v>2023</v>
      </c>
      <c r="H220" s="1048" t="s">
        <v>2024</v>
      </c>
    </row>
    <row r="221" spans="1:8" ht="15">
      <c r="A221" s="180" t="s">
        <v>446</v>
      </c>
      <c r="B221" s="181" t="s">
        <v>445</v>
      </c>
      <c r="C221" s="1057" t="s">
        <v>1642</v>
      </c>
      <c r="D221" s="1057" t="s">
        <v>38</v>
      </c>
      <c r="G221" s="1048" t="s">
        <v>2538</v>
      </c>
      <c r="H221" s="1048" t="s">
        <v>2539</v>
      </c>
    </row>
    <row r="222" spans="1:8" ht="15">
      <c r="A222" s="180" t="s">
        <v>1190</v>
      </c>
      <c r="B222" s="181" t="s">
        <v>1189</v>
      </c>
      <c r="C222" s="1057" t="s">
        <v>1642</v>
      </c>
      <c r="D222" s="1057" t="s">
        <v>38</v>
      </c>
      <c r="G222" s="1048" t="s">
        <v>2150</v>
      </c>
      <c r="H222" s="1048" t="s">
        <v>2151</v>
      </c>
    </row>
    <row r="223" spans="1:8" ht="15">
      <c r="A223" s="180" t="s">
        <v>537</v>
      </c>
      <c r="B223" s="181" t="s">
        <v>536</v>
      </c>
      <c r="C223" s="1057" t="s">
        <v>1642</v>
      </c>
      <c r="D223" s="1057" t="s">
        <v>38</v>
      </c>
      <c r="G223" s="1048" t="s">
        <v>2043</v>
      </c>
      <c r="H223" s="1048" t="s">
        <v>2044</v>
      </c>
    </row>
    <row r="224" spans="1:8" ht="15">
      <c r="A224" s="180" t="s">
        <v>1426</v>
      </c>
      <c r="B224" s="181" t="s">
        <v>1425</v>
      </c>
      <c r="C224" s="1057" t="s">
        <v>1642</v>
      </c>
      <c r="D224" s="1057" t="s">
        <v>22</v>
      </c>
      <c r="G224" s="1048" t="s">
        <v>2540</v>
      </c>
      <c r="H224" s="1048" t="s">
        <v>2541</v>
      </c>
    </row>
    <row r="225" spans="1:8" ht="15">
      <c r="A225" s="180" t="s">
        <v>475</v>
      </c>
      <c r="B225" s="181" t="s">
        <v>474</v>
      </c>
      <c r="C225" s="1057" t="s">
        <v>1642</v>
      </c>
      <c r="D225" s="1057" t="s">
        <v>36</v>
      </c>
      <c r="G225" s="1048" t="s">
        <v>2047</v>
      </c>
      <c r="H225" s="1048" t="s">
        <v>2048</v>
      </c>
    </row>
    <row r="226" spans="1:8" ht="15">
      <c r="A226" s="180" t="s">
        <v>384</v>
      </c>
      <c r="B226" s="181" t="s">
        <v>383</v>
      </c>
      <c r="C226" s="1057" t="s">
        <v>1642</v>
      </c>
      <c r="D226" s="1057" t="s">
        <v>36</v>
      </c>
      <c r="G226" s="1048" t="s">
        <v>2542</v>
      </c>
      <c r="H226" s="1048" t="s">
        <v>2543</v>
      </c>
    </row>
    <row r="227" spans="1:8" ht="15">
      <c r="A227" s="180" t="s">
        <v>451</v>
      </c>
      <c r="B227" s="181" t="s">
        <v>450</v>
      </c>
      <c r="C227" s="1057" t="s">
        <v>1642</v>
      </c>
      <c r="D227" s="1057" t="s">
        <v>36</v>
      </c>
      <c r="G227" s="1048" t="s">
        <v>2150</v>
      </c>
      <c r="H227" s="1048" t="s">
        <v>2169</v>
      </c>
    </row>
    <row r="228" spans="1:8" ht="15">
      <c r="A228" s="180" t="s">
        <v>1481</v>
      </c>
      <c r="B228" s="181" t="s">
        <v>1480</v>
      </c>
      <c r="C228" s="1057" t="s">
        <v>1642</v>
      </c>
      <c r="D228" s="1057" t="s">
        <v>36</v>
      </c>
      <c r="G228" s="1048" t="s">
        <v>2114</v>
      </c>
      <c r="H228" s="1048" t="s">
        <v>2115</v>
      </c>
    </row>
    <row r="229" spans="1:8" ht="15">
      <c r="A229" s="181" t="s">
        <v>1282</v>
      </c>
      <c r="B229" s="181" t="s">
        <v>1281</v>
      </c>
      <c r="C229" s="1057" t="s">
        <v>1642</v>
      </c>
      <c r="D229" s="1057" t="s">
        <v>36</v>
      </c>
      <c r="G229" s="1048" t="s">
        <v>2544</v>
      </c>
      <c r="H229" s="1048" t="s">
        <v>2545</v>
      </c>
    </row>
    <row r="230" spans="1:8" ht="15">
      <c r="A230" s="181" t="s">
        <v>826</v>
      </c>
      <c r="B230" s="181" t="s">
        <v>1326</v>
      </c>
      <c r="C230" s="1057" t="s">
        <v>1642</v>
      </c>
      <c r="D230" s="1057" t="s">
        <v>54</v>
      </c>
      <c r="G230" s="1048" t="s">
        <v>2114</v>
      </c>
      <c r="H230" s="1048" t="s">
        <v>2445</v>
      </c>
    </row>
    <row r="231" spans="1:8" ht="15">
      <c r="A231" s="180" t="s">
        <v>828</v>
      </c>
      <c r="B231" s="181" t="s">
        <v>827</v>
      </c>
      <c r="C231" s="1057" t="s">
        <v>1642</v>
      </c>
      <c r="D231" s="1057" t="s">
        <v>40</v>
      </c>
      <c r="G231" s="1048" t="s">
        <v>2546</v>
      </c>
      <c r="H231" s="1048" t="s">
        <v>2547</v>
      </c>
    </row>
    <row r="232" spans="1:8" ht="15">
      <c r="A232" s="180" t="s">
        <v>830</v>
      </c>
      <c r="B232" s="181" t="s">
        <v>829</v>
      </c>
      <c r="C232" s="1057" t="s">
        <v>1642</v>
      </c>
      <c r="D232" s="1057" t="s">
        <v>67</v>
      </c>
      <c r="G232" s="1048" t="s">
        <v>2107</v>
      </c>
      <c r="H232" s="1048" t="s">
        <v>2108</v>
      </c>
    </row>
    <row r="233" spans="1:8" ht="15">
      <c r="A233" s="180" t="s">
        <v>833</v>
      </c>
      <c r="B233" s="181" t="s">
        <v>832</v>
      </c>
      <c r="C233" s="1057" t="s">
        <v>1642</v>
      </c>
      <c r="D233" s="1057" t="s">
        <v>69</v>
      </c>
      <c r="G233" s="1048" t="s">
        <v>2548</v>
      </c>
      <c r="H233" s="1048" t="s">
        <v>2549</v>
      </c>
    </row>
    <row r="234" spans="1:8" ht="15">
      <c r="A234" s="1052" t="s">
        <v>1651</v>
      </c>
      <c r="B234" s="184" t="s">
        <v>1582</v>
      </c>
      <c r="C234" s="1057" t="s">
        <v>75</v>
      </c>
      <c r="D234" s="1057" t="s">
        <v>89</v>
      </c>
      <c r="G234" s="1048" t="s">
        <v>2090</v>
      </c>
      <c r="H234" s="1048" t="s">
        <v>2091</v>
      </c>
    </row>
    <row r="235" spans="1:8" ht="15">
      <c r="A235" s="1052" t="s">
        <v>1652</v>
      </c>
      <c r="B235" s="184" t="s">
        <v>1583</v>
      </c>
      <c r="C235" s="1057" t="s">
        <v>75</v>
      </c>
      <c r="D235" s="1057" t="s">
        <v>89</v>
      </c>
      <c r="G235" s="1048" t="s">
        <v>2550</v>
      </c>
      <c r="H235" s="1048" t="s">
        <v>2551</v>
      </c>
    </row>
    <row r="236" spans="1:8" ht="15">
      <c r="A236" s="184" t="s">
        <v>1657</v>
      </c>
      <c r="B236" s="184" t="s">
        <v>300</v>
      </c>
      <c r="C236" s="1057" t="s">
        <v>75</v>
      </c>
      <c r="D236" s="1057" t="s">
        <v>89</v>
      </c>
      <c r="G236" s="1048" t="s">
        <v>2165</v>
      </c>
      <c r="H236" s="1048" t="s">
        <v>2166</v>
      </c>
    </row>
    <row r="237" spans="1:8" ht="15">
      <c r="A237" s="1052" t="s">
        <v>1662</v>
      </c>
      <c r="B237" s="184" t="s">
        <v>1590</v>
      </c>
      <c r="C237" s="1057" t="s">
        <v>75</v>
      </c>
      <c r="D237" s="1057" t="s">
        <v>89</v>
      </c>
      <c r="G237" s="1048" t="s">
        <v>2552</v>
      </c>
      <c r="H237" s="1048" t="s">
        <v>2553</v>
      </c>
    </row>
    <row r="238" spans="1:8" ht="15">
      <c r="A238" s="1052" t="s">
        <v>1663</v>
      </c>
      <c r="B238" s="184" t="s">
        <v>1591</v>
      </c>
      <c r="C238" s="1057" t="s">
        <v>75</v>
      </c>
      <c r="D238" s="1057" t="s">
        <v>89</v>
      </c>
      <c r="G238" s="1048" t="s">
        <v>2082</v>
      </c>
      <c r="H238" s="1048" t="s">
        <v>2083</v>
      </c>
    </row>
    <row r="239" spans="1:8" ht="15">
      <c r="A239" s="1052" t="s">
        <v>1671</v>
      </c>
      <c r="B239" s="184" t="s">
        <v>1600</v>
      </c>
      <c r="C239" s="1057" t="s">
        <v>75</v>
      </c>
      <c r="D239" s="1057" t="s">
        <v>89</v>
      </c>
      <c r="G239" s="1048" t="s">
        <v>2554</v>
      </c>
      <c r="H239" s="1048" t="s">
        <v>2555</v>
      </c>
    </row>
    <row r="240" spans="1:8" ht="15">
      <c r="A240" s="1052" t="s">
        <v>1678</v>
      </c>
      <c r="B240" s="184" t="s">
        <v>1606</v>
      </c>
      <c r="C240" s="1057" t="s">
        <v>75</v>
      </c>
      <c r="D240" s="1057" t="s">
        <v>89</v>
      </c>
      <c r="G240" s="1048" t="s">
        <v>2045</v>
      </c>
      <c r="H240" s="1048" t="s">
        <v>2046</v>
      </c>
    </row>
    <row r="241" spans="1:8" ht="15">
      <c r="A241" s="1052" t="s">
        <v>1680</v>
      </c>
      <c r="B241" s="184" t="s">
        <v>1608</v>
      </c>
      <c r="C241" s="1057" t="s">
        <v>75</v>
      </c>
      <c r="D241" s="1057" t="s">
        <v>89</v>
      </c>
      <c r="G241" s="1048" t="s">
        <v>2556</v>
      </c>
      <c r="H241" s="1048" t="s">
        <v>2557</v>
      </c>
    </row>
    <row r="242" spans="1:8" ht="15">
      <c r="A242" s="173" t="s">
        <v>1728</v>
      </c>
      <c r="B242" s="184" t="s">
        <v>1729</v>
      </c>
      <c r="C242" s="1057" t="s">
        <v>75</v>
      </c>
      <c r="D242" s="1057" t="s">
        <v>90</v>
      </c>
      <c r="G242" s="1048" t="s">
        <v>2034</v>
      </c>
      <c r="H242" s="1048" t="s">
        <v>2035</v>
      </c>
    </row>
    <row r="243" spans="1:8" ht="15">
      <c r="A243" s="1052" t="s">
        <v>1660</v>
      </c>
      <c r="B243" s="184" t="s">
        <v>1589</v>
      </c>
      <c r="C243" s="1057" t="s">
        <v>75</v>
      </c>
      <c r="D243" s="1057" t="s">
        <v>89</v>
      </c>
      <c r="G243" s="1048" t="s">
        <v>2034</v>
      </c>
      <c r="H243" s="1048" t="s">
        <v>2558</v>
      </c>
    </row>
    <row r="244" spans="1:8" ht="15">
      <c r="A244" s="1052" t="s">
        <v>1699</v>
      </c>
      <c r="B244" s="184" t="s">
        <v>1625</v>
      </c>
      <c r="C244" s="1057" t="s">
        <v>75</v>
      </c>
      <c r="D244" s="1057" t="s">
        <v>89</v>
      </c>
      <c r="G244" s="1048" t="s">
        <v>2120</v>
      </c>
      <c r="H244" s="1048" t="s">
        <v>2121</v>
      </c>
    </row>
    <row r="245" spans="1:8" ht="15">
      <c r="A245" s="1052" t="s">
        <v>1707</v>
      </c>
      <c r="B245" s="184" t="s">
        <v>1632</v>
      </c>
      <c r="C245" s="1057" t="s">
        <v>75</v>
      </c>
      <c r="D245" s="1057" t="s">
        <v>89</v>
      </c>
      <c r="G245" s="1048" t="s">
        <v>2214</v>
      </c>
      <c r="H245" s="1048" t="s">
        <v>2215</v>
      </c>
    </row>
    <row r="246" spans="1:8" ht="15">
      <c r="A246" s="1052" t="s">
        <v>1641</v>
      </c>
      <c r="B246" s="184" t="s">
        <v>1577</v>
      </c>
      <c r="C246" s="1057" t="s">
        <v>75</v>
      </c>
      <c r="D246" s="1057" t="s">
        <v>89</v>
      </c>
      <c r="G246" s="1048" t="s">
        <v>2327</v>
      </c>
      <c r="H246" s="1048" t="s">
        <v>2328</v>
      </c>
    </row>
    <row r="247" spans="1:8" ht="15">
      <c r="A247" s="184" t="s">
        <v>1644</v>
      </c>
      <c r="B247" s="184" t="s">
        <v>1579</v>
      </c>
      <c r="C247" s="1057" t="s">
        <v>75</v>
      </c>
      <c r="D247" s="1057" t="s">
        <v>89</v>
      </c>
      <c r="G247" s="1048" t="s">
        <v>2840</v>
      </c>
      <c r="H247" s="1048" t="s">
        <v>2841</v>
      </c>
    </row>
    <row r="248" spans="1:8" ht="15">
      <c r="A248" s="1052" t="s">
        <v>366</v>
      </c>
      <c r="B248" s="184" t="s">
        <v>365</v>
      </c>
      <c r="C248" s="1057" t="s">
        <v>75</v>
      </c>
      <c r="D248" s="1057" t="s">
        <v>89</v>
      </c>
      <c r="G248" s="1048" t="s">
        <v>2446</v>
      </c>
      <c r="H248" s="1048" t="s">
        <v>2447</v>
      </c>
    </row>
    <row r="249" spans="1:8" ht="15">
      <c r="A249" s="180" t="s">
        <v>964</v>
      </c>
      <c r="B249" s="181" t="s">
        <v>963</v>
      </c>
      <c r="C249" s="1057" t="s">
        <v>75</v>
      </c>
      <c r="D249" s="1057" t="s">
        <v>89</v>
      </c>
      <c r="G249" s="1048" t="s">
        <v>2448</v>
      </c>
      <c r="H249" s="1048" t="s">
        <v>2449</v>
      </c>
    </row>
    <row r="250" spans="1:8" ht="15">
      <c r="A250" s="1052" t="s">
        <v>835</v>
      </c>
      <c r="B250" s="184" t="s">
        <v>834</v>
      </c>
      <c r="C250" s="1057" t="s">
        <v>75</v>
      </c>
      <c r="D250" s="1057" t="s">
        <v>90</v>
      </c>
      <c r="G250" s="1048" t="s">
        <v>2842</v>
      </c>
      <c r="H250" s="1048" t="s">
        <v>2843</v>
      </c>
    </row>
    <row r="251" spans="1:8" ht="15">
      <c r="A251" s="180" t="s">
        <v>966</v>
      </c>
      <c r="B251" s="181" t="s">
        <v>965</v>
      </c>
      <c r="C251" s="1057" t="s">
        <v>75</v>
      </c>
      <c r="D251" s="1057" t="s">
        <v>90</v>
      </c>
      <c r="G251" s="1048" t="s">
        <v>2450</v>
      </c>
      <c r="H251" s="1048" t="s">
        <v>2451</v>
      </c>
    </row>
    <row r="252" spans="1:8" ht="15">
      <c r="A252" s="1052" t="s">
        <v>362</v>
      </c>
      <c r="B252" s="184" t="s">
        <v>361</v>
      </c>
      <c r="C252" s="1057" t="s">
        <v>75</v>
      </c>
      <c r="D252" s="1057" t="s">
        <v>90</v>
      </c>
      <c r="G252" s="1048" t="s">
        <v>2329</v>
      </c>
      <c r="H252" s="1048" t="s">
        <v>1526</v>
      </c>
    </row>
    <row r="253" spans="1:8" ht="15">
      <c r="A253" s="793" t="s">
        <v>968</v>
      </c>
      <c r="B253" s="182" t="s">
        <v>967</v>
      </c>
      <c r="C253" s="1057" t="s">
        <v>75</v>
      </c>
      <c r="D253" s="1057" t="s">
        <v>90</v>
      </c>
      <c r="G253" s="1048" t="s">
        <v>2844</v>
      </c>
      <c r="H253" s="1048" t="s">
        <v>2845</v>
      </c>
    </row>
    <row r="254" spans="1:8" ht="15">
      <c r="A254" s="1053" t="s">
        <v>837</v>
      </c>
      <c r="B254" s="184" t="s">
        <v>836</v>
      </c>
      <c r="C254" s="1057" t="s">
        <v>75</v>
      </c>
      <c r="D254" s="1057" t="s">
        <v>89</v>
      </c>
      <c r="G254" s="1048" t="s">
        <v>2452</v>
      </c>
      <c r="H254" s="1048" t="s">
        <v>2453</v>
      </c>
    </row>
    <row r="255" spans="1:8" ht="15">
      <c r="A255" s="793" t="s">
        <v>970</v>
      </c>
      <c r="B255" s="181" t="s">
        <v>969</v>
      </c>
      <c r="C255" s="1057" t="s">
        <v>75</v>
      </c>
      <c r="D255" s="1057" t="s">
        <v>89</v>
      </c>
      <c r="G255" s="1048" t="s">
        <v>2454</v>
      </c>
      <c r="H255" s="1048" t="s">
        <v>2455</v>
      </c>
    </row>
    <row r="256" spans="1:8" ht="15">
      <c r="A256" s="1053" t="s">
        <v>288</v>
      </c>
      <c r="B256" s="184" t="s">
        <v>287</v>
      </c>
      <c r="C256" s="1057" t="s">
        <v>75</v>
      </c>
      <c r="D256" s="1057" t="s">
        <v>90</v>
      </c>
      <c r="G256" s="1048" t="s">
        <v>2850</v>
      </c>
      <c r="H256" s="1048" t="s">
        <v>2851</v>
      </c>
    </row>
    <row r="257" spans="1:8" ht="15">
      <c r="A257" s="793" t="s">
        <v>972</v>
      </c>
      <c r="B257" s="182" t="s">
        <v>971</v>
      </c>
      <c r="C257" s="1057" t="s">
        <v>75</v>
      </c>
      <c r="D257" s="1057" t="s">
        <v>90</v>
      </c>
      <c r="G257" s="1048" t="s">
        <v>2330</v>
      </c>
      <c r="H257" s="1048" t="s">
        <v>884</v>
      </c>
    </row>
    <row r="258" spans="1:8" ht="15">
      <c r="A258" s="1054" t="s">
        <v>341</v>
      </c>
      <c r="B258" s="181" t="s">
        <v>340</v>
      </c>
      <c r="C258" s="1057" t="s">
        <v>75</v>
      </c>
      <c r="D258" s="1057" t="s">
        <v>90</v>
      </c>
      <c r="G258" s="1048" t="s">
        <v>2836</v>
      </c>
      <c r="H258" s="1048" t="s">
        <v>2837</v>
      </c>
    </row>
    <row r="259" spans="1:8" ht="15">
      <c r="A259" s="180" t="s">
        <v>974</v>
      </c>
      <c r="B259" s="181" t="s">
        <v>973</v>
      </c>
      <c r="C259" s="1057" t="s">
        <v>75</v>
      </c>
      <c r="D259" s="1057" t="s">
        <v>90</v>
      </c>
      <c r="G259" s="1048" t="s">
        <v>2855</v>
      </c>
      <c r="H259" s="1048" t="s">
        <v>2856</v>
      </c>
    </row>
    <row r="260" spans="1:8" ht="15">
      <c r="A260" s="1052" t="s">
        <v>339</v>
      </c>
      <c r="B260" s="184" t="s">
        <v>338</v>
      </c>
      <c r="C260" s="1057" t="s">
        <v>75</v>
      </c>
      <c r="D260" s="1057" t="s">
        <v>89</v>
      </c>
      <c r="G260" s="1048" t="s">
        <v>2838</v>
      </c>
      <c r="H260" s="1048" t="s">
        <v>2839</v>
      </c>
    </row>
    <row r="261" spans="1:8" ht="15">
      <c r="A261" s="180" t="s">
        <v>976</v>
      </c>
      <c r="B261" s="181" t="s">
        <v>975</v>
      </c>
      <c r="C261" s="1057" t="s">
        <v>75</v>
      </c>
      <c r="D261" s="1057" t="s">
        <v>89</v>
      </c>
      <c r="G261" s="1048" t="s">
        <v>2456</v>
      </c>
      <c r="H261" s="1048" t="s">
        <v>2457</v>
      </c>
    </row>
    <row r="262" spans="1:8" ht="15">
      <c r="A262" s="1052" t="s">
        <v>839</v>
      </c>
      <c r="B262" s="184" t="s">
        <v>838</v>
      </c>
      <c r="C262" s="1057" t="s">
        <v>75</v>
      </c>
      <c r="D262" s="1057" t="s">
        <v>89</v>
      </c>
      <c r="G262" s="1048" t="s">
        <v>2456</v>
      </c>
      <c r="H262" s="1048" t="s">
        <v>2849</v>
      </c>
    </row>
    <row r="263" spans="1:8" ht="15">
      <c r="A263" s="180" t="s">
        <v>978</v>
      </c>
      <c r="B263" s="181" t="s">
        <v>977</v>
      </c>
      <c r="C263" s="1057" t="s">
        <v>75</v>
      </c>
      <c r="D263" s="1057" t="s">
        <v>89</v>
      </c>
      <c r="G263" s="1048" t="s">
        <v>2331</v>
      </c>
      <c r="H263" s="1048" t="s">
        <v>2332</v>
      </c>
    </row>
    <row r="264" spans="1:8" ht="15">
      <c r="A264" s="1052" t="s">
        <v>841</v>
      </c>
      <c r="B264" s="184" t="s">
        <v>840</v>
      </c>
      <c r="C264" s="1057" t="s">
        <v>75</v>
      </c>
      <c r="D264" s="1057" t="s">
        <v>89</v>
      </c>
      <c r="G264" s="1048" t="s">
        <v>2333</v>
      </c>
      <c r="H264" s="1048" t="s">
        <v>2334</v>
      </c>
    </row>
    <row r="265" spans="1:8" ht="15">
      <c r="A265" s="180" t="s">
        <v>980</v>
      </c>
      <c r="B265" s="181" t="s">
        <v>979</v>
      </c>
      <c r="C265" s="1057" t="s">
        <v>75</v>
      </c>
      <c r="D265" s="1057" t="s">
        <v>89</v>
      </c>
      <c r="G265" s="1048" t="s">
        <v>2335</v>
      </c>
      <c r="H265" s="1048" t="s">
        <v>2336</v>
      </c>
    </row>
    <row r="266" spans="1:8" ht="15">
      <c r="A266" s="1052" t="s">
        <v>843</v>
      </c>
      <c r="B266" s="184" t="s">
        <v>842</v>
      </c>
      <c r="C266" s="1057" t="s">
        <v>75</v>
      </c>
      <c r="D266" s="1057" t="s">
        <v>89</v>
      </c>
      <c r="G266" s="1048" t="s">
        <v>2852</v>
      </c>
      <c r="H266" s="1048" t="s">
        <v>2853</v>
      </c>
    </row>
    <row r="267" spans="1:8" ht="15">
      <c r="A267" s="180" t="s">
        <v>982</v>
      </c>
      <c r="B267" s="181" t="s">
        <v>981</v>
      </c>
      <c r="C267" s="1057" t="s">
        <v>75</v>
      </c>
      <c r="D267" s="1057" t="s">
        <v>89</v>
      </c>
      <c r="G267" s="1048" t="s">
        <v>2830</v>
      </c>
      <c r="H267" s="1048" t="s">
        <v>2831</v>
      </c>
    </row>
    <row r="268" spans="1:8" ht="15">
      <c r="A268" s="1052" t="s">
        <v>1649</v>
      </c>
      <c r="B268" s="184" t="s">
        <v>1580</v>
      </c>
      <c r="C268" s="1057" t="s">
        <v>75</v>
      </c>
      <c r="D268" s="1057" t="s">
        <v>89</v>
      </c>
      <c r="G268" s="1048" t="s">
        <v>2337</v>
      </c>
      <c r="H268" s="1048" t="s">
        <v>2338</v>
      </c>
    </row>
    <row r="269" spans="1:8" ht="15">
      <c r="A269" s="1052" t="s">
        <v>845</v>
      </c>
      <c r="B269" s="184" t="s">
        <v>844</v>
      </c>
      <c r="C269" s="1057" t="s">
        <v>75</v>
      </c>
      <c r="D269" s="1057" t="s">
        <v>89</v>
      </c>
      <c r="G269" s="1048" t="s">
        <v>2618</v>
      </c>
      <c r="H269" s="1048" t="s">
        <v>2619</v>
      </c>
    </row>
    <row r="270" spans="1:8" ht="15">
      <c r="A270" s="180" t="s">
        <v>984</v>
      </c>
      <c r="B270" s="181" t="s">
        <v>983</v>
      </c>
      <c r="C270" s="1057" t="s">
        <v>75</v>
      </c>
      <c r="D270" s="1057" t="s">
        <v>89</v>
      </c>
      <c r="G270" s="1048" t="s">
        <v>2458</v>
      </c>
      <c r="H270" s="1048" t="s">
        <v>2459</v>
      </c>
    </row>
    <row r="271" spans="1:8" ht="15">
      <c r="A271" s="1052" t="s">
        <v>1653</v>
      </c>
      <c r="B271" s="184" t="s">
        <v>1584</v>
      </c>
      <c r="C271" s="1057" t="s">
        <v>75</v>
      </c>
      <c r="D271" s="1057" t="s">
        <v>89</v>
      </c>
      <c r="G271" s="1048" t="s">
        <v>2339</v>
      </c>
      <c r="H271" s="1048" t="s">
        <v>2340</v>
      </c>
    </row>
    <row r="272" spans="1:8" ht="15">
      <c r="A272" s="1052" t="s">
        <v>1655</v>
      </c>
      <c r="B272" s="184" t="s">
        <v>1586</v>
      </c>
      <c r="C272" s="1057" t="s">
        <v>75</v>
      </c>
      <c r="D272" s="1057" t="s">
        <v>89</v>
      </c>
      <c r="G272" s="1048" t="s">
        <v>2341</v>
      </c>
      <c r="H272" s="1048" t="s">
        <v>2342</v>
      </c>
    </row>
    <row r="273" spans="1:8" ht="15">
      <c r="A273" s="184" t="s">
        <v>301</v>
      </c>
      <c r="B273" s="184" t="s">
        <v>300</v>
      </c>
      <c r="C273" s="1057" t="s">
        <v>75</v>
      </c>
      <c r="D273" s="1057" t="s">
        <v>89</v>
      </c>
      <c r="G273" s="1048" t="s">
        <v>2343</v>
      </c>
      <c r="H273" s="1048" t="s">
        <v>2344</v>
      </c>
    </row>
    <row r="274" spans="1:8" ht="15">
      <c r="A274" s="180" t="s">
        <v>986</v>
      </c>
      <c r="B274" s="181" t="s">
        <v>985</v>
      </c>
      <c r="C274" s="1057" t="s">
        <v>75</v>
      </c>
      <c r="D274" s="1057" t="s">
        <v>89</v>
      </c>
      <c r="G274" s="1048" t="s">
        <v>2038</v>
      </c>
      <c r="H274" s="1048" t="s">
        <v>2827</v>
      </c>
    </row>
    <row r="275" spans="1:8" ht="15">
      <c r="A275" s="184" t="s">
        <v>1658</v>
      </c>
      <c r="B275" s="184" t="s">
        <v>1587</v>
      </c>
      <c r="C275" s="1057" t="s">
        <v>75</v>
      </c>
      <c r="D275" s="1057" t="s">
        <v>89</v>
      </c>
      <c r="G275" s="1048" t="s">
        <v>2672</v>
      </c>
      <c r="H275" s="1048" t="s">
        <v>2673</v>
      </c>
    </row>
    <row r="276" spans="1:8" ht="15">
      <c r="A276" s="1052" t="s">
        <v>374</v>
      </c>
      <c r="B276" s="184" t="s">
        <v>373</v>
      </c>
      <c r="C276" s="1057" t="s">
        <v>75</v>
      </c>
      <c r="D276" s="1057" t="s">
        <v>89</v>
      </c>
      <c r="G276" s="1048" t="s">
        <v>2006</v>
      </c>
      <c r="H276" s="1048" t="s">
        <v>2848</v>
      </c>
    </row>
    <row r="277" spans="1:8" ht="15">
      <c r="A277" s="180" t="s">
        <v>988</v>
      </c>
      <c r="B277" s="181" t="s">
        <v>987</v>
      </c>
      <c r="C277" s="1057" t="s">
        <v>75</v>
      </c>
      <c r="D277" s="1057" t="s">
        <v>89</v>
      </c>
      <c r="G277" s="1048" t="s">
        <v>2828</v>
      </c>
      <c r="H277" s="1048" t="s">
        <v>2829</v>
      </c>
    </row>
    <row r="278" spans="1:8" ht="15">
      <c r="A278" s="1052" t="s">
        <v>1664</v>
      </c>
      <c r="B278" s="184" t="s">
        <v>1592</v>
      </c>
      <c r="C278" s="1057" t="s">
        <v>75</v>
      </c>
      <c r="D278" s="1057" t="s">
        <v>89</v>
      </c>
      <c r="G278" s="1048" t="s">
        <v>2566</v>
      </c>
      <c r="H278" s="1048" t="s">
        <v>2567</v>
      </c>
    </row>
    <row r="279" spans="1:8" ht="15">
      <c r="A279" s="173" t="s">
        <v>1717</v>
      </c>
      <c r="B279" s="184" t="s">
        <v>1718</v>
      </c>
      <c r="C279" s="1057" t="s">
        <v>75</v>
      </c>
      <c r="D279" s="1057" t="s">
        <v>90</v>
      </c>
      <c r="G279" s="1048" t="s">
        <v>2791</v>
      </c>
      <c r="H279" s="1048" t="s">
        <v>2792</v>
      </c>
    </row>
    <row r="280" spans="1:8" ht="15">
      <c r="A280" s="1052" t="s">
        <v>377</v>
      </c>
      <c r="B280" s="184" t="s">
        <v>1594</v>
      </c>
      <c r="C280" s="1057" t="s">
        <v>75</v>
      </c>
      <c r="D280" s="1057" t="s">
        <v>89</v>
      </c>
      <c r="G280" s="1048" t="s">
        <v>2777</v>
      </c>
      <c r="H280" s="1048" t="s">
        <v>2778</v>
      </c>
    </row>
    <row r="281" spans="1:8" ht="15">
      <c r="A281" s="1052" t="s">
        <v>1675</v>
      </c>
      <c r="B281" s="184" t="s">
        <v>1603</v>
      </c>
      <c r="C281" s="1057" t="s">
        <v>75</v>
      </c>
      <c r="D281" s="1057" t="s">
        <v>89</v>
      </c>
      <c r="G281" s="1048" t="s">
        <v>2345</v>
      </c>
      <c r="H281" s="1048" t="s">
        <v>2346</v>
      </c>
    </row>
    <row r="282" spans="1:8" ht="15">
      <c r="A282" s="1052" t="s">
        <v>351</v>
      </c>
      <c r="B282" s="184" t="s">
        <v>350</v>
      </c>
      <c r="C282" s="1057" t="s">
        <v>75</v>
      </c>
      <c r="D282" s="1057" t="s">
        <v>89</v>
      </c>
      <c r="G282" s="1048" t="s">
        <v>2725</v>
      </c>
      <c r="H282" s="1048" t="s">
        <v>2726</v>
      </c>
    </row>
    <row r="283" spans="1:8" ht="15">
      <c r="A283" s="180" t="s">
        <v>990</v>
      </c>
      <c r="B283" s="181" t="s">
        <v>989</v>
      </c>
      <c r="C283" s="1057" t="s">
        <v>75</v>
      </c>
      <c r="D283" s="1057" t="s">
        <v>89</v>
      </c>
      <c r="G283" s="1048" t="s">
        <v>2348</v>
      </c>
      <c r="H283" s="1048" t="s">
        <v>2349</v>
      </c>
    </row>
    <row r="284" spans="1:8" ht="15">
      <c r="A284" s="1052" t="s">
        <v>1667</v>
      </c>
      <c r="B284" s="184" t="s">
        <v>1596</v>
      </c>
      <c r="C284" s="1057" t="s">
        <v>75</v>
      </c>
      <c r="D284" s="1057" t="s">
        <v>89</v>
      </c>
      <c r="G284" s="1048" t="s">
        <v>2071</v>
      </c>
      <c r="H284" s="1048" t="s">
        <v>2802</v>
      </c>
    </row>
    <row r="285" spans="1:8" ht="15">
      <c r="A285" s="1052" t="s">
        <v>376</v>
      </c>
      <c r="B285" s="184" t="s">
        <v>375</v>
      </c>
      <c r="C285" s="1057" t="s">
        <v>75</v>
      </c>
      <c r="D285" s="1057" t="s">
        <v>89</v>
      </c>
      <c r="G285" s="1048" t="s">
        <v>2144</v>
      </c>
      <c r="H285" s="1048" t="s">
        <v>2713</v>
      </c>
    </row>
    <row r="286" spans="1:8" ht="15">
      <c r="A286" s="180" t="s">
        <v>992</v>
      </c>
      <c r="B286" s="181" t="s">
        <v>991</v>
      </c>
      <c r="C286" s="1057" t="s">
        <v>75</v>
      </c>
      <c r="D286" s="1057" t="s">
        <v>89</v>
      </c>
      <c r="G286" s="1048" t="s">
        <v>2687</v>
      </c>
      <c r="H286" s="1048" t="s">
        <v>2688</v>
      </c>
    </row>
    <row r="287" spans="1:8" ht="15">
      <c r="A287" s="1052" t="s">
        <v>1669</v>
      </c>
      <c r="B287" s="184" t="s">
        <v>1598</v>
      </c>
      <c r="C287" s="1057" t="s">
        <v>75</v>
      </c>
      <c r="D287" s="1057" t="s">
        <v>89</v>
      </c>
      <c r="G287" s="1048" t="s">
        <v>2789</v>
      </c>
      <c r="H287" s="1048" t="s">
        <v>2790</v>
      </c>
    </row>
    <row r="288" spans="1:8" ht="15">
      <c r="A288" s="1052" t="s">
        <v>349</v>
      </c>
      <c r="B288" s="184" t="s">
        <v>348</v>
      </c>
      <c r="C288" s="1057" t="s">
        <v>75</v>
      </c>
      <c r="D288" s="1057" t="s">
        <v>89</v>
      </c>
      <c r="G288" s="1048" t="s">
        <v>2350</v>
      </c>
      <c r="H288" s="1048" t="s">
        <v>2351</v>
      </c>
    </row>
    <row r="289" spans="1:8" ht="15">
      <c r="A289" s="180" t="s">
        <v>994</v>
      </c>
      <c r="B289" s="181" t="s">
        <v>993</v>
      </c>
      <c r="C289" s="1057" t="s">
        <v>75</v>
      </c>
      <c r="D289" s="1057" t="s">
        <v>89</v>
      </c>
      <c r="G289" s="1048" t="s">
        <v>2352</v>
      </c>
      <c r="H289" s="1048" t="s">
        <v>2353</v>
      </c>
    </row>
    <row r="290" spans="1:8" ht="15">
      <c r="A290" s="1052" t="s">
        <v>1672</v>
      </c>
      <c r="B290" s="184" t="s">
        <v>1601</v>
      </c>
      <c r="C290" s="1057" t="s">
        <v>75</v>
      </c>
      <c r="D290" s="1057" t="s">
        <v>89</v>
      </c>
      <c r="G290" s="1048" t="s">
        <v>2798</v>
      </c>
      <c r="H290" s="1048" t="s">
        <v>2799</v>
      </c>
    </row>
    <row r="291" spans="1:8" ht="15">
      <c r="A291" s="173" t="s">
        <v>1713</v>
      </c>
      <c r="B291" s="184" t="s">
        <v>1714</v>
      </c>
      <c r="C291" s="1057" t="s">
        <v>75</v>
      </c>
      <c r="D291" s="1057" t="s">
        <v>90</v>
      </c>
      <c r="G291" s="1048" t="s">
        <v>2808</v>
      </c>
      <c r="H291" s="1048" t="s">
        <v>2809</v>
      </c>
    </row>
    <row r="292" spans="1:8" ht="15">
      <c r="A292" s="1052" t="s">
        <v>1677</v>
      </c>
      <c r="B292" s="184" t="s">
        <v>1605</v>
      </c>
      <c r="C292" s="1057" t="s">
        <v>75</v>
      </c>
      <c r="D292" s="1057" t="s">
        <v>89</v>
      </c>
      <c r="G292" s="1048" t="s">
        <v>2767</v>
      </c>
      <c r="H292" s="1048" t="s">
        <v>2768</v>
      </c>
    </row>
    <row r="293" spans="1:8" ht="15">
      <c r="A293" s="1052" t="s">
        <v>1681</v>
      </c>
      <c r="B293" s="1059" t="s">
        <v>1609</v>
      </c>
      <c r="C293" s="1057" t="s">
        <v>75</v>
      </c>
      <c r="D293" s="1057" t="s">
        <v>89</v>
      </c>
      <c r="G293" s="1048" t="s">
        <v>2832</v>
      </c>
      <c r="H293" s="1048" t="s">
        <v>2833</v>
      </c>
    </row>
    <row r="294" spans="1:8" ht="15">
      <c r="A294" s="1052" t="s">
        <v>847</v>
      </c>
      <c r="B294" s="1059" t="s">
        <v>846</v>
      </c>
      <c r="C294" s="1057" t="s">
        <v>75</v>
      </c>
      <c r="D294" s="1057" t="s">
        <v>89</v>
      </c>
      <c r="G294" s="1048" t="s">
        <v>2658</v>
      </c>
      <c r="H294" s="1048" t="s">
        <v>2705</v>
      </c>
    </row>
    <row r="295" spans="1:8" ht="15">
      <c r="A295" s="180" t="s">
        <v>996</v>
      </c>
      <c r="B295" s="182" t="s">
        <v>995</v>
      </c>
      <c r="C295" s="1057" t="s">
        <v>75</v>
      </c>
      <c r="D295" s="1057" t="s">
        <v>89</v>
      </c>
      <c r="G295" s="1048" t="s">
        <v>2814</v>
      </c>
      <c r="H295" s="1048" t="s">
        <v>2815</v>
      </c>
    </row>
    <row r="296" spans="1:8" ht="15">
      <c r="A296" s="1052" t="s">
        <v>370</v>
      </c>
      <c r="B296" s="1059" t="s">
        <v>369</v>
      </c>
      <c r="C296" s="1057" t="s">
        <v>75</v>
      </c>
      <c r="D296" s="1057" t="s">
        <v>89</v>
      </c>
      <c r="G296" s="1048" t="s">
        <v>2811</v>
      </c>
      <c r="H296" s="1048" t="s">
        <v>2812</v>
      </c>
    </row>
    <row r="297" spans="1:8" ht="15">
      <c r="A297" s="180" t="s">
        <v>998</v>
      </c>
      <c r="B297" s="182" t="s">
        <v>997</v>
      </c>
      <c r="C297" s="1057" t="s">
        <v>75</v>
      </c>
      <c r="D297" s="1057" t="s">
        <v>89</v>
      </c>
      <c r="G297" s="1048" t="s">
        <v>2658</v>
      </c>
      <c r="H297" s="1048" t="s">
        <v>2659</v>
      </c>
    </row>
    <row r="298" spans="1:8" ht="15">
      <c r="A298" s="1052" t="s">
        <v>284</v>
      </c>
      <c r="B298" s="184" t="s">
        <v>283</v>
      </c>
      <c r="C298" s="1057" t="s">
        <v>75</v>
      </c>
      <c r="D298" s="1057" t="s">
        <v>90</v>
      </c>
      <c r="G298" s="1048" t="s">
        <v>2460</v>
      </c>
      <c r="H298" s="1048" t="s">
        <v>2728</v>
      </c>
    </row>
    <row r="299" spans="1:8" ht="15">
      <c r="A299" s="180" t="s">
        <v>1000</v>
      </c>
      <c r="B299" s="181" t="s">
        <v>999</v>
      </c>
      <c r="C299" s="1057" t="s">
        <v>75</v>
      </c>
      <c r="D299" s="1057" t="s">
        <v>90</v>
      </c>
      <c r="G299" s="1048" t="s">
        <v>2460</v>
      </c>
      <c r="H299" s="1048" t="s">
        <v>2461</v>
      </c>
    </row>
    <row r="300" spans="1:8" ht="15">
      <c r="A300" s="1052" t="s">
        <v>315</v>
      </c>
      <c r="B300" s="184" t="s">
        <v>314</v>
      </c>
      <c r="C300" s="1057" t="s">
        <v>75</v>
      </c>
      <c r="D300" s="1057" t="s">
        <v>90</v>
      </c>
      <c r="G300" s="1048" t="s">
        <v>2754</v>
      </c>
      <c r="H300" s="1048" t="s">
        <v>2755</v>
      </c>
    </row>
    <row r="301" spans="1:8" ht="15">
      <c r="A301" s="180" t="s">
        <v>1002</v>
      </c>
      <c r="B301" s="181" t="s">
        <v>1001</v>
      </c>
      <c r="C301" s="1057" t="s">
        <v>75</v>
      </c>
      <c r="D301" s="1057" t="s">
        <v>90</v>
      </c>
      <c r="G301" s="1048" t="s">
        <v>2787</v>
      </c>
      <c r="H301" s="1048" t="s">
        <v>2788</v>
      </c>
    </row>
    <row r="302" spans="1:8" ht="15">
      <c r="A302" s="173" t="s">
        <v>1730</v>
      </c>
      <c r="B302" s="184" t="s">
        <v>1731</v>
      </c>
      <c r="C302" s="1057" t="s">
        <v>75</v>
      </c>
      <c r="D302" s="1057" t="s">
        <v>90</v>
      </c>
      <c r="G302" s="1048" t="s">
        <v>2668</v>
      </c>
      <c r="H302" s="1048" t="s">
        <v>2669</v>
      </c>
    </row>
    <row r="303" spans="1:8" ht="15">
      <c r="A303" s="1052" t="s">
        <v>286</v>
      </c>
      <c r="B303" s="184" t="s">
        <v>1611</v>
      </c>
      <c r="C303" s="1057" t="s">
        <v>75</v>
      </c>
      <c r="D303" s="1057" t="s">
        <v>89</v>
      </c>
      <c r="G303" s="1048" t="s">
        <v>2794</v>
      </c>
      <c r="H303" s="1048" t="s">
        <v>2795</v>
      </c>
    </row>
    <row r="304" spans="1:8" ht="15">
      <c r="A304" s="1052" t="s">
        <v>1687</v>
      </c>
      <c r="B304" s="184" t="s">
        <v>1613</v>
      </c>
      <c r="C304" s="1057" t="s">
        <v>75</v>
      </c>
      <c r="D304" s="1057" t="s">
        <v>89</v>
      </c>
      <c r="G304" s="1048" t="s">
        <v>2816</v>
      </c>
      <c r="H304" s="1048" t="s">
        <v>2817</v>
      </c>
    </row>
    <row r="305" spans="1:8" ht="15">
      <c r="A305" s="1052" t="s">
        <v>1689</v>
      </c>
      <c r="B305" s="184" t="s">
        <v>1615</v>
      </c>
      <c r="C305" s="1057" t="s">
        <v>75</v>
      </c>
      <c r="D305" s="1057" t="s">
        <v>89</v>
      </c>
      <c r="G305" s="1048" t="s">
        <v>2820</v>
      </c>
      <c r="H305" s="1048" t="s">
        <v>2821</v>
      </c>
    </row>
    <row r="306" spans="1:8" ht="15">
      <c r="A306" s="1052" t="s">
        <v>849</v>
      </c>
      <c r="B306" s="184" t="s">
        <v>848</v>
      </c>
      <c r="C306" s="1057" t="s">
        <v>75</v>
      </c>
      <c r="D306" s="1057" t="s">
        <v>89</v>
      </c>
      <c r="G306" s="1048" t="s">
        <v>2729</v>
      </c>
      <c r="H306" s="1048" t="s">
        <v>2730</v>
      </c>
    </row>
    <row r="307" spans="1:8" ht="15">
      <c r="A307" s="180" t="s">
        <v>1004</v>
      </c>
      <c r="B307" s="181" t="s">
        <v>1003</v>
      </c>
      <c r="C307" s="1057" t="s">
        <v>75</v>
      </c>
      <c r="D307" s="1057" t="s">
        <v>89</v>
      </c>
      <c r="G307" s="1048" t="s">
        <v>2462</v>
      </c>
      <c r="H307" s="1048" t="s">
        <v>2137</v>
      </c>
    </row>
    <row r="308" spans="1:8" ht="15">
      <c r="A308" s="1052" t="s">
        <v>379</v>
      </c>
      <c r="B308" s="184" t="s">
        <v>378</v>
      </c>
      <c r="C308" s="1057" t="s">
        <v>75</v>
      </c>
      <c r="D308" s="1057" t="s">
        <v>89</v>
      </c>
      <c r="G308" s="1048" t="s">
        <v>2135</v>
      </c>
      <c r="H308" s="1048" t="s">
        <v>2136</v>
      </c>
    </row>
    <row r="309" spans="1:8" ht="15">
      <c r="A309" s="181" t="s">
        <v>1006</v>
      </c>
      <c r="B309" s="181" t="s">
        <v>1005</v>
      </c>
      <c r="C309" s="1057" t="s">
        <v>75</v>
      </c>
      <c r="D309" s="1057" t="s">
        <v>89</v>
      </c>
      <c r="G309" s="1048" t="s">
        <v>2216</v>
      </c>
      <c r="H309" s="1048" t="s">
        <v>2217</v>
      </c>
    </row>
    <row r="310" spans="1:8" ht="15">
      <c r="A310" s="1052" t="s">
        <v>1691</v>
      </c>
      <c r="B310" s="184" t="s">
        <v>1617</v>
      </c>
      <c r="C310" s="1057" t="s">
        <v>75</v>
      </c>
      <c r="D310" s="1057" t="s">
        <v>89</v>
      </c>
      <c r="G310" s="1048" t="s">
        <v>1523</v>
      </c>
      <c r="H310" s="1048" t="s">
        <v>2781</v>
      </c>
    </row>
    <row r="311" spans="1:8" ht="15">
      <c r="A311" s="1052" t="s">
        <v>1693</v>
      </c>
      <c r="B311" s="184" t="s">
        <v>1619</v>
      </c>
      <c r="C311" s="1057" t="s">
        <v>75</v>
      </c>
      <c r="D311" s="1057" t="s">
        <v>89</v>
      </c>
      <c r="G311" s="1048" t="s">
        <v>1442</v>
      </c>
      <c r="H311" s="1048" t="s">
        <v>2770</v>
      </c>
    </row>
    <row r="312" spans="1:8" ht="15">
      <c r="A312" s="1052" t="s">
        <v>1695</v>
      </c>
      <c r="B312" s="184" t="s">
        <v>1621</v>
      </c>
      <c r="C312" s="1057" t="s">
        <v>75</v>
      </c>
      <c r="D312" s="1057" t="s">
        <v>89</v>
      </c>
      <c r="G312" s="1048" t="s">
        <v>399</v>
      </c>
      <c r="H312" s="1048" t="s">
        <v>2706</v>
      </c>
    </row>
    <row r="313" spans="1:8" ht="15">
      <c r="A313" s="1052" t="s">
        <v>851</v>
      </c>
      <c r="B313" s="184" t="s">
        <v>850</v>
      </c>
      <c r="C313" s="1057" t="s">
        <v>75</v>
      </c>
      <c r="D313" s="1057" t="s">
        <v>89</v>
      </c>
      <c r="G313" s="1048" t="s">
        <v>2757</v>
      </c>
      <c r="H313" s="1048" t="s">
        <v>2759</v>
      </c>
    </row>
    <row r="314" spans="1:8" ht="15">
      <c r="A314" s="181" t="s">
        <v>1008</v>
      </c>
      <c r="B314" s="181" t="s">
        <v>1007</v>
      </c>
      <c r="C314" s="1057" t="s">
        <v>75</v>
      </c>
      <c r="D314" s="1057" t="s">
        <v>89</v>
      </c>
      <c r="G314" s="1048" t="s">
        <v>938</v>
      </c>
      <c r="H314" s="1048" t="s">
        <v>2612</v>
      </c>
    </row>
    <row r="315" spans="1:8" ht="15">
      <c r="A315" s="1052" t="s">
        <v>388</v>
      </c>
      <c r="B315" s="184" t="s">
        <v>387</v>
      </c>
      <c r="C315" s="1057" t="s">
        <v>75</v>
      </c>
      <c r="D315" s="1057" t="s">
        <v>89</v>
      </c>
      <c r="G315" s="1048" t="s">
        <v>1407</v>
      </c>
      <c r="H315" s="1048" t="s">
        <v>2696</v>
      </c>
    </row>
    <row r="316" spans="1:8" ht="15">
      <c r="A316" s="181" t="s">
        <v>1010</v>
      </c>
      <c r="B316" s="181" t="s">
        <v>1009</v>
      </c>
      <c r="C316" s="1057" t="s">
        <v>75</v>
      </c>
      <c r="D316" s="1057" t="s">
        <v>89</v>
      </c>
      <c r="G316" s="1048" t="s">
        <v>1374</v>
      </c>
      <c r="H316" s="1048" t="s">
        <v>2113</v>
      </c>
    </row>
    <row r="317" spans="1:8" ht="15">
      <c r="A317" s="1052" t="s">
        <v>1697</v>
      </c>
      <c r="B317" s="184" t="s">
        <v>1623</v>
      </c>
      <c r="C317" s="1057" t="s">
        <v>75</v>
      </c>
      <c r="D317" s="1057" t="s">
        <v>89</v>
      </c>
      <c r="G317" s="1048" t="s">
        <v>2111</v>
      </c>
      <c r="H317" s="1048" t="s">
        <v>2112</v>
      </c>
    </row>
    <row r="318" spans="1:8" ht="15">
      <c r="A318" s="1052" t="s">
        <v>372</v>
      </c>
      <c r="B318" s="184" t="s">
        <v>371</v>
      </c>
      <c r="C318" s="1057" t="s">
        <v>75</v>
      </c>
      <c r="D318" s="1057" t="s">
        <v>89</v>
      </c>
      <c r="G318" s="1048" t="s">
        <v>1259</v>
      </c>
      <c r="H318" s="1048" t="s">
        <v>2648</v>
      </c>
    </row>
    <row r="319" spans="1:8" ht="15">
      <c r="A319" s="181" t="s">
        <v>1012</v>
      </c>
      <c r="B319" s="181" t="s">
        <v>1011</v>
      </c>
      <c r="C319" s="1057" t="s">
        <v>75</v>
      </c>
      <c r="D319" s="1057" t="s">
        <v>89</v>
      </c>
      <c r="G319" s="1048" t="s">
        <v>2624</v>
      </c>
      <c r="H319" s="1048" t="s">
        <v>2626</v>
      </c>
    </row>
    <row r="320" spans="1:8" ht="15">
      <c r="A320" s="1052" t="s">
        <v>333</v>
      </c>
      <c r="B320" s="184" t="s">
        <v>332</v>
      </c>
      <c r="C320" s="1057" t="s">
        <v>75</v>
      </c>
      <c r="D320" s="1057" t="s">
        <v>90</v>
      </c>
      <c r="G320" s="1048" t="s">
        <v>1342</v>
      </c>
      <c r="H320" s="1048" t="s">
        <v>2679</v>
      </c>
    </row>
    <row r="321" spans="1:8" ht="15">
      <c r="A321" s="181" t="s">
        <v>1014</v>
      </c>
      <c r="B321" s="181" t="s">
        <v>1013</v>
      </c>
      <c r="C321" s="1057" t="s">
        <v>75</v>
      </c>
      <c r="D321" s="1057" t="s">
        <v>90</v>
      </c>
      <c r="G321" s="1048" t="s">
        <v>1249</v>
      </c>
      <c r="H321" s="1048" t="s">
        <v>2735</v>
      </c>
    </row>
    <row r="322" spans="1:8" ht="15">
      <c r="A322" s="173" t="s">
        <v>1721</v>
      </c>
      <c r="B322" s="184" t="s">
        <v>1722</v>
      </c>
      <c r="C322" s="1057" t="s">
        <v>75</v>
      </c>
      <c r="D322" s="1057" t="s">
        <v>90</v>
      </c>
      <c r="G322" s="1048" t="s">
        <v>1445</v>
      </c>
      <c r="H322" s="1048" t="s">
        <v>2641</v>
      </c>
    </row>
    <row r="323" spans="1:8" ht="15">
      <c r="A323" s="1052" t="s">
        <v>1710</v>
      </c>
      <c r="B323" s="184" t="s">
        <v>1635</v>
      </c>
      <c r="C323" s="1057" t="s">
        <v>75</v>
      </c>
      <c r="D323" s="1057" t="s">
        <v>89</v>
      </c>
      <c r="G323" s="1048" t="s">
        <v>1252</v>
      </c>
      <c r="H323" s="1048" t="s">
        <v>2586</v>
      </c>
    </row>
    <row r="324" spans="1:8" ht="15">
      <c r="A324" s="1052" t="s">
        <v>853</v>
      </c>
      <c r="B324" s="184" t="s">
        <v>852</v>
      </c>
      <c r="C324" s="1057" t="s">
        <v>75</v>
      </c>
      <c r="D324" s="1057" t="s">
        <v>89</v>
      </c>
      <c r="G324" s="1048" t="s">
        <v>1283</v>
      </c>
      <c r="H324" s="1048" t="s">
        <v>2685</v>
      </c>
    </row>
    <row r="325" spans="1:8" ht="15">
      <c r="A325" s="181" t="s">
        <v>1016</v>
      </c>
      <c r="B325" s="181" t="s">
        <v>1015</v>
      </c>
      <c r="C325" s="1057" t="s">
        <v>75</v>
      </c>
      <c r="D325" s="1057" t="s">
        <v>89</v>
      </c>
      <c r="G325" s="1048" t="s">
        <v>1414</v>
      </c>
      <c r="H325" s="1048" t="s">
        <v>2694</v>
      </c>
    </row>
    <row r="326" spans="1:8" ht="15">
      <c r="A326" s="173" t="s">
        <v>395</v>
      </c>
      <c r="B326" s="172" t="s">
        <v>394</v>
      </c>
      <c r="C326" s="1057" t="s">
        <v>75</v>
      </c>
      <c r="D326" s="1057" t="s">
        <v>98</v>
      </c>
      <c r="G326" s="1048" t="s">
        <v>2354</v>
      </c>
      <c r="H326" s="1048" t="s">
        <v>2355</v>
      </c>
    </row>
    <row r="327" spans="1:8" ht="15">
      <c r="A327" s="181" t="s">
        <v>1018</v>
      </c>
      <c r="B327" s="181" t="s">
        <v>1017</v>
      </c>
      <c r="C327" s="1057" t="s">
        <v>75</v>
      </c>
      <c r="D327" s="1057">
        <v>0</v>
      </c>
      <c r="G327" s="1048" t="s">
        <v>1157</v>
      </c>
      <c r="H327" s="1048" t="s">
        <v>2563</v>
      </c>
    </row>
    <row r="328" spans="1:8" ht="15">
      <c r="A328" s="184" t="s">
        <v>1703</v>
      </c>
      <c r="B328" s="184" t="s">
        <v>1628</v>
      </c>
      <c r="C328" s="1057" t="s">
        <v>75</v>
      </c>
      <c r="D328" s="1057" t="s">
        <v>89</v>
      </c>
      <c r="G328" s="1048" t="s">
        <v>932</v>
      </c>
      <c r="H328" s="1048" t="s">
        <v>2159</v>
      </c>
    </row>
    <row r="329" spans="1:8" ht="15">
      <c r="A329" s="184" t="s">
        <v>1705</v>
      </c>
      <c r="B329" s="184" t="s">
        <v>1630</v>
      </c>
      <c r="C329" s="1057" t="s">
        <v>75</v>
      </c>
      <c r="D329" s="1057" t="s">
        <v>89</v>
      </c>
      <c r="G329" s="1048" t="s">
        <v>934</v>
      </c>
      <c r="H329" s="1048" t="s">
        <v>2561</v>
      </c>
    </row>
    <row r="330" spans="1:8" ht="15">
      <c r="A330" s="1052" t="s">
        <v>390</v>
      </c>
      <c r="B330" s="184" t="s">
        <v>389</v>
      </c>
      <c r="C330" s="1057" t="s">
        <v>75</v>
      </c>
      <c r="D330" s="1057" t="s">
        <v>89</v>
      </c>
      <c r="G330" s="1048" t="s">
        <v>1186</v>
      </c>
      <c r="H330" s="1048" t="s">
        <v>2632</v>
      </c>
    </row>
    <row r="331" spans="1:8" ht="15">
      <c r="A331" s="181" t="s">
        <v>1020</v>
      </c>
      <c r="B331" s="181" t="s">
        <v>1019</v>
      </c>
      <c r="C331" s="1057" t="s">
        <v>75</v>
      </c>
      <c r="D331" s="1057" t="s">
        <v>89</v>
      </c>
      <c r="G331" s="1048" t="s">
        <v>1180</v>
      </c>
      <c r="H331" s="1048" t="s">
        <v>2581</v>
      </c>
    </row>
    <row r="332" spans="1:8" ht="15">
      <c r="A332" s="173" t="s">
        <v>297</v>
      </c>
      <c r="B332" s="172" t="s">
        <v>296</v>
      </c>
      <c r="C332" s="1057" t="s">
        <v>75</v>
      </c>
      <c r="D332" s="1057" t="s">
        <v>95</v>
      </c>
      <c r="G332" s="1048" t="s">
        <v>2357</v>
      </c>
      <c r="H332" s="1048" t="s">
        <v>2358</v>
      </c>
    </row>
    <row r="333" spans="1:8" ht="15">
      <c r="A333" s="181" t="s">
        <v>1022</v>
      </c>
      <c r="B333" s="181" t="s">
        <v>1021</v>
      </c>
      <c r="C333" s="1057" t="s">
        <v>75</v>
      </c>
      <c r="D333" s="1057" t="s">
        <v>95</v>
      </c>
      <c r="G333" s="1048" t="s">
        <v>1286</v>
      </c>
      <c r="H333" s="1048" t="s">
        <v>2702</v>
      </c>
    </row>
    <row r="334" spans="1:8" ht="15">
      <c r="A334" s="180" t="s">
        <v>317</v>
      </c>
      <c r="B334" s="181" t="s">
        <v>316</v>
      </c>
      <c r="C334" s="1057" t="s">
        <v>75</v>
      </c>
      <c r="D334" s="1057" t="s">
        <v>94</v>
      </c>
      <c r="G334" s="1048" t="s">
        <v>1206</v>
      </c>
      <c r="H334" s="1048" t="s">
        <v>2588</v>
      </c>
    </row>
    <row r="335" spans="1:8" ht="15">
      <c r="A335" s="181" t="s">
        <v>1024</v>
      </c>
      <c r="B335" s="181" t="s">
        <v>1023</v>
      </c>
      <c r="C335" s="1057" t="s">
        <v>75</v>
      </c>
      <c r="D335" s="1057" t="s">
        <v>94</v>
      </c>
      <c r="G335" s="1048" t="s">
        <v>1154</v>
      </c>
      <c r="H335" s="1048" t="s">
        <v>2592</v>
      </c>
    </row>
    <row r="336" spans="1:8" ht="15">
      <c r="A336" s="180" t="s">
        <v>290</v>
      </c>
      <c r="B336" s="181" t="s">
        <v>289</v>
      </c>
      <c r="C336" s="1057" t="s">
        <v>75</v>
      </c>
      <c r="D336" s="1057" t="s">
        <v>94</v>
      </c>
      <c r="G336" s="1048" t="s">
        <v>1237</v>
      </c>
      <c r="H336" s="1048" t="s">
        <v>2637</v>
      </c>
    </row>
    <row r="337" spans="1:8" ht="15">
      <c r="A337" s="181" t="s">
        <v>1026</v>
      </c>
      <c r="B337" s="181" t="s">
        <v>1025</v>
      </c>
      <c r="C337" s="1057" t="s">
        <v>75</v>
      </c>
      <c r="D337" s="1057" t="s">
        <v>94</v>
      </c>
      <c r="G337" s="1048" t="s">
        <v>1315</v>
      </c>
      <c r="H337" s="1048" t="s">
        <v>2470</v>
      </c>
    </row>
    <row r="338" spans="1:8" ht="15">
      <c r="A338" s="173" t="s">
        <v>1725</v>
      </c>
      <c r="B338" s="184" t="s">
        <v>1632</v>
      </c>
      <c r="C338" s="1057" t="s">
        <v>75</v>
      </c>
      <c r="D338" s="1057" t="s">
        <v>90</v>
      </c>
      <c r="G338" s="1048" t="s">
        <v>1308</v>
      </c>
      <c r="H338" s="1048" t="s">
        <v>2662</v>
      </c>
    </row>
    <row r="339" spans="1:8" ht="15">
      <c r="A339" s="1052" t="s">
        <v>1708</v>
      </c>
      <c r="B339" s="184" t="s">
        <v>1633</v>
      </c>
      <c r="C339" s="1057" t="s">
        <v>75</v>
      </c>
      <c r="D339" s="1057" t="s">
        <v>89</v>
      </c>
      <c r="G339" s="1048" t="s">
        <v>1333</v>
      </c>
      <c r="H339" s="1048" t="s">
        <v>2653</v>
      </c>
    </row>
    <row r="340" spans="1:8" ht="15">
      <c r="A340" s="1052" t="s">
        <v>1701</v>
      </c>
      <c r="B340" s="184" t="s">
        <v>1626</v>
      </c>
      <c r="C340" s="1057" t="s">
        <v>75</v>
      </c>
      <c r="D340" s="1057" t="s">
        <v>89</v>
      </c>
      <c r="G340" s="1048" t="s">
        <v>936</v>
      </c>
      <c r="H340" s="1048" t="s">
        <v>2463</v>
      </c>
    </row>
    <row r="341" spans="1:8" ht="15">
      <c r="A341" s="1052" t="s">
        <v>855</v>
      </c>
      <c r="B341" s="184" t="s">
        <v>854</v>
      </c>
      <c r="C341" s="1057" t="s">
        <v>75</v>
      </c>
      <c r="D341" s="1057" t="s">
        <v>89</v>
      </c>
      <c r="G341" s="1048" t="s">
        <v>1332</v>
      </c>
      <c r="H341" s="1048" t="s">
        <v>2604</v>
      </c>
    </row>
    <row r="342" spans="1:8" ht="15">
      <c r="A342" s="181" t="s">
        <v>1028</v>
      </c>
      <c r="B342" s="181" t="s">
        <v>1027</v>
      </c>
      <c r="C342" s="1057" t="s">
        <v>75</v>
      </c>
      <c r="D342" s="1057" t="s">
        <v>89</v>
      </c>
      <c r="G342" s="1048" t="s">
        <v>1469</v>
      </c>
      <c r="H342" s="1048" t="s">
        <v>2709</v>
      </c>
    </row>
    <row r="343" spans="1:8" ht="15">
      <c r="A343" s="1052" t="s">
        <v>313</v>
      </c>
      <c r="B343" s="184" t="s">
        <v>312</v>
      </c>
      <c r="C343" s="1057" t="s">
        <v>75</v>
      </c>
      <c r="D343" s="1057" t="s">
        <v>90</v>
      </c>
      <c r="G343" s="1048" t="s">
        <v>1366</v>
      </c>
      <c r="H343" s="1048" t="s">
        <v>2594</v>
      </c>
    </row>
    <row r="344" spans="1:8" ht="15">
      <c r="A344" s="181" t="s">
        <v>1030</v>
      </c>
      <c r="B344" s="181" t="s">
        <v>1029</v>
      </c>
      <c r="C344" s="1057" t="s">
        <v>75</v>
      </c>
      <c r="D344" s="1057" t="s">
        <v>90</v>
      </c>
      <c r="G344" s="1048" t="s">
        <v>1362</v>
      </c>
      <c r="H344" s="1048" t="s">
        <v>2614</v>
      </c>
    </row>
    <row r="345" spans="1:8" ht="15">
      <c r="A345" s="180" t="s">
        <v>438</v>
      </c>
      <c r="B345" s="181" t="s">
        <v>437</v>
      </c>
      <c r="C345" s="1057" t="s">
        <v>75</v>
      </c>
      <c r="D345" s="1057" t="s">
        <v>96</v>
      </c>
      <c r="G345" s="1048" t="s">
        <v>1296</v>
      </c>
      <c r="H345" s="1048" t="s">
        <v>2597</v>
      </c>
    </row>
    <row r="346" spans="1:8" ht="15">
      <c r="A346" s="181" t="s">
        <v>1032</v>
      </c>
      <c r="B346" s="181" t="s">
        <v>1031</v>
      </c>
      <c r="C346" s="1057" t="s">
        <v>75</v>
      </c>
      <c r="D346" s="1057" t="s">
        <v>89</v>
      </c>
      <c r="G346" s="1048" t="s">
        <v>1395</v>
      </c>
      <c r="H346" s="1048" t="s">
        <v>2635</v>
      </c>
    </row>
    <row r="347" spans="1:8" ht="15">
      <c r="A347" s="173" t="s">
        <v>1734</v>
      </c>
      <c r="B347" s="172" t="s">
        <v>1735</v>
      </c>
      <c r="C347" s="1057" t="s">
        <v>144</v>
      </c>
      <c r="D347" s="1057" t="s">
        <v>146</v>
      </c>
      <c r="G347" s="1048" t="s">
        <v>1483</v>
      </c>
      <c r="H347" s="1048" t="s">
        <v>2780</v>
      </c>
    </row>
    <row r="348" spans="1:8" ht="15">
      <c r="A348" s="173" t="s">
        <v>857</v>
      </c>
      <c r="B348" s="172" t="s">
        <v>856</v>
      </c>
      <c r="C348" s="1057" t="s">
        <v>144</v>
      </c>
      <c r="D348" s="1057" t="s">
        <v>181</v>
      </c>
      <c r="G348" s="1048" t="s">
        <v>1442</v>
      </c>
      <c r="H348" s="1048" t="s">
        <v>2769</v>
      </c>
    </row>
    <row r="349" spans="1:8" ht="15">
      <c r="A349" s="181" t="s">
        <v>1034</v>
      </c>
      <c r="B349" s="181" t="s">
        <v>1033</v>
      </c>
      <c r="C349" s="1057" t="s">
        <v>144</v>
      </c>
      <c r="D349" s="1057" t="s">
        <v>146</v>
      </c>
      <c r="G349" s="1048" t="s">
        <v>1230</v>
      </c>
      <c r="H349" s="1048" t="s">
        <v>2751</v>
      </c>
    </row>
    <row r="350" spans="1:8" ht="15">
      <c r="A350" s="173" t="s">
        <v>509</v>
      </c>
      <c r="B350" s="172" t="s">
        <v>508</v>
      </c>
      <c r="C350" s="1057" t="s">
        <v>144</v>
      </c>
      <c r="D350" s="1057" t="s">
        <v>98</v>
      </c>
      <c r="G350" s="1048" t="s">
        <v>2757</v>
      </c>
      <c r="H350" s="1048" t="s">
        <v>2758</v>
      </c>
    </row>
    <row r="351" spans="1:8" ht="15">
      <c r="A351" s="181" t="s">
        <v>1036</v>
      </c>
      <c r="B351" s="181" t="s">
        <v>1035</v>
      </c>
      <c r="C351" s="1057" t="s">
        <v>144</v>
      </c>
      <c r="D351" s="1057" t="s">
        <v>98</v>
      </c>
      <c r="G351" s="1048" t="s">
        <v>938</v>
      </c>
      <c r="H351" s="1048" t="s">
        <v>2611</v>
      </c>
    </row>
    <row r="352" spans="1:8" ht="15">
      <c r="A352" s="173" t="s">
        <v>311</v>
      </c>
      <c r="B352" s="172" t="s">
        <v>310</v>
      </c>
      <c r="C352" s="1057" t="s">
        <v>144</v>
      </c>
      <c r="D352" s="1057" t="s">
        <v>150</v>
      </c>
      <c r="G352" s="1048" t="s">
        <v>1407</v>
      </c>
      <c r="H352" s="1048" t="s">
        <v>2695</v>
      </c>
    </row>
    <row r="353" spans="1:8" ht="15">
      <c r="A353" s="181" t="s">
        <v>1038</v>
      </c>
      <c r="B353" s="181" t="s">
        <v>1037</v>
      </c>
      <c r="C353" s="1057" t="s">
        <v>144</v>
      </c>
      <c r="D353" s="1057" t="s">
        <v>150</v>
      </c>
      <c r="G353" s="1048" t="s">
        <v>2359</v>
      </c>
      <c r="H353" s="1048" t="s">
        <v>2360</v>
      </c>
    </row>
    <row r="354" spans="1:8" ht="15">
      <c r="A354" s="173" t="s">
        <v>295</v>
      </c>
      <c r="B354" s="172" t="s">
        <v>294</v>
      </c>
      <c r="C354" s="1057" t="s">
        <v>144</v>
      </c>
      <c r="D354" s="1057" t="s">
        <v>150</v>
      </c>
      <c r="G354" s="1048" t="s">
        <v>1374</v>
      </c>
      <c r="H354" s="1048" t="s">
        <v>2774</v>
      </c>
    </row>
    <row r="355" spans="1:8" ht="15">
      <c r="A355" s="181" t="s">
        <v>1040</v>
      </c>
      <c r="B355" s="181" t="s">
        <v>1039</v>
      </c>
      <c r="C355" s="1057" t="s">
        <v>144</v>
      </c>
      <c r="D355" s="1057" t="s">
        <v>150</v>
      </c>
      <c r="G355" s="1048" t="s">
        <v>2148</v>
      </c>
      <c r="H355" s="1048" t="s">
        <v>2149</v>
      </c>
    </row>
    <row r="356" spans="1:8" ht="15">
      <c r="A356" s="173" t="s">
        <v>1825</v>
      </c>
      <c r="B356" s="172" t="s">
        <v>1826</v>
      </c>
      <c r="C356" s="1057" t="s">
        <v>144</v>
      </c>
      <c r="D356" s="1057" t="s">
        <v>146</v>
      </c>
      <c r="G356" s="1048" t="s">
        <v>2361</v>
      </c>
      <c r="H356" s="1048" t="s">
        <v>2362</v>
      </c>
    </row>
    <row r="357" spans="1:8" ht="15">
      <c r="A357" s="172" t="s">
        <v>1865</v>
      </c>
      <c r="B357" s="172" t="s">
        <v>1866</v>
      </c>
      <c r="C357" s="1057" t="s">
        <v>144</v>
      </c>
      <c r="D357" s="1057" t="s">
        <v>146</v>
      </c>
      <c r="G357" s="1048" t="s">
        <v>1259</v>
      </c>
      <c r="H357" s="1048" t="s">
        <v>2674</v>
      </c>
    </row>
    <row r="358" spans="1:8" ht="15">
      <c r="A358" s="173" t="s">
        <v>1843</v>
      </c>
      <c r="B358" s="172" t="s">
        <v>1844</v>
      </c>
      <c r="C358" s="1057" t="s">
        <v>144</v>
      </c>
      <c r="D358" s="1057" t="s">
        <v>146</v>
      </c>
      <c r="G358" s="1048" t="s">
        <v>2624</v>
      </c>
      <c r="H358" s="1048" t="s">
        <v>2748</v>
      </c>
    </row>
    <row r="359" spans="1:8" ht="15">
      <c r="A359" s="173" t="s">
        <v>1855</v>
      </c>
      <c r="B359" s="172" t="s">
        <v>1856</v>
      </c>
      <c r="C359" s="1057" t="s">
        <v>144</v>
      </c>
      <c r="D359" s="1057" t="s">
        <v>146</v>
      </c>
      <c r="G359" s="1048" t="s">
        <v>1342</v>
      </c>
      <c r="H359" s="1048" t="s">
        <v>2707</v>
      </c>
    </row>
    <row r="360" spans="1:8" ht="15">
      <c r="A360" s="173" t="s">
        <v>1739</v>
      </c>
      <c r="B360" s="172" t="s">
        <v>1740</v>
      </c>
      <c r="C360" s="1057" t="s">
        <v>144</v>
      </c>
      <c r="D360" s="1057" t="s">
        <v>146</v>
      </c>
      <c r="G360" s="1048" t="s">
        <v>1412</v>
      </c>
      <c r="H360" s="1048" t="s">
        <v>2776</v>
      </c>
    </row>
    <row r="361" spans="1:8" ht="15">
      <c r="A361" s="173" t="s">
        <v>1739</v>
      </c>
      <c r="B361" s="172" t="s">
        <v>1740</v>
      </c>
      <c r="C361" s="1057" t="s">
        <v>144</v>
      </c>
      <c r="D361" s="1057" t="s">
        <v>146</v>
      </c>
      <c r="G361" s="1048" t="s">
        <v>1211</v>
      </c>
      <c r="H361" s="1048" t="s">
        <v>2712</v>
      </c>
    </row>
    <row r="362" spans="1:8" ht="15">
      <c r="A362" s="173" t="s">
        <v>1831</v>
      </c>
      <c r="B362" s="172" t="s">
        <v>1832</v>
      </c>
      <c r="C362" s="1057" t="s">
        <v>144</v>
      </c>
      <c r="D362" s="1057" t="s">
        <v>181</v>
      </c>
      <c r="G362" s="1048" t="s">
        <v>1252</v>
      </c>
      <c r="H362" s="1048" t="s">
        <v>2697</v>
      </c>
    </row>
    <row r="363" spans="1:8" ht="15">
      <c r="A363" s="173" t="s">
        <v>1837</v>
      </c>
      <c r="B363" s="172" t="s">
        <v>1838</v>
      </c>
      <c r="C363" s="1057" t="s">
        <v>144</v>
      </c>
      <c r="D363" s="1057" t="s">
        <v>181</v>
      </c>
      <c r="G363" s="1048" t="s">
        <v>1283</v>
      </c>
      <c r="H363" s="1048" t="s">
        <v>2717</v>
      </c>
    </row>
    <row r="364" spans="1:8" ht="15">
      <c r="A364" s="173" t="s">
        <v>1849</v>
      </c>
      <c r="B364" s="172" t="s">
        <v>1850</v>
      </c>
      <c r="C364" s="1057" t="s">
        <v>144</v>
      </c>
      <c r="D364" s="1057" t="s">
        <v>181</v>
      </c>
      <c r="G364" s="1048" t="s">
        <v>1305</v>
      </c>
      <c r="H364" s="1048" t="s">
        <v>2719</v>
      </c>
    </row>
    <row r="365" spans="1:8" ht="15">
      <c r="A365" s="173" t="s">
        <v>1819</v>
      </c>
      <c r="B365" s="172" t="s">
        <v>1820</v>
      </c>
      <c r="C365" s="1057" t="s">
        <v>144</v>
      </c>
      <c r="D365" s="1057" t="s">
        <v>146</v>
      </c>
      <c r="G365" s="1048" t="s">
        <v>2363</v>
      </c>
      <c r="H365" s="1048" t="s">
        <v>2364</v>
      </c>
    </row>
    <row r="366" spans="1:8" ht="15">
      <c r="A366" s="173" t="s">
        <v>1861</v>
      </c>
      <c r="B366" s="172" t="s">
        <v>1862</v>
      </c>
      <c r="C366" s="1057" t="s">
        <v>144</v>
      </c>
      <c r="D366" s="1057" t="s">
        <v>181</v>
      </c>
      <c r="G366" s="1048" t="s">
        <v>1157</v>
      </c>
      <c r="H366" s="1048" t="s">
        <v>2565</v>
      </c>
    </row>
    <row r="367" spans="1:8" ht="15">
      <c r="A367" s="173" t="s">
        <v>331</v>
      </c>
      <c r="B367" s="172" t="s">
        <v>330</v>
      </c>
      <c r="C367" s="1057" t="s">
        <v>155</v>
      </c>
      <c r="D367" s="1057" t="s">
        <v>159</v>
      </c>
      <c r="G367" s="1048" t="s">
        <v>932</v>
      </c>
      <c r="H367" s="1048" t="s">
        <v>2464</v>
      </c>
    </row>
    <row r="368" spans="1:8" ht="15">
      <c r="A368" s="181" t="s">
        <v>1042</v>
      </c>
      <c r="B368" s="181" t="s">
        <v>1041</v>
      </c>
      <c r="C368" s="1057" t="s">
        <v>155</v>
      </c>
      <c r="D368" s="1057" t="s">
        <v>159</v>
      </c>
      <c r="G368" s="1048" t="s">
        <v>934</v>
      </c>
      <c r="H368" s="1048" t="s">
        <v>2564</v>
      </c>
    </row>
    <row r="369" spans="1:8" ht="15">
      <c r="A369" s="173" t="s">
        <v>501</v>
      </c>
      <c r="B369" s="172" t="s">
        <v>500</v>
      </c>
      <c r="C369" s="1057" t="s">
        <v>155</v>
      </c>
      <c r="D369" s="1057" t="s">
        <v>163</v>
      </c>
      <c r="G369" s="1048" t="s">
        <v>1186</v>
      </c>
      <c r="H369" s="1048" t="s">
        <v>2649</v>
      </c>
    </row>
    <row r="370" spans="1:8" ht="15">
      <c r="A370" s="181" t="s">
        <v>1044</v>
      </c>
      <c r="B370" s="181" t="s">
        <v>1043</v>
      </c>
      <c r="C370" s="1057" t="s">
        <v>155</v>
      </c>
      <c r="D370" s="1057" t="s">
        <v>163</v>
      </c>
      <c r="G370" s="1048" t="s">
        <v>1180</v>
      </c>
      <c r="H370" s="1048" t="s">
        <v>2584</v>
      </c>
    </row>
    <row r="371" spans="1:8" ht="15">
      <c r="A371" s="173" t="s">
        <v>353</v>
      </c>
      <c r="B371" s="172" t="s">
        <v>352</v>
      </c>
      <c r="C371" s="1057" t="s">
        <v>155</v>
      </c>
      <c r="D371" s="1057" t="s">
        <v>161</v>
      </c>
      <c r="G371" s="1048" t="s">
        <v>1286</v>
      </c>
      <c r="H371" s="1048" t="s">
        <v>2723</v>
      </c>
    </row>
    <row r="372" spans="1:8" ht="15">
      <c r="A372" s="181" t="s">
        <v>1046</v>
      </c>
      <c r="B372" s="181" t="s">
        <v>1045</v>
      </c>
      <c r="C372" s="1057" t="s">
        <v>155</v>
      </c>
      <c r="D372" s="1057" t="s">
        <v>161</v>
      </c>
      <c r="G372" s="1048" t="s">
        <v>1206</v>
      </c>
      <c r="H372" s="1048" t="s">
        <v>2602</v>
      </c>
    </row>
    <row r="373" spans="1:8" ht="15">
      <c r="A373" s="173" t="s">
        <v>337</v>
      </c>
      <c r="B373" s="172" t="s">
        <v>336</v>
      </c>
      <c r="C373" s="1057" t="s">
        <v>155</v>
      </c>
      <c r="D373" s="1057" t="s">
        <v>162</v>
      </c>
      <c r="G373" s="1048" t="s">
        <v>1154</v>
      </c>
      <c r="H373" s="1048" t="s">
        <v>2595</v>
      </c>
    </row>
    <row r="374" spans="1:8" ht="15">
      <c r="A374" s="180" t="s">
        <v>1048</v>
      </c>
      <c r="B374" s="181" t="s">
        <v>1047</v>
      </c>
      <c r="C374" s="1057" t="s">
        <v>155</v>
      </c>
      <c r="D374" s="1057" t="s">
        <v>162</v>
      </c>
      <c r="G374" s="1048" t="s">
        <v>1237</v>
      </c>
      <c r="H374" s="1048" t="s">
        <v>2666</v>
      </c>
    </row>
    <row r="375" spans="1:8" ht="15">
      <c r="A375" s="173" t="s">
        <v>531</v>
      </c>
      <c r="B375" s="172" t="s">
        <v>530</v>
      </c>
      <c r="C375" s="1057" t="s">
        <v>155</v>
      </c>
      <c r="D375" s="1057" t="s">
        <v>161</v>
      </c>
      <c r="G375" s="1048" t="s">
        <v>1247</v>
      </c>
      <c r="H375" s="1048" t="s">
        <v>2676</v>
      </c>
    </row>
    <row r="376" spans="1:8" ht="15">
      <c r="A376" s="180" t="s">
        <v>1050</v>
      </c>
      <c r="B376" s="181" t="s">
        <v>1049</v>
      </c>
      <c r="C376" s="1057" t="s">
        <v>155</v>
      </c>
      <c r="D376" s="1057" t="s">
        <v>161</v>
      </c>
      <c r="G376" s="1048" t="s">
        <v>1308</v>
      </c>
      <c r="H376" s="1048" t="s">
        <v>2698</v>
      </c>
    </row>
    <row r="377" spans="1:8" ht="15">
      <c r="A377" s="173" t="s">
        <v>1873</v>
      </c>
      <c r="B377" s="172" t="s">
        <v>1874</v>
      </c>
      <c r="C377" s="1057" t="s">
        <v>1646</v>
      </c>
      <c r="D377" s="1057" t="s">
        <v>167</v>
      </c>
      <c r="G377" s="1048" t="s">
        <v>1333</v>
      </c>
      <c r="H377" s="1048" t="s">
        <v>2680</v>
      </c>
    </row>
    <row r="378" spans="1:8" ht="15">
      <c r="A378" s="173" t="s">
        <v>415</v>
      </c>
      <c r="B378" s="172" t="s">
        <v>414</v>
      </c>
      <c r="C378" s="1057" t="s">
        <v>175</v>
      </c>
      <c r="D378" s="1057" t="s">
        <v>187</v>
      </c>
      <c r="G378" s="1048" t="s">
        <v>936</v>
      </c>
      <c r="H378" s="1048" t="s">
        <v>2465</v>
      </c>
    </row>
    <row r="379" spans="1:8" ht="15">
      <c r="A379" s="180" t="s">
        <v>1052</v>
      </c>
      <c r="B379" s="181" t="s">
        <v>1051</v>
      </c>
      <c r="C379" s="1057" t="s">
        <v>155</v>
      </c>
      <c r="D379" s="1057" t="s">
        <v>89</v>
      </c>
      <c r="G379" s="1048" t="s">
        <v>1380</v>
      </c>
      <c r="H379" s="1048" t="s">
        <v>2633</v>
      </c>
    </row>
    <row r="380" spans="1:8" ht="15">
      <c r="A380" s="173" t="s">
        <v>1879</v>
      </c>
      <c r="B380" s="172" t="s">
        <v>1880</v>
      </c>
      <c r="C380" s="1057" t="s">
        <v>155</v>
      </c>
      <c r="D380" s="1057" t="s">
        <v>1700</v>
      </c>
      <c r="G380" s="1048" t="s">
        <v>1462</v>
      </c>
      <c r="H380" s="1048" t="s">
        <v>2724</v>
      </c>
    </row>
    <row r="381" spans="1:8" ht="15">
      <c r="A381" s="173" t="s">
        <v>473</v>
      </c>
      <c r="B381" s="172" t="s">
        <v>472</v>
      </c>
      <c r="C381" s="1057" t="s">
        <v>155</v>
      </c>
      <c r="D381" s="1057" t="s">
        <v>167</v>
      </c>
      <c r="G381" s="1048" t="s">
        <v>1290</v>
      </c>
      <c r="H381" s="1048" t="s">
        <v>2615</v>
      </c>
    </row>
    <row r="382" spans="1:8" ht="15">
      <c r="A382" s="180" t="s">
        <v>1054</v>
      </c>
      <c r="B382" s="181" t="s">
        <v>1053</v>
      </c>
      <c r="C382" s="1057" t="s">
        <v>155</v>
      </c>
      <c r="D382" s="1057" t="s">
        <v>167</v>
      </c>
      <c r="G382" s="1048" t="s">
        <v>1203</v>
      </c>
      <c r="H382" s="1048" t="s">
        <v>2651</v>
      </c>
    </row>
    <row r="383" spans="1:8" ht="15">
      <c r="A383" s="173" t="s">
        <v>547</v>
      </c>
      <c r="B383" s="172" t="s">
        <v>546</v>
      </c>
      <c r="C383" s="1057" t="s">
        <v>155</v>
      </c>
      <c r="D383" s="1057" t="s">
        <v>167</v>
      </c>
      <c r="G383" s="1048" t="s">
        <v>1393</v>
      </c>
      <c r="H383" s="1048" t="s">
        <v>2620</v>
      </c>
    </row>
    <row r="384" spans="1:8" ht="15">
      <c r="A384" s="180" t="s">
        <v>1056</v>
      </c>
      <c r="B384" s="181" t="s">
        <v>1055</v>
      </c>
      <c r="C384" s="1057" t="s">
        <v>155</v>
      </c>
      <c r="D384" s="1057" t="s">
        <v>167</v>
      </c>
      <c r="G384" s="1048" t="s">
        <v>1318</v>
      </c>
      <c r="H384" s="1048" t="s">
        <v>2664</v>
      </c>
    </row>
    <row r="385" spans="1:8" ht="15">
      <c r="A385" s="173" t="s">
        <v>413</v>
      </c>
      <c r="B385" s="172" t="s">
        <v>412</v>
      </c>
      <c r="C385" s="1057" t="s">
        <v>155</v>
      </c>
      <c r="D385" s="1057" t="s">
        <v>167</v>
      </c>
      <c r="G385" s="1048" t="s">
        <v>1403</v>
      </c>
      <c r="H385" s="1048" t="s">
        <v>2743</v>
      </c>
    </row>
    <row r="386" spans="1:8" ht="15">
      <c r="A386" s="181" t="s">
        <v>1058</v>
      </c>
      <c r="B386" s="181" t="s">
        <v>1057</v>
      </c>
      <c r="C386" s="1057" t="s">
        <v>155</v>
      </c>
      <c r="D386" s="1057" t="s">
        <v>167</v>
      </c>
      <c r="G386" s="1048" t="s">
        <v>1450</v>
      </c>
      <c r="H386" s="1048" t="s">
        <v>2677</v>
      </c>
    </row>
    <row r="387" spans="1:8" ht="15">
      <c r="A387" s="173" t="s">
        <v>453</v>
      </c>
      <c r="B387" s="172" t="s">
        <v>452</v>
      </c>
      <c r="C387" s="1057" t="s">
        <v>171</v>
      </c>
      <c r="D387" s="1057" t="s">
        <v>172</v>
      </c>
      <c r="G387" s="1048" t="s">
        <v>1374</v>
      </c>
      <c r="H387" s="1048" t="s">
        <v>2714</v>
      </c>
    </row>
    <row r="388" spans="1:8" ht="15">
      <c r="A388" s="181" t="s">
        <v>1060</v>
      </c>
      <c r="B388" s="181" t="s">
        <v>1059</v>
      </c>
      <c r="C388" s="1057" t="s">
        <v>171</v>
      </c>
      <c r="D388" s="1057" t="s">
        <v>172</v>
      </c>
      <c r="G388" s="1048" t="s">
        <v>1259</v>
      </c>
      <c r="H388" s="1048" t="s">
        <v>2711</v>
      </c>
    </row>
    <row r="389" spans="1:8" ht="15">
      <c r="A389" s="173" t="s">
        <v>859</v>
      </c>
      <c r="B389" s="172" t="s">
        <v>858</v>
      </c>
      <c r="C389" s="1057" t="s">
        <v>171</v>
      </c>
      <c r="D389" s="1057" t="s">
        <v>172</v>
      </c>
      <c r="G389" s="1048" t="s">
        <v>2624</v>
      </c>
      <c r="H389" s="1048" t="s">
        <v>2771</v>
      </c>
    </row>
    <row r="390" spans="1:8" ht="15">
      <c r="A390" s="181" t="s">
        <v>1062</v>
      </c>
      <c r="B390" s="181" t="s">
        <v>1061</v>
      </c>
      <c r="C390" s="1057" t="s">
        <v>171</v>
      </c>
      <c r="D390" s="1057" t="s">
        <v>172</v>
      </c>
      <c r="G390" s="1048" t="s">
        <v>1266</v>
      </c>
      <c r="H390" s="1048" t="s">
        <v>2766</v>
      </c>
    </row>
    <row r="391" spans="1:8" ht="15">
      <c r="A391" s="173" t="s">
        <v>513</v>
      </c>
      <c r="B391" s="172" t="s">
        <v>512</v>
      </c>
      <c r="C391" s="1057" t="s">
        <v>171</v>
      </c>
      <c r="D391" s="1057" t="s">
        <v>172</v>
      </c>
      <c r="G391" s="1048" t="s">
        <v>1249</v>
      </c>
      <c r="H391" s="1048" t="s">
        <v>2805</v>
      </c>
    </row>
    <row r="392" spans="1:8" ht="15">
      <c r="A392" s="181" t="s">
        <v>1064</v>
      </c>
      <c r="B392" s="181" t="s">
        <v>1063</v>
      </c>
      <c r="C392" s="1057" t="s">
        <v>171</v>
      </c>
      <c r="D392" s="1057" t="s">
        <v>172</v>
      </c>
      <c r="G392" s="1048" t="s">
        <v>1330</v>
      </c>
      <c r="H392" s="1048" t="s">
        <v>2810</v>
      </c>
    </row>
    <row r="393" spans="1:8" ht="15">
      <c r="A393" s="173" t="s">
        <v>327</v>
      </c>
      <c r="B393" s="172" t="s">
        <v>326</v>
      </c>
      <c r="C393" s="1057" t="s">
        <v>144</v>
      </c>
      <c r="D393" s="1057" t="s">
        <v>146</v>
      </c>
      <c r="G393" s="1048" t="s">
        <v>1448</v>
      </c>
      <c r="H393" s="1048" t="s">
        <v>2793</v>
      </c>
    </row>
    <row r="394" spans="1:8" ht="15">
      <c r="A394" s="181" t="s">
        <v>1066</v>
      </c>
      <c r="B394" s="181" t="s">
        <v>1065</v>
      </c>
      <c r="C394" s="1057" t="s">
        <v>144</v>
      </c>
      <c r="D394" s="1057" t="s">
        <v>146</v>
      </c>
      <c r="G394" s="1048" t="s">
        <v>1252</v>
      </c>
      <c r="H394" s="1048" t="s">
        <v>2732</v>
      </c>
    </row>
    <row r="395" spans="1:8" ht="15">
      <c r="A395" s="173" t="s">
        <v>1789</v>
      </c>
      <c r="B395" s="172" t="s">
        <v>1790</v>
      </c>
      <c r="C395" s="1057" t="s">
        <v>144</v>
      </c>
      <c r="D395" s="1057" t="s">
        <v>146</v>
      </c>
      <c r="G395" s="1048" t="s">
        <v>1283</v>
      </c>
      <c r="H395" s="1048" t="s">
        <v>2779</v>
      </c>
    </row>
    <row r="396" spans="1:8" ht="15">
      <c r="A396" s="181" t="s">
        <v>1068</v>
      </c>
      <c r="B396" s="181" t="s">
        <v>1067</v>
      </c>
      <c r="C396" s="1057" t="s">
        <v>144</v>
      </c>
      <c r="D396" s="1057" t="s">
        <v>146</v>
      </c>
      <c r="G396" s="1048" t="s">
        <v>1220</v>
      </c>
      <c r="H396" s="1048" t="s">
        <v>2608</v>
      </c>
    </row>
    <row r="397" spans="1:8" ht="15">
      <c r="A397" s="173" t="s">
        <v>321</v>
      </c>
      <c r="B397" s="172" t="s">
        <v>320</v>
      </c>
      <c r="C397" s="1057" t="s">
        <v>144</v>
      </c>
      <c r="D397" s="1057" t="s">
        <v>146</v>
      </c>
      <c r="G397" s="1048" t="s">
        <v>1305</v>
      </c>
      <c r="H397" s="1048" t="s">
        <v>2742</v>
      </c>
    </row>
    <row r="398" spans="1:8" ht="15">
      <c r="A398" s="181" t="s">
        <v>1070</v>
      </c>
      <c r="B398" s="181" t="s">
        <v>1069</v>
      </c>
      <c r="C398" s="1057" t="s">
        <v>144</v>
      </c>
      <c r="D398" s="1057" t="s">
        <v>146</v>
      </c>
      <c r="G398" s="1048" t="s">
        <v>2365</v>
      </c>
      <c r="H398" s="1048" t="s">
        <v>2366</v>
      </c>
    </row>
    <row r="399" spans="1:8" ht="15">
      <c r="A399" s="173" t="s">
        <v>1792</v>
      </c>
      <c r="B399" s="172" t="s">
        <v>1793</v>
      </c>
      <c r="C399" s="1057" t="s">
        <v>144</v>
      </c>
      <c r="D399" s="1057" t="s">
        <v>146</v>
      </c>
      <c r="G399" s="1048" t="s">
        <v>1178</v>
      </c>
      <c r="H399" s="1048" t="s">
        <v>2466</v>
      </c>
    </row>
    <row r="400" spans="1:8" ht="15">
      <c r="A400" s="173" t="s">
        <v>861</v>
      </c>
      <c r="B400" s="172" t="s">
        <v>860</v>
      </c>
      <c r="C400" s="1057" t="s">
        <v>144</v>
      </c>
      <c r="D400" s="1057" t="s">
        <v>146</v>
      </c>
      <c r="G400" s="1048" t="s">
        <v>1157</v>
      </c>
      <c r="H400" s="1048" t="s">
        <v>2655</v>
      </c>
    </row>
    <row r="401" spans="1:8" ht="15">
      <c r="A401" s="181" t="s">
        <v>1072</v>
      </c>
      <c r="B401" s="181" t="s">
        <v>1071</v>
      </c>
      <c r="C401" s="1057" t="s">
        <v>144</v>
      </c>
      <c r="D401" s="1057" t="s">
        <v>146</v>
      </c>
      <c r="G401" s="1048" t="s">
        <v>932</v>
      </c>
      <c r="H401" s="1048" t="s">
        <v>2158</v>
      </c>
    </row>
    <row r="402" spans="1:8" ht="15">
      <c r="A402" s="173" t="s">
        <v>357</v>
      </c>
      <c r="B402" s="172" t="s">
        <v>356</v>
      </c>
      <c r="C402" s="1057" t="s">
        <v>144</v>
      </c>
      <c r="D402" s="1057" t="s">
        <v>146</v>
      </c>
      <c r="G402" s="1048" t="s">
        <v>934</v>
      </c>
      <c r="H402" s="1048" t="s">
        <v>2572</v>
      </c>
    </row>
    <row r="403" spans="1:8" ht="15">
      <c r="A403" s="181" t="s">
        <v>1074</v>
      </c>
      <c r="B403" s="181" t="s">
        <v>1073</v>
      </c>
      <c r="C403" s="1057" t="s">
        <v>144</v>
      </c>
      <c r="D403" s="1057" t="s">
        <v>146</v>
      </c>
      <c r="G403" s="1048" t="s">
        <v>1527</v>
      </c>
      <c r="H403" s="1048" t="s">
        <v>2801</v>
      </c>
    </row>
    <row r="404" spans="1:8" ht="15">
      <c r="A404" s="173" t="s">
        <v>329</v>
      </c>
      <c r="B404" s="172" t="s">
        <v>328</v>
      </c>
      <c r="C404" s="1057" t="s">
        <v>144</v>
      </c>
      <c r="D404" s="1057" t="s">
        <v>146</v>
      </c>
      <c r="G404" s="1048" t="s">
        <v>1180</v>
      </c>
      <c r="H404" s="1048" t="s">
        <v>2609</v>
      </c>
    </row>
    <row r="405" spans="1:8" ht="15">
      <c r="A405" s="181" t="s">
        <v>1076</v>
      </c>
      <c r="B405" s="181" t="s">
        <v>1075</v>
      </c>
      <c r="C405" s="1057" t="s">
        <v>144</v>
      </c>
      <c r="D405" s="1057" t="s">
        <v>146</v>
      </c>
      <c r="G405" s="1048" t="s">
        <v>1286</v>
      </c>
      <c r="H405" s="1048" t="s">
        <v>2745</v>
      </c>
    </row>
    <row r="406" spans="1:8" ht="15">
      <c r="A406" s="173" t="s">
        <v>299</v>
      </c>
      <c r="B406" s="172" t="s">
        <v>298</v>
      </c>
      <c r="C406" s="1057" t="s">
        <v>144</v>
      </c>
      <c r="D406" s="1057" t="s">
        <v>146</v>
      </c>
      <c r="G406" s="1048" t="s">
        <v>1206</v>
      </c>
      <c r="H406" s="1048" t="s">
        <v>2644</v>
      </c>
    </row>
    <row r="407" spans="1:8" ht="15">
      <c r="A407" s="181" t="s">
        <v>1078</v>
      </c>
      <c r="B407" s="181" t="s">
        <v>1077</v>
      </c>
      <c r="C407" s="1057" t="s">
        <v>144</v>
      </c>
      <c r="D407" s="1057" t="s">
        <v>146</v>
      </c>
      <c r="G407" s="1048" t="s">
        <v>1154</v>
      </c>
      <c r="H407" s="1048" t="s">
        <v>2645</v>
      </c>
    </row>
    <row r="408" spans="1:8" ht="15">
      <c r="A408" s="173" t="s">
        <v>1797</v>
      </c>
      <c r="B408" s="172" t="s">
        <v>1798</v>
      </c>
      <c r="C408" s="1057" t="s">
        <v>144</v>
      </c>
      <c r="D408" s="1057" t="s">
        <v>146</v>
      </c>
      <c r="G408" s="1048" t="s">
        <v>1237</v>
      </c>
      <c r="H408" s="1048" t="s">
        <v>2700</v>
      </c>
    </row>
    <row r="409" spans="1:8" ht="15">
      <c r="A409" s="173" t="s">
        <v>403</v>
      </c>
      <c r="B409" s="172" t="s">
        <v>402</v>
      </c>
      <c r="C409" s="1057" t="s">
        <v>144</v>
      </c>
      <c r="D409" s="1057" t="s">
        <v>146</v>
      </c>
      <c r="G409" s="1048" t="s">
        <v>1292</v>
      </c>
      <c r="H409" s="1048" t="s">
        <v>2656</v>
      </c>
    </row>
    <row r="410" spans="1:8" ht="15">
      <c r="A410" s="181" t="s">
        <v>1080</v>
      </c>
      <c r="B410" s="181" t="s">
        <v>1079</v>
      </c>
      <c r="C410" s="1057" t="s">
        <v>144</v>
      </c>
      <c r="D410" s="1057" t="s">
        <v>146</v>
      </c>
      <c r="G410" s="1048" t="s">
        <v>1308</v>
      </c>
      <c r="H410" s="1048" t="s">
        <v>2736</v>
      </c>
    </row>
    <row r="411" spans="1:8" ht="15">
      <c r="A411" s="173" t="s">
        <v>863</v>
      </c>
      <c r="B411" s="172" t="s">
        <v>862</v>
      </c>
      <c r="C411" s="1057" t="s">
        <v>144</v>
      </c>
      <c r="D411" s="1057" t="s">
        <v>146</v>
      </c>
      <c r="G411" s="1048" t="s">
        <v>1333</v>
      </c>
      <c r="H411" s="1048" t="s">
        <v>2716</v>
      </c>
    </row>
    <row r="412" spans="1:8" ht="15">
      <c r="A412" s="181" t="s">
        <v>1082</v>
      </c>
      <c r="B412" s="181" t="s">
        <v>1081</v>
      </c>
      <c r="C412" s="1057" t="s">
        <v>144</v>
      </c>
      <c r="D412" s="1057" t="s">
        <v>146</v>
      </c>
      <c r="G412" s="1048" t="s">
        <v>936</v>
      </c>
      <c r="H412" s="1048" t="s">
        <v>2607</v>
      </c>
    </row>
    <row r="413" spans="1:8" ht="15">
      <c r="A413" s="173" t="s">
        <v>1802</v>
      </c>
      <c r="B413" s="172" t="s">
        <v>1803</v>
      </c>
      <c r="C413" s="1057" t="s">
        <v>144</v>
      </c>
      <c r="D413" s="1057" t="s">
        <v>146</v>
      </c>
      <c r="G413" s="1048" t="s">
        <v>1168</v>
      </c>
      <c r="H413" s="1048" t="s">
        <v>2638</v>
      </c>
    </row>
    <row r="414" spans="1:8" ht="15">
      <c r="A414" s="173" t="s">
        <v>1807</v>
      </c>
      <c r="B414" s="172" t="s">
        <v>1808</v>
      </c>
      <c r="C414" s="1057" t="s">
        <v>144</v>
      </c>
      <c r="D414" s="1057" t="s">
        <v>146</v>
      </c>
      <c r="G414" s="1048" t="s">
        <v>1311</v>
      </c>
      <c r="H414" s="1048" t="s">
        <v>2670</v>
      </c>
    </row>
    <row r="415" spans="1:8" ht="15">
      <c r="A415" s="173" t="s">
        <v>865</v>
      </c>
      <c r="B415" s="172" t="s">
        <v>864</v>
      </c>
      <c r="C415" s="1057" t="s">
        <v>144</v>
      </c>
      <c r="D415" s="1057" t="s">
        <v>146</v>
      </c>
      <c r="G415" s="1048" t="s">
        <v>1452</v>
      </c>
      <c r="H415" s="1048" t="s">
        <v>2756</v>
      </c>
    </row>
    <row r="416" spans="1:8" ht="15">
      <c r="A416" s="181" t="s">
        <v>1084</v>
      </c>
      <c r="B416" s="181" t="s">
        <v>1083</v>
      </c>
      <c r="C416" s="1057" t="s">
        <v>144</v>
      </c>
      <c r="D416" s="1057" t="s">
        <v>146</v>
      </c>
      <c r="G416" s="1048" t="s">
        <v>1347</v>
      </c>
      <c r="H416" s="1048" t="s">
        <v>2657</v>
      </c>
    </row>
    <row r="417" spans="1:8" ht="15">
      <c r="A417" s="173" t="s">
        <v>1812</v>
      </c>
      <c r="B417" s="172" t="s">
        <v>1813</v>
      </c>
      <c r="C417" s="1057" t="s">
        <v>144</v>
      </c>
      <c r="D417" s="1057" t="s">
        <v>146</v>
      </c>
      <c r="G417" s="1048" t="s">
        <v>1340</v>
      </c>
      <c r="H417" s="1048" t="s">
        <v>2681</v>
      </c>
    </row>
    <row r="418" spans="1:8" ht="15">
      <c r="A418" s="173" t="s">
        <v>1210</v>
      </c>
      <c r="B418" s="172" t="s">
        <v>1209</v>
      </c>
      <c r="C418" s="1057" t="s">
        <v>144</v>
      </c>
      <c r="D418" s="1057" t="s">
        <v>146</v>
      </c>
      <c r="G418" s="1048" t="s">
        <v>1274</v>
      </c>
      <c r="H418" s="1048" t="s">
        <v>2663</v>
      </c>
    </row>
    <row r="419" spans="1:8" ht="15">
      <c r="A419" s="173" t="s">
        <v>867</v>
      </c>
      <c r="B419" s="172" t="s">
        <v>866</v>
      </c>
      <c r="C419" s="1057" t="s">
        <v>144</v>
      </c>
      <c r="D419" s="1057" t="s">
        <v>147</v>
      </c>
      <c r="G419" s="1048" t="s">
        <v>1367</v>
      </c>
      <c r="H419" s="1048" t="s">
        <v>2699</v>
      </c>
    </row>
    <row r="420" spans="1:8" ht="15">
      <c r="A420" s="181" t="s">
        <v>1086</v>
      </c>
      <c r="B420" s="181" t="s">
        <v>1085</v>
      </c>
      <c r="C420" s="1057" t="s">
        <v>144</v>
      </c>
      <c r="D420" s="1057" t="s">
        <v>147</v>
      </c>
      <c r="G420" s="1048" t="s">
        <v>399</v>
      </c>
      <c r="H420" s="1048" t="s">
        <v>2627</v>
      </c>
    </row>
    <row r="421" spans="1:8" ht="15">
      <c r="A421" s="173" t="s">
        <v>1747</v>
      </c>
      <c r="B421" s="172" t="s">
        <v>1748</v>
      </c>
      <c r="C421" s="1057" t="s">
        <v>144</v>
      </c>
      <c r="D421" s="1057" t="s">
        <v>147</v>
      </c>
      <c r="G421" s="1048" t="s">
        <v>2368</v>
      </c>
      <c r="H421" s="1048" t="s">
        <v>2369</v>
      </c>
    </row>
    <row r="422" spans="1:8" ht="15">
      <c r="A422" s="173" t="s">
        <v>869</v>
      </c>
      <c r="B422" s="172" t="s">
        <v>868</v>
      </c>
      <c r="C422" s="1057" t="s">
        <v>144</v>
      </c>
      <c r="D422" s="1057" t="s">
        <v>147</v>
      </c>
      <c r="G422" s="1048" t="s">
        <v>1374</v>
      </c>
      <c r="H422" s="1048" t="s">
        <v>2559</v>
      </c>
    </row>
    <row r="423" spans="1:8" ht="15">
      <c r="A423" s="180" t="s">
        <v>1088</v>
      </c>
      <c r="B423" s="181" t="s">
        <v>1087</v>
      </c>
      <c r="C423" s="1057" t="s">
        <v>144</v>
      </c>
      <c r="D423" s="1057" t="s">
        <v>147</v>
      </c>
      <c r="G423" s="1048" t="s">
        <v>2370</v>
      </c>
      <c r="H423" s="1048" t="s">
        <v>2371</v>
      </c>
    </row>
    <row r="424" spans="1:8" ht="15">
      <c r="A424" s="173" t="s">
        <v>1751</v>
      </c>
      <c r="B424" s="172" t="s">
        <v>1752</v>
      </c>
      <c r="C424" s="1057" t="s">
        <v>144</v>
      </c>
      <c r="D424" s="1057" t="s">
        <v>147</v>
      </c>
      <c r="G424" s="1048" t="s">
        <v>1259</v>
      </c>
      <c r="H424" s="1048" t="s">
        <v>2647</v>
      </c>
    </row>
    <row r="425" spans="1:8" ht="15">
      <c r="A425" s="173" t="s">
        <v>1755</v>
      </c>
      <c r="B425" s="172" t="s">
        <v>1756</v>
      </c>
      <c r="C425" s="1057" t="s">
        <v>144</v>
      </c>
      <c r="D425" s="1057" t="s">
        <v>147</v>
      </c>
      <c r="G425" s="1048" t="s">
        <v>2624</v>
      </c>
      <c r="H425" s="1048" t="s">
        <v>2625</v>
      </c>
    </row>
    <row r="426" spans="1:8" ht="15">
      <c r="A426" s="173" t="s">
        <v>1759</v>
      </c>
      <c r="B426" s="172" t="s">
        <v>1760</v>
      </c>
      <c r="C426" s="1057" t="s">
        <v>144</v>
      </c>
      <c r="D426" s="1057" t="s">
        <v>147</v>
      </c>
      <c r="G426" s="1048" t="s">
        <v>1266</v>
      </c>
      <c r="H426" s="1048" t="s">
        <v>2678</v>
      </c>
    </row>
    <row r="427" spans="1:8" ht="15">
      <c r="A427" s="173" t="s">
        <v>1763</v>
      </c>
      <c r="B427" s="172" t="s">
        <v>1764</v>
      </c>
      <c r="C427" s="1057" t="s">
        <v>144</v>
      </c>
      <c r="D427" s="1057" t="s">
        <v>147</v>
      </c>
      <c r="G427" s="1048" t="s">
        <v>1249</v>
      </c>
      <c r="H427" s="1048" t="s">
        <v>2734</v>
      </c>
    </row>
    <row r="428" spans="1:8" ht="15">
      <c r="A428" s="173" t="s">
        <v>426</v>
      </c>
      <c r="B428" s="172" t="s">
        <v>425</v>
      </c>
      <c r="C428" s="1057" t="s">
        <v>144</v>
      </c>
      <c r="D428" s="1057" t="s">
        <v>147</v>
      </c>
      <c r="G428" s="1048" t="s">
        <v>1330</v>
      </c>
      <c r="H428" s="1048" t="s">
        <v>2720</v>
      </c>
    </row>
    <row r="429" spans="1:8" ht="15">
      <c r="A429" s="180" t="s">
        <v>1090</v>
      </c>
      <c r="B429" s="181" t="s">
        <v>1089</v>
      </c>
      <c r="C429" s="1057" t="s">
        <v>144</v>
      </c>
      <c r="D429" s="1057" t="s">
        <v>147</v>
      </c>
      <c r="G429" s="1048" t="s">
        <v>1211</v>
      </c>
      <c r="H429" s="1048" t="s">
        <v>2640</v>
      </c>
    </row>
    <row r="430" spans="1:8" ht="15">
      <c r="A430" s="173" t="s">
        <v>1767</v>
      </c>
      <c r="B430" s="172" t="s">
        <v>1768</v>
      </c>
      <c r="C430" s="1057" t="s">
        <v>144</v>
      </c>
      <c r="D430" s="1057" t="s">
        <v>147</v>
      </c>
      <c r="G430" s="1048" t="s">
        <v>1252</v>
      </c>
      <c r="H430" s="1048" t="s">
        <v>2585</v>
      </c>
    </row>
    <row r="431" spans="1:8" ht="15">
      <c r="A431" s="173" t="s">
        <v>1771</v>
      </c>
      <c r="B431" s="172" t="s">
        <v>1772</v>
      </c>
      <c r="C431" s="1057" t="s">
        <v>144</v>
      </c>
      <c r="D431" s="1057" t="s">
        <v>147</v>
      </c>
      <c r="G431" s="1048" t="s">
        <v>1283</v>
      </c>
      <c r="H431" s="1048" t="s">
        <v>2684</v>
      </c>
    </row>
    <row r="432" spans="1:8" ht="15">
      <c r="A432" s="173" t="s">
        <v>1775</v>
      </c>
      <c r="B432" s="172" t="s">
        <v>1776</v>
      </c>
      <c r="C432" s="1057" t="s">
        <v>144</v>
      </c>
      <c r="D432" s="1057" t="s">
        <v>147</v>
      </c>
      <c r="G432" s="1048" t="s">
        <v>1305</v>
      </c>
      <c r="H432" s="1048" t="s">
        <v>2693</v>
      </c>
    </row>
    <row r="433" spans="1:8" ht="15">
      <c r="A433" s="173" t="s">
        <v>1779</v>
      </c>
      <c r="B433" s="172" t="s">
        <v>1780</v>
      </c>
      <c r="C433" s="1057" t="s">
        <v>144</v>
      </c>
      <c r="D433" s="1057" t="s">
        <v>147</v>
      </c>
      <c r="G433" s="1048" t="s">
        <v>2372</v>
      </c>
      <c r="H433" s="1048" t="s">
        <v>2373</v>
      </c>
    </row>
    <row r="434" spans="1:8" ht="15">
      <c r="A434" s="173" t="s">
        <v>871</v>
      </c>
      <c r="B434" s="172" t="s">
        <v>870</v>
      </c>
      <c r="C434" s="1057" t="s">
        <v>144</v>
      </c>
      <c r="D434" s="1057" t="s">
        <v>147</v>
      </c>
      <c r="G434" s="1048" t="s">
        <v>1157</v>
      </c>
      <c r="H434" s="1048" t="s">
        <v>2562</v>
      </c>
    </row>
    <row r="435" spans="1:8" ht="15">
      <c r="A435" s="180" t="s">
        <v>1092</v>
      </c>
      <c r="B435" s="181" t="s">
        <v>1091</v>
      </c>
      <c r="C435" s="1057" t="s">
        <v>144</v>
      </c>
      <c r="D435" s="1057" t="s">
        <v>147</v>
      </c>
      <c r="G435" s="1048" t="s">
        <v>1196</v>
      </c>
      <c r="H435" s="1048" t="s">
        <v>2468</v>
      </c>
    </row>
    <row r="436" spans="1:8" ht="15">
      <c r="A436" s="173" t="s">
        <v>1783</v>
      </c>
      <c r="B436" s="172" t="s">
        <v>1784</v>
      </c>
      <c r="C436" s="1057" t="s">
        <v>144</v>
      </c>
      <c r="D436" s="1057" t="s">
        <v>147</v>
      </c>
      <c r="G436" s="1048" t="s">
        <v>934</v>
      </c>
      <c r="H436" s="1048" t="s">
        <v>2560</v>
      </c>
    </row>
    <row r="437" spans="1:8" ht="15">
      <c r="A437" s="173" t="s">
        <v>1150</v>
      </c>
      <c r="B437" s="172" t="s">
        <v>1149</v>
      </c>
      <c r="C437" s="1057" t="s">
        <v>144</v>
      </c>
      <c r="D437" s="1057" t="s">
        <v>147</v>
      </c>
      <c r="G437" s="1048" t="s">
        <v>1186</v>
      </c>
      <c r="H437" s="1048" t="s">
        <v>2654</v>
      </c>
    </row>
    <row r="438" spans="1:8" ht="15">
      <c r="A438" s="180" t="s">
        <v>309</v>
      </c>
      <c r="B438" s="181" t="s">
        <v>308</v>
      </c>
      <c r="C438" s="1057" t="s">
        <v>144</v>
      </c>
      <c r="D438" s="1057" t="s">
        <v>146</v>
      </c>
      <c r="G438" s="1048" t="s">
        <v>1180</v>
      </c>
      <c r="H438" s="1048" t="s">
        <v>2580</v>
      </c>
    </row>
    <row r="439" spans="1:8" ht="15">
      <c r="A439" s="180" t="s">
        <v>1094</v>
      </c>
      <c r="B439" s="181" t="s">
        <v>1093</v>
      </c>
      <c r="C439" s="1057" t="s">
        <v>144</v>
      </c>
      <c r="D439" s="1057" t="s">
        <v>146</v>
      </c>
      <c r="G439" s="1048" t="s">
        <v>2374</v>
      </c>
      <c r="H439" s="1048" t="s">
        <v>2375</v>
      </c>
    </row>
    <row r="440" spans="1:8" ht="15">
      <c r="A440" s="173" t="s">
        <v>873</v>
      </c>
      <c r="B440" s="172" t="s">
        <v>872</v>
      </c>
      <c r="C440" s="1057" t="s">
        <v>144</v>
      </c>
      <c r="D440" s="1057" t="s">
        <v>146</v>
      </c>
      <c r="G440" s="1048" t="s">
        <v>1286</v>
      </c>
      <c r="H440" s="1048" t="s">
        <v>2701</v>
      </c>
    </row>
    <row r="441" spans="1:8" ht="15">
      <c r="A441" s="180" t="s">
        <v>1096</v>
      </c>
      <c r="B441" s="181" t="s">
        <v>1095</v>
      </c>
      <c r="C441" s="1057" t="s">
        <v>144</v>
      </c>
      <c r="D441" s="1057" t="s">
        <v>146</v>
      </c>
      <c r="G441" s="1048" t="s">
        <v>1206</v>
      </c>
      <c r="H441" s="1048" t="s">
        <v>2587</v>
      </c>
    </row>
    <row r="442" spans="1:8" ht="15">
      <c r="A442" s="173" t="s">
        <v>875</v>
      </c>
      <c r="B442" s="172" t="s">
        <v>874</v>
      </c>
      <c r="C442" s="1057" t="s">
        <v>144</v>
      </c>
      <c r="D442" s="1057" t="s">
        <v>147</v>
      </c>
      <c r="G442" s="1048" t="s">
        <v>1154</v>
      </c>
      <c r="H442" s="1048" t="s">
        <v>2591</v>
      </c>
    </row>
    <row r="443" spans="1:8" ht="15">
      <c r="A443" s="180" t="s">
        <v>1098</v>
      </c>
      <c r="B443" s="181" t="s">
        <v>1097</v>
      </c>
      <c r="C443" s="1057" t="s">
        <v>144</v>
      </c>
      <c r="D443" s="1057" t="s">
        <v>147</v>
      </c>
      <c r="G443" s="1048" t="s">
        <v>1237</v>
      </c>
      <c r="H443" s="1048" t="s">
        <v>2636</v>
      </c>
    </row>
    <row r="444" spans="1:8" ht="15">
      <c r="A444" s="180" t="s">
        <v>364</v>
      </c>
      <c r="B444" s="181" t="s">
        <v>363</v>
      </c>
      <c r="C444" s="1057" t="s">
        <v>144</v>
      </c>
      <c r="D444" s="1057" t="s">
        <v>147</v>
      </c>
      <c r="G444" s="1048" t="s">
        <v>1217</v>
      </c>
      <c r="H444" s="1048" t="s">
        <v>2469</v>
      </c>
    </row>
    <row r="445" spans="1:8" ht="15">
      <c r="A445" s="180" t="s">
        <v>1100</v>
      </c>
      <c r="B445" s="181" t="s">
        <v>1099</v>
      </c>
      <c r="C445" s="1057" t="s">
        <v>144</v>
      </c>
      <c r="D445" s="1057" t="s">
        <v>147</v>
      </c>
      <c r="G445" s="1048" t="s">
        <v>1308</v>
      </c>
      <c r="H445" s="1048" t="s">
        <v>2661</v>
      </c>
    </row>
    <row r="446" spans="1:8" ht="15">
      <c r="A446" s="173" t="s">
        <v>335</v>
      </c>
      <c r="B446" s="172" t="s">
        <v>334</v>
      </c>
      <c r="C446" s="1057" t="s">
        <v>175</v>
      </c>
      <c r="D446" s="1057" t="s">
        <v>177</v>
      </c>
      <c r="G446" s="1048" t="s">
        <v>1333</v>
      </c>
      <c r="H446" s="1048" t="s">
        <v>2652</v>
      </c>
    </row>
    <row r="447" spans="1:8" ht="15">
      <c r="A447" s="180" t="s">
        <v>1102</v>
      </c>
      <c r="B447" s="181" t="s">
        <v>1101</v>
      </c>
      <c r="C447" s="1057" t="s">
        <v>175</v>
      </c>
      <c r="D447" s="1057" t="s">
        <v>89</v>
      </c>
      <c r="G447" s="1048" t="s">
        <v>936</v>
      </c>
      <c r="H447" s="1048" t="s">
        <v>2471</v>
      </c>
    </row>
    <row r="448" spans="1:8" ht="15">
      <c r="A448" s="181" t="s">
        <v>524</v>
      </c>
      <c r="B448" s="181" t="s">
        <v>523</v>
      </c>
      <c r="C448" s="1057"/>
      <c r="D448" s="1057"/>
      <c r="G448" s="1048" t="s">
        <v>2376</v>
      </c>
      <c r="H448" s="1048" t="s">
        <v>2377</v>
      </c>
    </row>
    <row r="449" spans="1:8" ht="15">
      <c r="A449" s="173" t="s">
        <v>323</v>
      </c>
      <c r="B449" s="172" t="s">
        <v>322</v>
      </c>
      <c r="C449" s="1057" t="s">
        <v>175</v>
      </c>
      <c r="D449" s="1057" t="s">
        <v>179</v>
      </c>
      <c r="G449" s="1048" t="s">
        <v>1244</v>
      </c>
      <c r="H449" s="1048" t="s">
        <v>2603</v>
      </c>
    </row>
    <row r="450" spans="1:8" ht="15">
      <c r="A450" s="180" t="s">
        <v>1104</v>
      </c>
      <c r="B450" s="181" t="s">
        <v>1103</v>
      </c>
      <c r="C450" s="1057" t="s">
        <v>175</v>
      </c>
      <c r="D450" s="1057" t="s">
        <v>179</v>
      </c>
      <c r="G450" s="1048" t="s">
        <v>1398</v>
      </c>
      <c r="H450" s="1048" t="s">
        <v>2708</v>
      </c>
    </row>
    <row r="451" spans="1:8" ht="15">
      <c r="A451" s="172" t="s">
        <v>550</v>
      </c>
      <c r="B451" s="172" t="s">
        <v>523</v>
      </c>
      <c r="C451" s="1057"/>
      <c r="D451" s="1057"/>
      <c r="G451" s="1048" t="s">
        <v>1255</v>
      </c>
      <c r="H451" s="1048" t="s">
        <v>2593</v>
      </c>
    </row>
    <row r="452" spans="1:8" ht="15">
      <c r="A452" s="172" t="s">
        <v>344</v>
      </c>
      <c r="B452" s="172" t="s">
        <v>343</v>
      </c>
      <c r="C452" s="1057" t="s">
        <v>175</v>
      </c>
      <c r="D452" s="1057" t="s">
        <v>180</v>
      </c>
      <c r="G452" s="1048" t="s">
        <v>1264</v>
      </c>
      <c r="H452" s="1048" t="s">
        <v>2613</v>
      </c>
    </row>
    <row r="453" spans="1:8" ht="15">
      <c r="A453" s="180" t="s">
        <v>1106</v>
      </c>
      <c r="B453" s="181" t="s">
        <v>1105</v>
      </c>
      <c r="C453" s="1057" t="s">
        <v>175</v>
      </c>
      <c r="D453" s="1057" t="s">
        <v>180</v>
      </c>
      <c r="G453" s="1048" t="s">
        <v>1225</v>
      </c>
      <c r="H453" s="1048" t="s">
        <v>2596</v>
      </c>
    </row>
    <row r="454" spans="1:8" ht="15">
      <c r="A454" s="180" t="s">
        <v>529</v>
      </c>
      <c r="B454" s="181" t="s">
        <v>523</v>
      </c>
      <c r="C454" s="1057"/>
      <c r="D454" s="1057"/>
      <c r="G454" s="1048" t="s">
        <v>1271</v>
      </c>
      <c r="H454" s="1048" t="s">
        <v>2634</v>
      </c>
    </row>
    <row r="455" spans="1:8" ht="15">
      <c r="A455" s="172" t="s">
        <v>545</v>
      </c>
      <c r="B455" s="172" t="s">
        <v>544</v>
      </c>
      <c r="C455" s="1057" t="s">
        <v>175</v>
      </c>
      <c r="D455" s="1057" t="s">
        <v>179</v>
      </c>
      <c r="G455" s="1048" t="s">
        <v>2378</v>
      </c>
      <c r="H455" s="1048" t="s">
        <v>2379</v>
      </c>
    </row>
    <row r="456" spans="1:8" ht="15">
      <c r="A456" s="180" t="s">
        <v>1108</v>
      </c>
      <c r="B456" s="181" t="s">
        <v>1107</v>
      </c>
      <c r="C456" s="1057" t="s">
        <v>175</v>
      </c>
      <c r="D456" s="1057" t="s">
        <v>179</v>
      </c>
      <c r="G456" s="1048" t="s">
        <v>2380</v>
      </c>
      <c r="H456" s="1048" t="s">
        <v>2381</v>
      </c>
    </row>
    <row r="457" spans="1:8" ht="15">
      <c r="A457" s="173" t="s">
        <v>465</v>
      </c>
      <c r="B457" s="172" t="s">
        <v>464</v>
      </c>
      <c r="C457" s="1057" t="s">
        <v>175</v>
      </c>
      <c r="D457" s="1057" t="s">
        <v>177</v>
      </c>
      <c r="G457" s="1048" t="s">
        <v>2382</v>
      </c>
      <c r="H457" s="1048" t="s">
        <v>2383</v>
      </c>
    </row>
    <row r="458" spans="1:8" ht="15">
      <c r="A458" s="173" t="s">
        <v>483</v>
      </c>
      <c r="B458" s="172" t="s">
        <v>482</v>
      </c>
      <c r="C458" s="1057" t="s">
        <v>175</v>
      </c>
      <c r="D458" s="1057" t="s">
        <v>189</v>
      </c>
      <c r="G458" s="1048" t="s">
        <v>2384</v>
      </c>
      <c r="H458" s="1048" t="s">
        <v>2385</v>
      </c>
    </row>
    <row r="459" spans="1:8" ht="15">
      <c r="A459" s="180" t="s">
        <v>1110</v>
      </c>
      <c r="B459" s="181" t="s">
        <v>1109</v>
      </c>
      <c r="C459" s="1057" t="s">
        <v>1646</v>
      </c>
      <c r="D459" s="1057" t="s">
        <v>89</v>
      </c>
      <c r="G459" s="1048" t="s">
        <v>399</v>
      </c>
      <c r="H459" s="1048" t="s">
        <v>2472</v>
      </c>
    </row>
    <row r="460" spans="1:8" ht="15">
      <c r="A460" s="173" t="s">
        <v>1877</v>
      </c>
      <c r="B460" s="172" t="s">
        <v>1878</v>
      </c>
      <c r="C460" s="1057" t="s">
        <v>1646</v>
      </c>
      <c r="D460" s="1057" t="s">
        <v>178</v>
      </c>
      <c r="G460" s="1048" t="s">
        <v>1391</v>
      </c>
      <c r="H460" s="1048" t="s">
        <v>2473</v>
      </c>
    </row>
    <row r="461" spans="1:8" ht="15">
      <c r="A461" s="172" t="s">
        <v>467</v>
      </c>
      <c r="B461" s="172" t="s">
        <v>466</v>
      </c>
      <c r="C461" s="1057" t="s">
        <v>175</v>
      </c>
      <c r="D461" s="1057" t="s">
        <v>178</v>
      </c>
      <c r="G461" s="1048" t="s">
        <v>1374</v>
      </c>
      <c r="H461" s="1048" t="s">
        <v>2675</v>
      </c>
    </row>
    <row r="462" spans="1:8" ht="15">
      <c r="A462" s="180" t="s">
        <v>1112</v>
      </c>
      <c r="B462" s="181" t="s">
        <v>1111</v>
      </c>
      <c r="C462" s="1057" t="s">
        <v>175</v>
      </c>
      <c r="D462" s="1057" t="s">
        <v>89</v>
      </c>
      <c r="G462" s="1048" t="s">
        <v>1357</v>
      </c>
      <c r="H462" s="1048" t="s">
        <v>2715</v>
      </c>
    </row>
    <row r="463" spans="1:8" ht="15">
      <c r="A463" s="172" t="s">
        <v>877</v>
      </c>
      <c r="B463" s="172" t="s">
        <v>876</v>
      </c>
      <c r="C463" s="1057" t="s">
        <v>175</v>
      </c>
      <c r="D463" s="1057" t="s">
        <v>178</v>
      </c>
      <c r="G463" s="1048" t="s">
        <v>2624</v>
      </c>
      <c r="H463" s="1048" t="s">
        <v>2765</v>
      </c>
    </row>
    <row r="464" spans="1:8" ht="15">
      <c r="A464" s="180" t="s">
        <v>1114</v>
      </c>
      <c r="B464" s="181" t="s">
        <v>1113</v>
      </c>
      <c r="C464" s="1057" t="s">
        <v>175</v>
      </c>
      <c r="D464" s="1057" t="s">
        <v>89</v>
      </c>
      <c r="G464" s="1048" t="s">
        <v>1342</v>
      </c>
      <c r="H464" s="1048" t="s">
        <v>2731</v>
      </c>
    </row>
    <row r="465" spans="1:8" ht="15">
      <c r="A465" s="173" t="s">
        <v>522</v>
      </c>
      <c r="B465" s="172" t="s">
        <v>521</v>
      </c>
      <c r="C465" s="1057" t="s">
        <v>175</v>
      </c>
      <c r="D465" s="1057" t="s">
        <v>178</v>
      </c>
      <c r="G465" s="1048" t="s">
        <v>1249</v>
      </c>
      <c r="H465" s="1048" t="s">
        <v>2800</v>
      </c>
    </row>
    <row r="466" spans="1:8" ht="15">
      <c r="A466" s="180" t="s">
        <v>1116</v>
      </c>
      <c r="B466" s="181" t="s">
        <v>1115</v>
      </c>
      <c r="C466" s="1057" t="s">
        <v>1646</v>
      </c>
      <c r="D466" s="1057" t="s">
        <v>178</v>
      </c>
      <c r="G466" s="1048" t="s">
        <v>1328</v>
      </c>
      <c r="H466" s="1048" t="s">
        <v>2722</v>
      </c>
    </row>
    <row r="467" spans="1:8" ht="15">
      <c r="A467" s="173" t="s">
        <v>430</v>
      </c>
      <c r="B467" s="172" t="s">
        <v>429</v>
      </c>
      <c r="C467" s="1057" t="s">
        <v>175</v>
      </c>
      <c r="D467" s="1057" t="s">
        <v>181</v>
      </c>
      <c r="G467" s="1048" t="s">
        <v>1252</v>
      </c>
      <c r="H467" s="1048" t="s">
        <v>2667</v>
      </c>
    </row>
    <row r="468" spans="1:8" ht="15">
      <c r="A468" s="180" t="s">
        <v>1118</v>
      </c>
      <c r="B468" s="181" t="s">
        <v>1117</v>
      </c>
      <c r="C468" s="1057" t="s">
        <v>175</v>
      </c>
      <c r="D468" s="1057" t="s">
        <v>89</v>
      </c>
      <c r="G468" s="1048" t="s">
        <v>1283</v>
      </c>
      <c r="H468" s="1048" t="s">
        <v>2733</v>
      </c>
    </row>
    <row r="469" spans="1:8" ht="15">
      <c r="A469" s="173" t="s">
        <v>533</v>
      </c>
      <c r="B469" s="172" t="s">
        <v>532</v>
      </c>
      <c r="C469" s="1057" t="s">
        <v>175</v>
      </c>
      <c r="D469" s="1057" t="s">
        <v>181</v>
      </c>
      <c r="G469" s="1048" t="s">
        <v>1164</v>
      </c>
      <c r="H469" s="1048" t="s">
        <v>2578</v>
      </c>
    </row>
    <row r="470" spans="1:8" ht="15">
      <c r="A470" s="180" t="s">
        <v>1120</v>
      </c>
      <c r="B470" s="181" t="s">
        <v>1119</v>
      </c>
      <c r="C470" s="1057" t="s">
        <v>1646</v>
      </c>
      <c r="D470" s="1057" t="s">
        <v>89</v>
      </c>
      <c r="G470" s="1048" t="s">
        <v>1305</v>
      </c>
      <c r="H470" s="1048" t="s">
        <v>2744</v>
      </c>
    </row>
    <row r="471" spans="1:8" ht="15">
      <c r="A471" s="173" t="s">
        <v>368</v>
      </c>
      <c r="B471" s="172" t="s">
        <v>367</v>
      </c>
      <c r="C471" s="1057" t="s">
        <v>175</v>
      </c>
      <c r="D471" s="1057" t="s">
        <v>1922</v>
      </c>
      <c r="G471" s="1048" t="s">
        <v>1157</v>
      </c>
      <c r="H471" s="1048" t="s">
        <v>2598</v>
      </c>
    </row>
    <row r="472" spans="1:8" ht="15">
      <c r="A472" s="180" t="s">
        <v>1122</v>
      </c>
      <c r="B472" s="181" t="s">
        <v>1121</v>
      </c>
      <c r="C472" s="1057" t="s">
        <v>175</v>
      </c>
      <c r="D472" s="1057" t="s">
        <v>89</v>
      </c>
      <c r="G472" s="1048" t="s">
        <v>932</v>
      </c>
      <c r="H472" s="1048" t="s">
        <v>2474</v>
      </c>
    </row>
    <row r="473" spans="1:8" ht="15">
      <c r="A473" s="173" t="s">
        <v>386</v>
      </c>
      <c r="B473" s="172" t="s">
        <v>385</v>
      </c>
      <c r="C473" s="1057" t="s">
        <v>175</v>
      </c>
      <c r="D473" s="1057" t="s">
        <v>186</v>
      </c>
      <c r="G473" s="1048" t="s">
        <v>934</v>
      </c>
      <c r="H473" s="1048" t="s">
        <v>2573</v>
      </c>
    </row>
    <row r="474" spans="1:8" ht="15">
      <c r="A474" s="180" t="s">
        <v>1124</v>
      </c>
      <c r="B474" s="181" t="s">
        <v>1123</v>
      </c>
      <c r="C474" s="1057" t="s">
        <v>1646</v>
      </c>
      <c r="D474" s="1057" t="s">
        <v>89</v>
      </c>
      <c r="G474" s="1048" t="s">
        <v>1186</v>
      </c>
      <c r="H474" s="1048" t="s">
        <v>2631</v>
      </c>
    </row>
    <row r="475" spans="1:8" ht="15">
      <c r="A475" s="184" t="s">
        <v>1643</v>
      </c>
      <c r="B475" s="184" t="s">
        <v>1578</v>
      </c>
      <c r="C475" s="1057" t="s">
        <v>75</v>
      </c>
      <c r="D475" s="1057" t="s">
        <v>89</v>
      </c>
      <c r="G475" s="1048" t="s">
        <v>1180</v>
      </c>
      <c r="H475" s="1048" t="s">
        <v>2610</v>
      </c>
    </row>
    <row r="476" spans="1:8" ht="15">
      <c r="A476" s="1052" t="s">
        <v>1645</v>
      </c>
      <c r="B476" s="184" t="s">
        <v>1579</v>
      </c>
      <c r="C476" s="1057" t="s">
        <v>75</v>
      </c>
      <c r="D476" s="1057" t="s">
        <v>89</v>
      </c>
      <c r="G476" s="1048" t="s">
        <v>1286</v>
      </c>
      <c r="H476" s="1048" t="s">
        <v>2739</v>
      </c>
    </row>
    <row r="477" spans="1:8" ht="15">
      <c r="A477" s="1052" t="s">
        <v>1530</v>
      </c>
      <c r="B477" s="184" t="s">
        <v>1529</v>
      </c>
      <c r="C477" s="1057" t="s">
        <v>75</v>
      </c>
      <c r="D477" s="1057" t="s">
        <v>89</v>
      </c>
      <c r="G477" s="1048" t="s">
        <v>1206</v>
      </c>
      <c r="H477" s="1048" t="s">
        <v>2646</v>
      </c>
    </row>
    <row r="478" spans="1:8" ht="15">
      <c r="A478" s="1052" t="s">
        <v>879</v>
      </c>
      <c r="B478" s="184" t="s">
        <v>878</v>
      </c>
      <c r="C478" s="1057" t="s">
        <v>75</v>
      </c>
      <c r="D478" s="1057" t="s">
        <v>90</v>
      </c>
      <c r="G478" s="1048" t="s">
        <v>1154</v>
      </c>
      <c r="H478" s="1048" t="s">
        <v>2630</v>
      </c>
    </row>
    <row r="479" spans="1:8" ht="15">
      <c r="A479" s="1053" t="s">
        <v>1525</v>
      </c>
      <c r="B479" s="1059" t="s">
        <v>1524</v>
      </c>
      <c r="C479" s="1057" t="s">
        <v>75</v>
      </c>
      <c r="D479" s="1057" t="s">
        <v>90</v>
      </c>
      <c r="G479" s="1048" t="s">
        <v>1237</v>
      </c>
      <c r="H479" s="1048" t="s">
        <v>2704</v>
      </c>
    </row>
    <row r="480" spans="1:8" ht="15">
      <c r="A480" s="1052" t="s">
        <v>881</v>
      </c>
      <c r="B480" s="184" t="s">
        <v>880</v>
      </c>
      <c r="C480" s="1057" t="s">
        <v>75</v>
      </c>
      <c r="D480" s="1057" t="s">
        <v>89</v>
      </c>
      <c r="G480" s="1048" t="s">
        <v>1294</v>
      </c>
      <c r="H480" s="1048" t="s">
        <v>2475</v>
      </c>
    </row>
    <row r="481" spans="1:8" ht="15">
      <c r="A481" s="1052" t="s">
        <v>1571</v>
      </c>
      <c r="B481" s="184" t="s">
        <v>1570</v>
      </c>
      <c r="C481" s="1057" t="s">
        <v>75</v>
      </c>
      <c r="D481" s="1057" t="s">
        <v>90</v>
      </c>
      <c r="G481" s="1048" t="s">
        <v>1308</v>
      </c>
      <c r="H481" s="1048" t="s">
        <v>2775</v>
      </c>
    </row>
    <row r="482" spans="1:8" ht="15">
      <c r="A482" s="173" t="s">
        <v>1537</v>
      </c>
      <c r="B482" s="172" t="s">
        <v>1536</v>
      </c>
      <c r="C482" s="1057" t="s">
        <v>75</v>
      </c>
      <c r="D482" s="1057" t="s">
        <v>90</v>
      </c>
      <c r="G482" s="1048" t="s">
        <v>1333</v>
      </c>
      <c r="H482" s="1048" t="s">
        <v>2718</v>
      </c>
    </row>
    <row r="483" spans="1:8" ht="15">
      <c r="A483" s="1052" t="s">
        <v>1539</v>
      </c>
      <c r="B483" s="184" t="s">
        <v>1538</v>
      </c>
      <c r="C483" s="1057" t="s">
        <v>75</v>
      </c>
      <c r="D483" s="1057" t="s">
        <v>89</v>
      </c>
      <c r="G483" s="1048" t="s">
        <v>936</v>
      </c>
      <c r="H483" s="1048" t="s">
        <v>2476</v>
      </c>
    </row>
    <row r="484" spans="1:8" ht="15">
      <c r="A484" s="1052" t="s">
        <v>883</v>
      </c>
      <c r="B484" s="184" t="s">
        <v>882</v>
      </c>
      <c r="C484" s="1057" t="s">
        <v>75</v>
      </c>
      <c r="D484" s="1057" t="s">
        <v>89</v>
      </c>
      <c r="G484" s="1048" t="s">
        <v>2386</v>
      </c>
      <c r="H484" s="1048" t="s">
        <v>2387</v>
      </c>
    </row>
    <row r="485" spans="1:8" ht="15">
      <c r="A485" s="1052" t="s">
        <v>886</v>
      </c>
      <c r="B485" s="184" t="s">
        <v>885</v>
      </c>
      <c r="C485" s="1057" t="s">
        <v>75</v>
      </c>
      <c r="D485" s="1057" t="s">
        <v>89</v>
      </c>
      <c r="G485" s="1048" t="s">
        <v>1316</v>
      </c>
      <c r="H485" s="1048" t="s">
        <v>2671</v>
      </c>
    </row>
    <row r="486" spans="1:8" ht="15">
      <c r="A486" s="1052" t="s">
        <v>888</v>
      </c>
      <c r="B486" s="184" t="s">
        <v>887</v>
      </c>
      <c r="C486" s="1057" t="s">
        <v>75</v>
      </c>
      <c r="D486" s="1057" t="s">
        <v>89</v>
      </c>
      <c r="G486" s="1048" t="s">
        <v>1457</v>
      </c>
      <c r="H486" s="1048" t="s">
        <v>2760</v>
      </c>
    </row>
    <row r="487" spans="1:8" ht="15">
      <c r="A487" s="1052" t="s">
        <v>1650</v>
      </c>
      <c r="B487" s="184" t="s">
        <v>1581</v>
      </c>
      <c r="C487" s="1057" t="s">
        <v>75</v>
      </c>
      <c r="D487" s="1057" t="s">
        <v>89</v>
      </c>
      <c r="G487" s="1048" t="s">
        <v>1352</v>
      </c>
      <c r="H487" s="1048" t="s">
        <v>2660</v>
      </c>
    </row>
    <row r="488" spans="1:8" ht="15">
      <c r="A488" s="1052" t="s">
        <v>890</v>
      </c>
      <c r="B488" s="184" t="s">
        <v>889</v>
      </c>
      <c r="C488" s="1057" t="s">
        <v>75</v>
      </c>
      <c r="D488" s="1057" t="s">
        <v>89</v>
      </c>
      <c r="G488" s="1048" t="s">
        <v>1344</v>
      </c>
      <c r="H488" s="1048" t="s">
        <v>2686</v>
      </c>
    </row>
    <row r="489" spans="1:8" ht="15">
      <c r="A489" s="1052" t="s">
        <v>1654</v>
      </c>
      <c r="B489" s="184" t="s">
        <v>1585</v>
      </c>
      <c r="C489" s="1057" t="s">
        <v>75</v>
      </c>
      <c r="D489" s="1057" t="s">
        <v>89</v>
      </c>
      <c r="G489" s="1048" t="s">
        <v>1278</v>
      </c>
      <c r="H489" s="1048" t="s">
        <v>2665</v>
      </c>
    </row>
    <row r="490" spans="1:8" ht="15">
      <c r="A490" s="1052" t="s">
        <v>1656</v>
      </c>
      <c r="B490" s="184" t="s">
        <v>1560</v>
      </c>
      <c r="C490" s="1057" t="s">
        <v>75</v>
      </c>
      <c r="D490" s="1057" t="s">
        <v>89</v>
      </c>
      <c r="G490" s="1048" t="s">
        <v>1371</v>
      </c>
      <c r="H490" s="1048" t="s">
        <v>2703</v>
      </c>
    </row>
    <row r="491" spans="1:8" ht="15">
      <c r="A491" s="184" t="s">
        <v>1561</v>
      </c>
      <c r="B491" s="184" t="s">
        <v>1560</v>
      </c>
      <c r="C491" s="1057" t="s">
        <v>75</v>
      </c>
      <c r="D491" s="1057" t="s">
        <v>89</v>
      </c>
      <c r="G491" s="1048" t="s">
        <v>2218</v>
      </c>
      <c r="H491" s="1048" t="s">
        <v>2219</v>
      </c>
    </row>
    <row r="492" spans="1:8" ht="15">
      <c r="A492" s="1052" t="s">
        <v>1659</v>
      </c>
      <c r="B492" s="184" t="s">
        <v>1588</v>
      </c>
      <c r="C492" s="1057" t="s">
        <v>75</v>
      </c>
      <c r="D492" s="1057" t="s">
        <v>89</v>
      </c>
      <c r="G492" s="1048" t="s">
        <v>2220</v>
      </c>
      <c r="H492" s="1048" t="s">
        <v>2221</v>
      </c>
    </row>
    <row r="493" spans="1:8" ht="15">
      <c r="A493" s="1052" t="s">
        <v>1506</v>
      </c>
      <c r="B493" s="184" t="s">
        <v>1505</v>
      </c>
      <c r="C493" s="1057" t="s">
        <v>75</v>
      </c>
      <c r="D493" s="1057" t="s">
        <v>89</v>
      </c>
      <c r="G493" s="1048" t="s">
        <v>2222</v>
      </c>
      <c r="H493" s="1048" t="s">
        <v>2223</v>
      </c>
    </row>
    <row r="494" spans="1:8" ht="15">
      <c r="A494" s="1052" t="s">
        <v>1665</v>
      </c>
      <c r="B494" s="184" t="s">
        <v>1593</v>
      </c>
      <c r="C494" s="1057" t="s">
        <v>75</v>
      </c>
      <c r="D494" s="1057" t="s">
        <v>89</v>
      </c>
      <c r="G494" s="1048" t="s">
        <v>2053</v>
      </c>
      <c r="H494" s="1048" t="s">
        <v>2054</v>
      </c>
    </row>
    <row r="495" spans="1:8" ht="15">
      <c r="A495" s="173" t="s">
        <v>1719</v>
      </c>
      <c r="B495" s="184" t="s">
        <v>1720</v>
      </c>
      <c r="C495" s="1057" t="s">
        <v>75</v>
      </c>
      <c r="D495" s="1057" t="s">
        <v>90</v>
      </c>
      <c r="G495" s="1048" t="s">
        <v>2138</v>
      </c>
      <c r="H495" s="1048" t="s">
        <v>2139</v>
      </c>
    </row>
    <row r="496" spans="1:8" ht="15">
      <c r="A496" s="1052" t="s">
        <v>1666</v>
      </c>
      <c r="B496" s="184" t="s">
        <v>1595</v>
      </c>
      <c r="C496" s="1057" t="s">
        <v>75</v>
      </c>
      <c r="D496" s="1057" t="s">
        <v>89</v>
      </c>
      <c r="G496" s="1048" t="s">
        <v>2077</v>
      </c>
      <c r="H496" s="1048" t="s">
        <v>2078</v>
      </c>
    </row>
    <row r="497" spans="1:8" ht="15">
      <c r="A497" s="1055" t="s">
        <v>1676</v>
      </c>
      <c r="B497" s="1060" t="s">
        <v>1604</v>
      </c>
      <c r="C497" s="1057" t="s">
        <v>75</v>
      </c>
      <c r="D497" s="1057" t="s">
        <v>89</v>
      </c>
      <c r="G497" s="1048" t="s">
        <v>2170</v>
      </c>
      <c r="H497" s="1048" t="s">
        <v>2076</v>
      </c>
    </row>
    <row r="498" spans="1:8" ht="15">
      <c r="A498" s="1052" t="s">
        <v>1532</v>
      </c>
      <c r="B498" s="184" t="s">
        <v>1531</v>
      </c>
      <c r="C498" s="1057" t="s">
        <v>75</v>
      </c>
      <c r="D498" s="1057" t="s">
        <v>89</v>
      </c>
      <c r="G498" s="1048" t="s">
        <v>2084</v>
      </c>
      <c r="H498" s="1048" t="s">
        <v>2085</v>
      </c>
    </row>
    <row r="499" spans="1:8" ht="15">
      <c r="A499" s="1052" t="s">
        <v>1668</v>
      </c>
      <c r="B499" s="184" t="s">
        <v>1597</v>
      </c>
      <c r="C499" s="1057" t="s">
        <v>75</v>
      </c>
      <c r="D499" s="1057" t="s">
        <v>89</v>
      </c>
      <c r="G499" s="1048" t="s">
        <v>2171</v>
      </c>
      <c r="H499" s="1048" t="s">
        <v>2172</v>
      </c>
    </row>
    <row r="500" spans="1:8" ht="15">
      <c r="A500" s="1052" t="s">
        <v>1502</v>
      </c>
      <c r="B500" s="184" t="s">
        <v>1501</v>
      </c>
      <c r="C500" s="1057" t="s">
        <v>75</v>
      </c>
      <c r="D500" s="1057" t="s">
        <v>89</v>
      </c>
      <c r="G500" s="1048" t="s">
        <v>2179</v>
      </c>
      <c r="H500" s="1048" t="s">
        <v>2180</v>
      </c>
    </row>
    <row r="501" spans="1:8" ht="15">
      <c r="A501" s="1052" t="s">
        <v>1670</v>
      </c>
      <c r="B501" s="184" t="s">
        <v>1599</v>
      </c>
      <c r="C501" s="1057" t="s">
        <v>75</v>
      </c>
      <c r="D501" s="1057" t="s">
        <v>89</v>
      </c>
      <c r="G501" s="1048" t="s">
        <v>2092</v>
      </c>
      <c r="H501" s="1048" t="s">
        <v>2093</v>
      </c>
    </row>
    <row r="502" spans="1:8" ht="15">
      <c r="A502" s="1055" t="s">
        <v>1535</v>
      </c>
      <c r="B502" s="1059" t="s">
        <v>1534</v>
      </c>
      <c r="C502" s="1057" t="s">
        <v>75</v>
      </c>
      <c r="D502" s="1057" t="s">
        <v>89</v>
      </c>
      <c r="G502" s="1048" t="s">
        <v>2074</v>
      </c>
      <c r="H502" s="1048" t="s">
        <v>2075</v>
      </c>
    </row>
    <row r="503" spans="1:8" ht="15">
      <c r="A503" s="1052" t="s">
        <v>1674</v>
      </c>
      <c r="B503" s="1061" t="s">
        <v>1602</v>
      </c>
      <c r="C503" s="1057" t="s">
        <v>75</v>
      </c>
      <c r="D503" s="1057" t="s">
        <v>89</v>
      </c>
      <c r="G503" s="1048" t="s">
        <v>2088</v>
      </c>
      <c r="H503" s="1048" t="s">
        <v>2089</v>
      </c>
    </row>
    <row r="504" spans="1:8" ht="15">
      <c r="A504" s="193" t="s">
        <v>1715</v>
      </c>
      <c r="B504" s="1062" t="s">
        <v>1716</v>
      </c>
      <c r="C504" s="1057" t="s">
        <v>75</v>
      </c>
      <c r="D504" s="1057" t="s">
        <v>90</v>
      </c>
      <c r="G504" s="1048" t="s">
        <v>2096</v>
      </c>
      <c r="H504" s="1048" t="s">
        <v>2097</v>
      </c>
    </row>
    <row r="505" spans="1:8" ht="15">
      <c r="A505" s="1055" t="s">
        <v>1679</v>
      </c>
      <c r="B505" s="1059" t="s">
        <v>1607</v>
      </c>
      <c r="C505" s="1057" t="s">
        <v>75</v>
      </c>
      <c r="D505" s="1057" t="s">
        <v>89</v>
      </c>
      <c r="G505" s="1048" t="s">
        <v>2080</v>
      </c>
      <c r="H505" s="1048" t="s">
        <v>2081</v>
      </c>
    </row>
    <row r="506" spans="1:8" ht="15">
      <c r="A506" s="1052" t="s">
        <v>1683</v>
      </c>
      <c r="B506" s="1059" t="s">
        <v>1610</v>
      </c>
      <c r="C506" s="1057" t="s">
        <v>75</v>
      </c>
      <c r="D506" s="1057" t="s">
        <v>89</v>
      </c>
      <c r="G506" s="1048" t="s">
        <v>2062</v>
      </c>
      <c r="H506" s="1048" t="s">
        <v>2063</v>
      </c>
    </row>
    <row r="507" spans="1:8" ht="15">
      <c r="A507" s="1052" t="s">
        <v>892</v>
      </c>
      <c r="B507" s="184" t="s">
        <v>891</v>
      </c>
      <c r="C507" s="1057" t="s">
        <v>75</v>
      </c>
      <c r="D507" s="1057" t="s">
        <v>89</v>
      </c>
      <c r="G507" s="1048" t="s">
        <v>2650</v>
      </c>
      <c r="H507" s="1048" t="s">
        <v>2176</v>
      </c>
    </row>
    <row r="508" spans="1:8" ht="15">
      <c r="A508" s="1052" t="s">
        <v>1512</v>
      </c>
      <c r="B508" s="184" t="s">
        <v>1511</v>
      </c>
      <c r="C508" s="1057" t="s">
        <v>75</v>
      </c>
      <c r="D508" s="1057" t="s">
        <v>89</v>
      </c>
      <c r="G508" s="1048" t="s">
        <v>2174</v>
      </c>
      <c r="H508" s="1048" t="s">
        <v>2175</v>
      </c>
    </row>
    <row r="509" spans="1:8" ht="15">
      <c r="A509" s="1052" t="s">
        <v>1573</v>
      </c>
      <c r="B509" s="184" t="s">
        <v>1572</v>
      </c>
      <c r="C509" s="1057" t="s">
        <v>75</v>
      </c>
      <c r="D509" s="1057" t="s">
        <v>90</v>
      </c>
      <c r="G509" s="1048" t="s">
        <v>1389</v>
      </c>
      <c r="H509" s="1048" t="s">
        <v>2599</v>
      </c>
    </row>
    <row r="510" spans="1:8" ht="15">
      <c r="A510" s="1052" t="s">
        <v>1551</v>
      </c>
      <c r="B510" s="184" t="s">
        <v>1550</v>
      </c>
      <c r="C510" s="1057" t="s">
        <v>75</v>
      </c>
      <c r="D510" s="1057" t="s">
        <v>90</v>
      </c>
      <c r="G510" s="1048" t="s">
        <v>1385</v>
      </c>
      <c r="H510" s="1048" t="s">
        <v>2782</v>
      </c>
    </row>
    <row r="511" spans="1:8">
      <c r="A511" s="173" t="s">
        <v>1732</v>
      </c>
      <c r="B511" s="184" t="s">
        <v>1733</v>
      </c>
      <c r="C511" s="1057" t="s">
        <v>75</v>
      </c>
      <c r="D511" s="1057" t="s">
        <v>90</v>
      </c>
    </row>
    <row r="512" spans="1:8">
      <c r="A512" s="1052" t="s">
        <v>1686</v>
      </c>
      <c r="B512" s="184" t="s">
        <v>1612</v>
      </c>
      <c r="C512" s="1057" t="s">
        <v>75</v>
      </c>
      <c r="D512" s="1057" t="s">
        <v>89</v>
      </c>
    </row>
    <row r="513" spans="1:4">
      <c r="A513" s="1052" t="s">
        <v>1688</v>
      </c>
      <c r="B513" s="184" t="s">
        <v>1614</v>
      </c>
      <c r="C513" s="1057" t="s">
        <v>75</v>
      </c>
      <c r="D513" s="1057" t="s">
        <v>89</v>
      </c>
    </row>
    <row r="514" spans="1:4">
      <c r="A514" s="1052" t="s">
        <v>1690</v>
      </c>
      <c r="B514" s="184" t="s">
        <v>1616</v>
      </c>
      <c r="C514" s="1057" t="s">
        <v>75</v>
      </c>
      <c r="D514" s="1057" t="s">
        <v>89</v>
      </c>
    </row>
    <row r="515" spans="1:4">
      <c r="A515" s="1052" t="s">
        <v>894</v>
      </c>
      <c r="B515" s="184" t="s">
        <v>893</v>
      </c>
      <c r="C515" s="1057" t="s">
        <v>75</v>
      </c>
      <c r="D515" s="1057" t="s">
        <v>89</v>
      </c>
    </row>
    <row r="516" spans="1:4">
      <c r="A516" s="1052" t="s">
        <v>1508</v>
      </c>
      <c r="B516" s="184" t="s">
        <v>1507</v>
      </c>
      <c r="C516" s="1057" t="s">
        <v>75</v>
      </c>
      <c r="D516" s="1057" t="s">
        <v>89</v>
      </c>
    </row>
    <row r="517" spans="1:4">
      <c r="A517" s="1052" t="s">
        <v>1692</v>
      </c>
      <c r="B517" s="184" t="s">
        <v>1618</v>
      </c>
      <c r="C517" s="1057" t="s">
        <v>75</v>
      </c>
      <c r="D517" s="1057" t="s">
        <v>89</v>
      </c>
    </row>
    <row r="518" spans="1:4">
      <c r="A518" s="1052" t="s">
        <v>1694</v>
      </c>
      <c r="B518" s="184" t="s">
        <v>1620</v>
      </c>
      <c r="C518" s="1057" t="s">
        <v>75</v>
      </c>
      <c r="D518" s="1057" t="s">
        <v>89</v>
      </c>
    </row>
    <row r="519" spans="1:4">
      <c r="A519" s="1052" t="s">
        <v>1696</v>
      </c>
      <c r="B519" s="184" t="s">
        <v>1622</v>
      </c>
      <c r="C519" s="1057" t="s">
        <v>75</v>
      </c>
      <c r="D519" s="1057" t="s">
        <v>89</v>
      </c>
    </row>
    <row r="520" spans="1:4">
      <c r="A520" s="1052" t="s">
        <v>896</v>
      </c>
      <c r="B520" s="184" t="s">
        <v>895</v>
      </c>
      <c r="C520" s="1057" t="s">
        <v>75</v>
      </c>
      <c r="D520" s="1057" t="s">
        <v>89</v>
      </c>
    </row>
    <row r="521" spans="1:4">
      <c r="A521" s="1052" t="s">
        <v>1498</v>
      </c>
      <c r="B521" s="184" t="s">
        <v>1497</v>
      </c>
      <c r="C521" s="1057" t="s">
        <v>75</v>
      </c>
      <c r="D521" s="1057" t="s">
        <v>89</v>
      </c>
    </row>
    <row r="522" spans="1:4">
      <c r="A522" s="1052" t="s">
        <v>1698</v>
      </c>
      <c r="B522" s="184" t="s">
        <v>1624</v>
      </c>
      <c r="C522" s="1057" t="s">
        <v>75</v>
      </c>
      <c r="D522" s="1057" t="s">
        <v>89</v>
      </c>
    </row>
    <row r="523" spans="1:4">
      <c r="A523" s="1052" t="s">
        <v>1510</v>
      </c>
      <c r="B523" s="184" t="s">
        <v>1509</v>
      </c>
      <c r="C523" s="1057" t="s">
        <v>75</v>
      </c>
      <c r="D523" s="1057" t="s">
        <v>89</v>
      </c>
    </row>
    <row r="524" spans="1:4">
      <c r="A524" s="1052" t="s">
        <v>1545</v>
      </c>
      <c r="B524" s="184" t="s">
        <v>1544</v>
      </c>
      <c r="C524" s="1057" t="s">
        <v>75</v>
      </c>
      <c r="D524" s="1057" t="s">
        <v>90</v>
      </c>
    </row>
    <row r="525" spans="1:4">
      <c r="A525" s="173" t="s">
        <v>1723</v>
      </c>
      <c r="B525" s="184" t="s">
        <v>1724</v>
      </c>
      <c r="C525" s="1057" t="s">
        <v>75</v>
      </c>
      <c r="D525" s="1057" t="s">
        <v>90</v>
      </c>
    </row>
    <row r="526" spans="1:4">
      <c r="A526" s="1052" t="s">
        <v>1711</v>
      </c>
      <c r="B526" s="184" t="s">
        <v>1636</v>
      </c>
      <c r="C526" s="1057" t="s">
        <v>75</v>
      </c>
      <c r="D526" s="1057" t="s">
        <v>89</v>
      </c>
    </row>
    <row r="527" spans="1:4">
      <c r="A527" s="184" t="s">
        <v>898</v>
      </c>
      <c r="B527" s="184" t="s">
        <v>897</v>
      </c>
      <c r="C527" s="1057" t="s">
        <v>75</v>
      </c>
      <c r="D527" s="1057" t="s">
        <v>89</v>
      </c>
    </row>
    <row r="528" spans="1:4">
      <c r="A528" s="173" t="s">
        <v>1489</v>
      </c>
      <c r="B528" s="172" t="s">
        <v>1488</v>
      </c>
      <c r="C528" s="1057" t="s">
        <v>75</v>
      </c>
      <c r="D528" s="1057" t="s">
        <v>98</v>
      </c>
    </row>
    <row r="529" spans="1:4">
      <c r="A529" s="184" t="s">
        <v>1704</v>
      </c>
      <c r="B529" s="184" t="s">
        <v>1629</v>
      </c>
      <c r="C529" s="1057" t="s">
        <v>75</v>
      </c>
      <c r="D529" s="1057" t="s">
        <v>89</v>
      </c>
    </row>
    <row r="530" spans="1:4">
      <c r="A530" s="184" t="s">
        <v>1706</v>
      </c>
      <c r="B530" s="184" t="s">
        <v>1631</v>
      </c>
      <c r="C530" s="1057" t="s">
        <v>75</v>
      </c>
      <c r="D530" s="1057" t="s">
        <v>89</v>
      </c>
    </row>
    <row r="531" spans="1:4">
      <c r="A531" s="1052" t="s">
        <v>1495</v>
      </c>
      <c r="B531" s="184" t="s">
        <v>1494</v>
      </c>
      <c r="C531" s="1057" t="s">
        <v>75</v>
      </c>
      <c r="D531" s="1057" t="s">
        <v>89</v>
      </c>
    </row>
    <row r="532" spans="1:4">
      <c r="A532" s="173" t="s">
        <v>1564</v>
      </c>
      <c r="B532" s="172" t="s">
        <v>1563</v>
      </c>
      <c r="C532" s="1057" t="s">
        <v>75</v>
      </c>
      <c r="D532" s="1057" t="s">
        <v>95</v>
      </c>
    </row>
    <row r="533" spans="1:4">
      <c r="A533" s="180" t="s">
        <v>1548</v>
      </c>
      <c r="B533" s="181" t="s">
        <v>1547</v>
      </c>
      <c r="C533" s="1057" t="s">
        <v>75</v>
      </c>
      <c r="D533" s="1057" t="s">
        <v>94</v>
      </c>
    </row>
    <row r="534" spans="1:4">
      <c r="A534" s="180" t="s">
        <v>1569</v>
      </c>
      <c r="B534" s="181" t="s">
        <v>1568</v>
      </c>
      <c r="C534" s="1057" t="s">
        <v>75</v>
      </c>
      <c r="D534" s="1057" t="s">
        <v>94</v>
      </c>
    </row>
    <row r="535" spans="1:4">
      <c r="A535" s="173" t="s">
        <v>1726</v>
      </c>
      <c r="B535" s="184" t="s">
        <v>1727</v>
      </c>
      <c r="C535" s="1057" t="s">
        <v>75</v>
      </c>
      <c r="D535" s="1057" t="s">
        <v>90</v>
      </c>
    </row>
    <row r="536" spans="1:4">
      <c r="A536" s="1052" t="s">
        <v>1709</v>
      </c>
      <c r="B536" s="184" t="s">
        <v>1634</v>
      </c>
      <c r="C536" s="1057" t="s">
        <v>75</v>
      </c>
      <c r="D536" s="1057" t="s">
        <v>89</v>
      </c>
    </row>
    <row r="537" spans="1:4">
      <c r="A537" s="1052" t="s">
        <v>1702</v>
      </c>
      <c r="B537" s="184" t="s">
        <v>1627</v>
      </c>
      <c r="C537" s="1057" t="s">
        <v>75</v>
      </c>
      <c r="D537" s="1057" t="s">
        <v>89</v>
      </c>
    </row>
    <row r="538" spans="1:4">
      <c r="A538" s="1052" t="s">
        <v>900</v>
      </c>
      <c r="B538" s="184" t="s">
        <v>899</v>
      </c>
      <c r="C538" s="1057" t="s">
        <v>75</v>
      </c>
      <c r="D538" s="1057" t="s">
        <v>89</v>
      </c>
    </row>
    <row r="539" spans="1:4">
      <c r="A539" s="1052" t="s">
        <v>1553</v>
      </c>
      <c r="B539" s="184" t="s">
        <v>1552</v>
      </c>
      <c r="C539" s="1057" t="s">
        <v>75</v>
      </c>
      <c r="D539" s="1057" t="s">
        <v>90</v>
      </c>
    </row>
    <row r="540" spans="1:4">
      <c r="A540" s="173" t="s">
        <v>1736</v>
      </c>
      <c r="B540" s="172" t="s">
        <v>1737</v>
      </c>
      <c r="C540" s="1057" t="s">
        <v>144</v>
      </c>
      <c r="D540" s="1057" t="s">
        <v>146</v>
      </c>
    </row>
    <row r="541" spans="1:4">
      <c r="A541" s="173" t="s">
        <v>902</v>
      </c>
      <c r="B541" s="172" t="s">
        <v>901</v>
      </c>
      <c r="C541" s="1057" t="s">
        <v>144</v>
      </c>
      <c r="D541" s="1057" t="s">
        <v>181</v>
      </c>
    </row>
    <row r="542" spans="1:4">
      <c r="A542" s="173" t="s">
        <v>904</v>
      </c>
      <c r="B542" s="172" t="s">
        <v>903</v>
      </c>
      <c r="C542" s="1057" t="s">
        <v>144</v>
      </c>
      <c r="D542" s="1057" t="s">
        <v>181</v>
      </c>
    </row>
    <row r="543" spans="1:4">
      <c r="A543" s="1056" t="s">
        <v>1302</v>
      </c>
      <c r="B543" s="1063" t="s">
        <v>1301</v>
      </c>
      <c r="C543" s="1057" t="s">
        <v>144</v>
      </c>
      <c r="D543" s="1057" t="s">
        <v>98</v>
      </c>
    </row>
    <row r="544" spans="1:4">
      <c r="A544" s="173" t="s">
        <v>1557</v>
      </c>
      <c r="B544" s="172" t="s">
        <v>1556</v>
      </c>
      <c r="C544" s="1057" t="s">
        <v>144</v>
      </c>
      <c r="D544" s="1057" t="s">
        <v>150</v>
      </c>
    </row>
    <row r="545" spans="1:4">
      <c r="A545" s="173" t="s">
        <v>1566</v>
      </c>
      <c r="B545" s="172" t="s">
        <v>1565</v>
      </c>
      <c r="C545" s="1057" t="s">
        <v>144</v>
      </c>
      <c r="D545" s="1057" t="s">
        <v>150</v>
      </c>
    </row>
    <row r="546" spans="1:4">
      <c r="A546" s="173" t="s">
        <v>1827</v>
      </c>
      <c r="B546" s="172" t="s">
        <v>1828</v>
      </c>
      <c r="C546" s="1057" t="s">
        <v>144</v>
      </c>
      <c r="D546" s="1057" t="s">
        <v>146</v>
      </c>
    </row>
    <row r="547" spans="1:4">
      <c r="A547" s="173" t="s">
        <v>1829</v>
      </c>
      <c r="B547" s="172" t="s">
        <v>1830</v>
      </c>
      <c r="C547" s="1057" t="s">
        <v>144</v>
      </c>
      <c r="D547" s="1057" t="s">
        <v>146</v>
      </c>
    </row>
    <row r="548" spans="1:4">
      <c r="A548" s="172" t="s">
        <v>1867</v>
      </c>
      <c r="B548" s="172" t="s">
        <v>1868</v>
      </c>
      <c r="C548" s="1057" t="s">
        <v>144</v>
      </c>
      <c r="D548" s="1057" t="s">
        <v>146</v>
      </c>
    </row>
    <row r="549" spans="1:4">
      <c r="A549" s="172" t="s">
        <v>1869</v>
      </c>
      <c r="B549" s="172" t="s">
        <v>1870</v>
      </c>
      <c r="C549" s="1057" t="s">
        <v>144</v>
      </c>
      <c r="D549" s="1057" t="s">
        <v>146</v>
      </c>
    </row>
    <row r="550" spans="1:4">
      <c r="A550" s="173" t="s">
        <v>1845</v>
      </c>
      <c r="B550" s="172" t="s">
        <v>1846</v>
      </c>
      <c r="C550" s="1057" t="s">
        <v>144</v>
      </c>
      <c r="D550" s="1057" t="s">
        <v>146</v>
      </c>
    </row>
    <row r="551" spans="1:4">
      <c r="A551" s="173" t="s">
        <v>1847</v>
      </c>
      <c r="B551" s="172" t="s">
        <v>1848</v>
      </c>
      <c r="C551" s="1057" t="s">
        <v>144</v>
      </c>
      <c r="D551" s="1057" t="s">
        <v>146</v>
      </c>
    </row>
    <row r="552" spans="1:4">
      <c r="A552" s="173" t="s">
        <v>1857</v>
      </c>
      <c r="B552" s="172" t="s">
        <v>1858</v>
      </c>
      <c r="C552" s="1057" t="s">
        <v>144</v>
      </c>
      <c r="D552" s="1057" t="s">
        <v>146</v>
      </c>
    </row>
    <row r="553" spans="1:4">
      <c r="A553" s="173" t="s">
        <v>1859</v>
      </c>
      <c r="B553" s="172" t="s">
        <v>1860</v>
      </c>
      <c r="C553" s="1057" t="s">
        <v>144</v>
      </c>
      <c r="D553" s="1057" t="s">
        <v>146</v>
      </c>
    </row>
    <row r="554" spans="1:4">
      <c r="A554" s="173" t="s">
        <v>1741</v>
      </c>
      <c r="B554" s="172" t="s">
        <v>1742</v>
      </c>
      <c r="C554" s="1057" t="s">
        <v>144</v>
      </c>
      <c r="D554" s="1057" t="s">
        <v>146</v>
      </c>
    </row>
    <row r="555" spans="1:4">
      <c r="A555" s="173" t="s">
        <v>1741</v>
      </c>
      <c r="B555" s="172" t="s">
        <v>1742</v>
      </c>
      <c r="C555" s="1057" t="s">
        <v>144</v>
      </c>
      <c r="D555" s="1057" t="s">
        <v>146</v>
      </c>
    </row>
    <row r="556" spans="1:4">
      <c r="A556" s="173" t="s">
        <v>1743</v>
      </c>
      <c r="B556" s="172" t="s">
        <v>1744</v>
      </c>
      <c r="C556" s="1057" t="s">
        <v>144</v>
      </c>
      <c r="D556" s="1057" t="s">
        <v>146</v>
      </c>
    </row>
    <row r="557" spans="1:4">
      <c r="A557" s="173" t="s">
        <v>1743</v>
      </c>
      <c r="B557" s="172" t="s">
        <v>1744</v>
      </c>
      <c r="C557" s="1057" t="s">
        <v>144</v>
      </c>
      <c r="D557" s="1057" t="s">
        <v>146</v>
      </c>
    </row>
    <row r="558" spans="1:4">
      <c r="A558" s="173" t="s">
        <v>1871</v>
      </c>
      <c r="B558" s="172" t="s">
        <v>1872</v>
      </c>
      <c r="C558" s="1057" t="s">
        <v>144</v>
      </c>
      <c r="D558" s="1057" t="s">
        <v>146</v>
      </c>
    </row>
    <row r="559" spans="1:4">
      <c r="A559" s="173" t="s">
        <v>1833</v>
      </c>
      <c r="B559" s="172" t="s">
        <v>1834</v>
      </c>
      <c r="C559" s="1057" t="s">
        <v>144</v>
      </c>
      <c r="D559" s="1057" t="s">
        <v>181</v>
      </c>
    </row>
    <row r="560" spans="1:4">
      <c r="A560" s="173" t="s">
        <v>1835</v>
      </c>
      <c r="B560" s="172" t="s">
        <v>1836</v>
      </c>
      <c r="C560" s="1057" t="s">
        <v>144</v>
      </c>
      <c r="D560" s="1057" t="s">
        <v>146</v>
      </c>
    </row>
    <row r="561" spans="1:4">
      <c r="A561" s="173" t="s">
        <v>1839</v>
      </c>
      <c r="B561" s="172" t="s">
        <v>1840</v>
      </c>
      <c r="C561" s="1057" t="s">
        <v>144</v>
      </c>
      <c r="D561" s="1057" t="s">
        <v>181</v>
      </c>
    </row>
    <row r="562" spans="1:4">
      <c r="A562" s="173" t="s">
        <v>1841</v>
      </c>
      <c r="B562" s="172" t="s">
        <v>1842</v>
      </c>
      <c r="C562" s="1057" t="s">
        <v>144</v>
      </c>
      <c r="D562" s="1057" t="s">
        <v>146</v>
      </c>
    </row>
    <row r="563" spans="1:4">
      <c r="A563" s="173" t="s">
        <v>1851</v>
      </c>
      <c r="B563" s="172" t="s">
        <v>1852</v>
      </c>
      <c r="C563" s="1057" t="s">
        <v>144</v>
      </c>
      <c r="D563" s="1057" t="s">
        <v>181</v>
      </c>
    </row>
    <row r="564" spans="1:4">
      <c r="A564" s="173" t="s">
        <v>1853</v>
      </c>
      <c r="B564" s="172" t="s">
        <v>1854</v>
      </c>
      <c r="C564" s="1057" t="s">
        <v>144</v>
      </c>
      <c r="D564" s="1057" t="s">
        <v>146</v>
      </c>
    </row>
    <row r="565" spans="1:4">
      <c r="A565" s="173" t="s">
        <v>1821</v>
      </c>
      <c r="B565" s="172" t="s">
        <v>1822</v>
      </c>
      <c r="C565" s="1057" t="s">
        <v>144</v>
      </c>
      <c r="D565" s="1057" t="s">
        <v>146</v>
      </c>
    </row>
    <row r="566" spans="1:4">
      <c r="A566" s="173" t="s">
        <v>1823</v>
      </c>
      <c r="B566" s="172" t="s">
        <v>1824</v>
      </c>
      <c r="C566" s="1057" t="s">
        <v>144</v>
      </c>
      <c r="D566" s="1057" t="s">
        <v>146</v>
      </c>
    </row>
    <row r="567" spans="1:4">
      <c r="A567" s="173" t="s">
        <v>1745</v>
      </c>
      <c r="B567" s="172" t="s">
        <v>1746</v>
      </c>
      <c r="C567" s="1057" t="s">
        <v>144</v>
      </c>
      <c r="D567" s="1057" t="s">
        <v>181</v>
      </c>
    </row>
    <row r="568" spans="1:4">
      <c r="A568" s="172" t="s">
        <v>1745</v>
      </c>
      <c r="B568" s="172" t="s">
        <v>1746</v>
      </c>
      <c r="C568" s="1057" t="s">
        <v>144</v>
      </c>
      <c r="D568" s="1057" t="s">
        <v>181</v>
      </c>
    </row>
    <row r="569" spans="1:4">
      <c r="A569" s="172" t="s">
        <v>1863</v>
      </c>
      <c r="B569" s="172" t="s">
        <v>1864</v>
      </c>
      <c r="C569" s="1057" t="s">
        <v>144</v>
      </c>
      <c r="D569" s="1057" t="s">
        <v>146</v>
      </c>
    </row>
    <row r="570" spans="1:4">
      <c r="A570" s="173" t="s">
        <v>1471</v>
      </c>
      <c r="B570" s="172" t="s">
        <v>1470</v>
      </c>
      <c r="C570" s="1057" t="s">
        <v>155</v>
      </c>
      <c r="D570" s="1057" t="s">
        <v>159</v>
      </c>
    </row>
    <row r="571" spans="1:4">
      <c r="A571" s="173" t="s">
        <v>1243</v>
      </c>
      <c r="B571" s="172" t="s">
        <v>1242</v>
      </c>
      <c r="C571" s="1057" t="s">
        <v>155</v>
      </c>
      <c r="D571" s="1057" t="s">
        <v>163</v>
      </c>
    </row>
    <row r="572" spans="1:4">
      <c r="A572" s="173" t="s">
        <v>1477</v>
      </c>
      <c r="B572" s="172" t="s">
        <v>1476</v>
      </c>
      <c r="C572" s="1057" t="s">
        <v>155</v>
      </c>
      <c r="D572" s="1057" t="s">
        <v>161</v>
      </c>
    </row>
    <row r="573" spans="1:4">
      <c r="A573" s="173" t="s">
        <v>1473</v>
      </c>
      <c r="B573" s="585" t="s">
        <v>1472</v>
      </c>
      <c r="C573" s="1057" t="s">
        <v>155</v>
      </c>
      <c r="D573" s="1057" t="s">
        <v>162</v>
      </c>
    </row>
    <row r="574" spans="1:4">
      <c r="A574" s="173" t="s">
        <v>1397</v>
      </c>
      <c r="B574" s="172" t="s">
        <v>1396</v>
      </c>
      <c r="C574" s="1057" t="s">
        <v>155</v>
      </c>
      <c r="D574" s="1057" t="s">
        <v>164</v>
      </c>
    </row>
    <row r="575" spans="1:4">
      <c r="A575" s="173" t="s">
        <v>1174</v>
      </c>
      <c r="B575" s="172" t="s">
        <v>1173</v>
      </c>
      <c r="C575" s="1057" t="s">
        <v>155</v>
      </c>
      <c r="D575" s="1057" t="s">
        <v>161</v>
      </c>
    </row>
    <row r="576" spans="1:4">
      <c r="A576" s="173" t="s">
        <v>1875</v>
      </c>
      <c r="B576" s="172" t="s">
        <v>1876</v>
      </c>
      <c r="C576" s="1057" t="s">
        <v>1646</v>
      </c>
      <c r="D576" s="1057" t="s">
        <v>167</v>
      </c>
    </row>
    <row r="577" spans="1:4">
      <c r="A577" s="173" t="s">
        <v>1460</v>
      </c>
      <c r="B577" s="172" t="s">
        <v>1459</v>
      </c>
      <c r="C577" s="1057" t="s">
        <v>175</v>
      </c>
      <c r="D577" s="1057" t="s">
        <v>187</v>
      </c>
    </row>
    <row r="578" spans="1:4">
      <c r="A578" s="173" t="s">
        <v>1881</v>
      </c>
      <c r="B578" s="172" t="s">
        <v>1882</v>
      </c>
      <c r="C578" s="1057" t="s">
        <v>155</v>
      </c>
      <c r="D578" s="1057" t="s">
        <v>1700</v>
      </c>
    </row>
    <row r="579" spans="1:4">
      <c r="A579" s="173" t="s">
        <v>1384</v>
      </c>
      <c r="B579" s="172" t="s">
        <v>1383</v>
      </c>
      <c r="C579" s="1057" t="s">
        <v>155</v>
      </c>
      <c r="D579" s="1057" t="s">
        <v>167</v>
      </c>
    </row>
    <row r="580" spans="1:4">
      <c r="A580" s="173" t="s">
        <v>1167</v>
      </c>
      <c r="B580" s="172" t="s">
        <v>1166</v>
      </c>
      <c r="C580" s="1057" t="s">
        <v>155</v>
      </c>
      <c r="D580" s="1057" t="s">
        <v>167</v>
      </c>
    </row>
    <row r="581" spans="1:4">
      <c r="A581" s="173" t="s">
        <v>1468</v>
      </c>
      <c r="B581" s="172" t="s">
        <v>1467</v>
      </c>
      <c r="C581" s="1057" t="s">
        <v>155</v>
      </c>
      <c r="D581" s="1057" t="s">
        <v>167</v>
      </c>
    </row>
    <row r="582" spans="1:4">
      <c r="A582" s="173" t="s">
        <v>1411</v>
      </c>
      <c r="B582" s="172" t="s">
        <v>1410</v>
      </c>
      <c r="C582" s="1057" t="s">
        <v>171</v>
      </c>
      <c r="D582" s="1057" t="s">
        <v>172</v>
      </c>
    </row>
    <row r="583" spans="1:4">
      <c r="A583" s="173" t="s">
        <v>906</v>
      </c>
      <c r="B583" s="172" t="s">
        <v>905</v>
      </c>
      <c r="C583" s="1057" t="s">
        <v>171</v>
      </c>
      <c r="D583" s="1057" t="s">
        <v>172</v>
      </c>
    </row>
    <row r="584" spans="1:4">
      <c r="A584" s="173" t="s">
        <v>1263</v>
      </c>
      <c r="B584" s="172" t="s">
        <v>1262</v>
      </c>
      <c r="C584" s="1057" t="s">
        <v>171</v>
      </c>
      <c r="D584" s="1057" t="s">
        <v>172</v>
      </c>
    </row>
    <row r="585" spans="1:4">
      <c r="A585" s="173" t="s">
        <v>1540</v>
      </c>
      <c r="B585" s="172" t="s">
        <v>1419</v>
      </c>
      <c r="C585" s="1057" t="s">
        <v>144</v>
      </c>
      <c r="D585" s="1057" t="s">
        <v>146</v>
      </c>
    </row>
    <row r="586" spans="1:4">
      <c r="A586" s="173" t="s">
        <v>1791</v>
      </c>
      <c r="B586" s="172" t="s">
        <v>923</v>
      </c>
      <c r="C586" s="1057" t="s">
        <v>144</v>
      </c>
      <c r="D586" s="1057" t="s">
        <v>146</v>
      </c>
    </row>
    <row r="587" spans="1:4">
      <c r="A587" s="173" t="s">
        <v>1546</v>
      </c>
      <c r="B587" s="172" t="s">
        <v>1446</v>
      </c>
      <c r="C587" s="1057" t="s">
        <v>144</v>
      </c>
      <c r="D587" s="1057" t="s">
        <v>146</v>
      </c>
    </row>
    <row r="588" spans="1:4">
      <c r="A588" s="173" t="s">
        <v>1794</v>
      </c>
      <c r="B588" s="172" t="s">
        <v>1795</v>
      </c>
      <c r="C588" s="1057" t="s">
        <v>144</v>
      </c>
      <c r="D588" s="1057" t="s">
        <v>146</v>
      </c>
    </row>
    <row r="589" spans="1:4">
      <c r="A589" s="173" t="s">
        <v>908</v>
      </c>
      <c r="B589" s="172" t="s">
        <v>907</v>
      </c>
      <c r="C589" s="1057" t="s">
        <v>144</v>
      </c>
      <c r="D589" s="1057" t="s">
        <v>146</v>
      </c>
    </row>
    <row r="590" spans="1:4">
      <c r="A590" s="173" t="s">
        <v>1519</v>
      </c>
      <c r="B590" s="172" t="s">
        <v>1313</v>
      </c>
      <c r="C590" s="1057" t="s">
        <v>144</v>
      </c>
      <c r="D590" s="1057" t="s">
        <v>146</v>
      </c>
    </row>
    <row r="591" spans="1:4">
      <c r="A591" s="173" t="s">
        <v>1541</v>
      </c>
      <c r="B591" s="172" t="s">
        <v>1421</v>
      </c>
      <c r="C591" s="1057" t="s">
        <v>144</v>
      </c>
      <c r="D591" s="1057" t="s">
        <v>146</v>
      </c>
    </row>
    <row r="592" spans="1:4">
      <c r="A592" s="173" t="s">
        <v>1562</v>
      </c>
      <c r="B592" s="172" t="s">
        <v>1486</v>
      </c>
      <c r="C592" s="1057" t="s">
        <v>144</v>
      </c>
      <c r="D592" s="1057" t="s">
        <v>146</v>
      </c>
    </row>
    <row r="593" spans="1:4">
      <c r="A593" s="173" t="s">
        <v>1799</v>
      </c>
      <c r="B593" s="172" t="s">
        <v>1800</v>
      </c>
      <c r="C593" s="1057" t="s">
        <v>144</v>
      </c>
      <c r="D593" s="1057" t="s">
        <v>146</v>
      </c>
    </row>
    <row r="594" spans="1:4">
      <c r="A594" s="173" t="s">
        <v>1482</v>
      </c>
      <c r="B594" s="172" t="s">
        <v>1322</v>
      </c>
      <c r="C594" s="1057" t="s">
        <v>144</v>
      </c>
      <c r="D594" s="1057" t="s">
        <v>146</v>
      </c>
    </row>
    <row r="595" spans="1:4">
      <c r="A595" s="173" t="s">
        <v>910</v>
      </c>
      <c r="B595" s="172" t="s">
        <v>909</v>
      </c>
      <c r="C595" s="1057" t="s">
        <v>144</v>
      </c>
      <c r="D595" s="1057" t="s">
        <v>146</v>
      </c>
    </row>
    <row r="596" spans="1:4">
      <c r="A596" s="173" t="s">
        <v>1804</v>
      </c>
      <c r="B596" s="172" t="s">
        <v>1805</v>
      </c>
      <c r="C596" s="1057" t="s">
        <v>144</v>
      </c>
      <c r="D596" s="1057" t="s">
        <v>146</v>
      </c>
    </row>
    <row r="597" spans="1:4">
      <c r="A597" s="173" t="s">
        <v>1809</v>
      </c>
      <c r="B597" s="172" t="s">
        <v>1810</v>
      </c>
      <c r="C597" s="1057" t="s">
        <v>144</v>
      </c>
      <c r="D597" s="1057" t="s">
        <v>146</v>
      </c>
    </row>
    <row r="598" spans="1:4">
      <c r="A598" s="173" t="s">
        <v>912</v>
      </c>
      <c r="B598" s="172" t="s">
        <v>911</v>
      </c>
      <c r="C598" s="1057" t="s">
        <v>144</v>
      </c>
      <c r="D598" s="1057" t="s">
        <v>146</v>
      </c>
    </row>
    <row r="599" spans="1:4">
      <c r="A599" s="173" t="s">
        <v>1814</v>
      </c>
      <c r="B599" s="172" t="s">
        <v>1815</v>
      </c>
      <c r="C599" s="1057" t="s">
        <v>144</v>
      </c>
      <c r="D599" s="1057" t="s">
        <v>146</v>
      </c>
    </row>
    <row r="600" spans="1:4">
      <c r="A600" s="173" t="s">
        <v>1817</v>
      </c>
      <c r="B600" s="172" t="s">
        <v>1818</v>
      </c>
      <c r="C600" s="1057" t="s">
        <v>144</v>
      </c>
      <c r="D600" s="1057" t="s">
        <v>146</v>
      </c>
    </row>
    <row r="601" spans="1:4">
      <c r="A601" s="173" t="s">
        <v>914</v>
      </c>
      <c r="B601" s="1063" t="s">
        <v>913</v>
      </c>
      <c r="C601" s="1057" t="s">
        <v>144</v>
      </c>
      <c r="D601" s="1057" t="s">
        <v>147</v>
      </c>
    </row>
    <row r="602" spans="1:4">
      <c r="A602" s="173" t="s">
        <v>1749</v>
      </c>
      <c r="B602" s="1063" t="s">
        <v>1750</v>
      </c>
      <c r="C602" s="1057" t="s">
        <v>144</v>
      </c>
      <c r="D602" s="1057" t="s">
        <v>147</v>
      </c>
    </row>
    <row r="603" spans="1:4">
      <c r="A603" s="173" t="s">
        <v>916</v>
      </c>
      <c r="B603" s="172" t="s">
        <v>915</v>
      </c>
      <c r="C603" s="1057" t="s">
        <v>144</v>
      </c>
      <c r="D603" s="1057" t="s">
        <v>147</v>
      </c>
    </row>
    <row r="604" spans="1:4">
      <c r="A604" s="173" t="s">
        <v>1753</v>
      </c>
      <c r="B604" s="172" t="s">
        <v>1754</v>
      </c>
      <c r="C604" s="1057" t="s">
        <v>144</v>
      </c>
      <c r="D604" s="1057" t="s">
        <v>147</v>
      </c>
    </row>
    <row r="605" spans="1:4">
      <c r="A605" s="173" t="s">
        <v>1757</v>
      </c>
      <c r="B605" s="172" t="s">
        <v>1758</v>
      </c>
      <c r="C605" s="1057" t="s">
        <v>144</v>
      </c>
      <c r="D605" s="1057" t="s">
        <v>147</v>
      </c>
    </row>
    <row r="606" spans="1:4">
      <c r="A606" s="173" t="s">
        <v>1761</v>
      </c>
      <c r="B606" s="172" t="s">
        <v>1762</v>
      </c>
      <c r="C606" s="1057" t="s">
        <v>144</v>
      </c>
      <c r="D606" s="1057" t="s">
        <v>147</v>
      </c>
    </row>
    <row r="607" spans="1:4">
      <c r="A607" s="173" t="s">
        <v>1765</v>
      </c>
      <c r="B607" s="172" t="s">
        <v>1766</v>
      </c>
      <c r="C607" s="1057" t="s">
        <v>144</v>
      </c>
      <c r="D607" s="1057" t="s">
        <v>147</v>
      </c>
    </row>
    <row r="608" spans="1:4">
      <c r="A608" s="173" t="s">
        <v>1454</v>
      </c>
      <c r="B608" s="172" t="s">
        <v>1320</v>
      </c>
      <c r="C608" s="1057" t="s">
        <v>144</v>
      </c>
      <c r="D608" s="1057" t="s">
        <v>147</v>
      </c>
    </row>
    <row r="609" spans="1:4">
      <c r="A609" s="173" t="s">
        <v>1773</v>
      </c>
      <c r="B609" s="172" t="s">
        <v>1774</v>
      </c>
      <c r="C609" s="1057" t="s">
        <v>144</v>
      </c>
      <c r="D609" s="1057" t="s">
        <v>147</v>
      </c>
    </row>
    <row r="610" spans="1:4">
      <c r="A610" s="173" t="s">
        <v>1777</v>
      </c>
      <c r="B610" s="172" t="s">
        <v>1778</v>
      </c>
      <c r="C610" s="1057" t="s">
        <v>144</v>
      </c>
      <c r="D610" s="1057" t="s">
        <v>147</v>
      </c>
    </row>
    <row r="611" spans="1:4">
      <c r="A611" s="173" t="s">
        <v>1153</v>
      </c>
      <c r="B611" s="172" t="s">
        <v>928</v>
      </c>
      <c r="C611" s="1057" t="s">
        <v>144</v>
      </c>
      <c r="D611" s="1057" t="s">
        <v>147</v>
      </c>
    </row>
    <row r="612" spans="1:4">
      <c r="A612" s="173" t="s">
        <v>1785</v>
      </c>
      <c r="B612" s="172" t="s">
        <v>1786</v>
      </c>
      <c r="C612" s="1057" t="s">
        <v>144</v>
      </c>
      <c r="D612" s="1057" t="s">
        <v>147</v>
      </c>
    </row>
    <row r="613" spans="1:4">
      <c r="A613" s="173" t="s">
        <v>1787</v>
      </c>
      <c r="B613" s="172" t="s">
        <v>1788</v>
      </c>
      <c r="C613" s="1057" t="s">
        <v>144</v>
      </c>
      <c r="D613" s="1057" t="s">
        <v>147</v>
      </c>
    </row>
    <row r="614" spans="1:4">
      <c r="A614" s="173" t="s">
        <v>1555</v>
      </c>
      <c r="B614" s="172" t="s">
        <v>1554</v>
      </c>
      <c r="C614" s="1057" t="s">
        <v>144</v>
      </c>
      <c r="D614" s="1057" t="s">
        <v>146</v>
      </c>
    </row>
    <row r="615" spans="1:4">
      <c r="A615" s="173" t="s">
        <v>918</v>
      </c>
      <c r="B615" s="172" t="s">
        <v>917</v>
      </c>
      <c r="C615" s="1057" t="s">
        <v>144</v>
      </c>
      <c r="D615" s="1057" t="s">
        <v>146</v>
      </c>
    </row>
    <row r="616" spans="1:4">
      <c r="A616" s="180" t="s">
        <v>1518</v>
      </c>
      <c r="B616" s="181" t="s">
        <v>1223</v>
      </c>
      <c r="C616" s="1057" t="s">
        <v>144</v>
      </c>
      <c r="D616" s="1057" t="s">
        <v>147</v>
      </c>
    </row>
    <row r="617" spans="1:4">
      <c r="A617" s="173" t="s">
        <v>1517</v>
      </c>
      <c r="B617" s="172" t="s">
        <v>1516</v>
      </c>
      <c r="C617" s="1057" t="s">
        <v>175</v>
      </c>
      <c r="D617" s="1057" t="s">
        <v>177</v>
      </c>
    </row>
    <row r="618" spans="1:4">
      <c r="A618" s="181" t="s">
        <v>1228</v>
      </c>
      <c r="B618" s="181" t="s">
        <v>1147</v>
      </c>
      <c r="C618" s="1057"/>
      <c r="D618" s="1057"/>
    </row>
    <row r="619" spans="1:4">
      <c r="A619" s="172" t="s">
        <v>1543</v>
      </c>
      <c r="B619" s="172" t="s">
        <v>1542</v>
      </c>
      <c r="C619" s="1057" t="s">
        <v>175</v>
      </c>
      <c r="D619" s="1057" t="s">
        <v>179</v>
      </c>
    </row>
    <row r="620" spans="1:4">
      <c r="A620" s="180" t="s">
        <v>1148</v>
      </c>
      <c r="B620" s="181" t="s">
        <v>1147</v>
      </c>
      <c r="C620" s="1057"/>
      <c r="D620" s="1057"/>
    </row>
    <row r="621" spans="1:4">
      <c r="A621" s="172" t="s">
        <v>1514</v>
      </c>
      <c r="B621" s="172" t="s">
        <v>1513</v>
      </c>
      <c r="C621" s="1057" t="s">
        <v>175</v>
      </c>
      <c r="D621" s="1057" t="s">
        <v>180</v>
      </c>
    </row>
    <row r="622" spans="1:4">
      <c r="A622" s="180" t="s">
        <v>1222</v>
      </c>
      <c r="B622" s="181" t="s">
        <v>1147</v>
      </c>
      <c r="C622" s="1057"/>
      <c r="D622" s="1057"/>
    </row>
    <row r="623" spans="1:4">
      <c r="A623" s="172" t="s">
        <v>1163</v>
      </c>
      <c r="B623" s="172" t="s">
        <v>1162</v>
      </c>
      <c r="C623" s="1057" t="s">
        <v>175</v>
      </c>
      <c r="D623" s="1057" t="s">
        <v>179</v>
      </c>
    </row>
    <row r="624" spans="1:4">
      <c r="A624" s="173" t="s">
        <v>1355</v>
      </c>
      <c r="B624" s="172" t="s">
        <v>1354</v>
      </c>
      <c r="C624" s="1057" t="s">
        <v>175</v>
      </c>
      <c r="D624" s="1057" t="s">
        <v>177</v>
      </c>
    </row>
    <row r="625" spans="1:4">
      <c r="A625" s="173" t="s">
        <v>1378</v>
      </c>
      <c r="B625" s="172" t="s">
        <v>1377</v>
      </c>
      <c r="C625" s="1057" t="s">
        <v>175</v>
      </c>
      <c r="D625" s="1057" t="s">
        <v>189</v>
      </c>
    </row>
    <row r="626" spans="1:4">
      <c r="A626" s="173" t="s">
        <v>1883</v>
      </c>
      <c r="B626" s="172" t="s">
        <v>1876</v>
      </c>
      <c r="C626" s="1057" t="s">
        <v>155</v>
      </c>
      <c r="D626" s="1057" t="s">
        <v>1700</v>
      </c>
    </row>
    <row r="627" spans="1:4">
      <c r="A627" s="172" t="s">
        <v>1364</v>
      </c>
      <c r="B627" s="172" t="s">
        <v>1363</v>
      </c>
      <c r="C627" s="1057" t="s">
        <v>175</v>
      </c>
      <c r="D627" s="1057" t="s">
        <v>178</v>
      </c>
    </row>
    <row r="628" spans="1:4">
      <c r="A628" s="172" t="s">
        <v>920</v>
      </c>
      <c r="B628" s="172" t="s">
        <v>919</v>
      </c>
      <c r="C628" s="1057" t="s">
        <v>175</v>
      </c>
      <c r="D628" s="1057" t="s">
        <v>178</v>
      </c>
    </row>
    <row r="629" spans="1:4">
      <c r="A629" s="173" t="s">
        <v>1215</v>
      </c>
      <c r="B629" s="172" t="s">
        <v>1214</v>
      </c>
      <c r="C629" s="1057" t="s">
        <v>175</v>
      </c>
      <c r="D629" s="1057" t="s">
        <v>178</v>
      </c>
    </row>
    <row r="630" spans="1:4">
      <c r="A630" s="173" t="s">
        <v>1435</v>
      </c>
      <c r="B630" s="172" t="s">
        <v>1434</v>
      </c>
      <c r="C630" s="1057" t="s">
        <v>175</v>
      </c>
      <c r="D630" s="1057" t="s">
        <v>181</v>
      </c>
    </row>
    <row r="631" spans="1:4">
      <c r="A631" s="173" t="s">
        <v>1194</v>
      </c>
      <c r="B631" s="172" t="s">
        <v>1193</v>
      </c>
      <c r="C631" s="1057" t="s">
        <v>175</v>
      </c>
      <c r="D631" s="1057" t="s">
        <v>181</v>
      </c>
    </row>
    <row r="632" spans="1:4">
      <c r="A632" s="173" t="s">
        <v>1504</v>
      </c>
      <c r="B632" s="172" t="s">
        <v>1503</v>
      </c>
      <c r="C632" s="1057" t="s">
        <v>175</v>
      </c>
      <c r="D632" s="1057" t="s">
        <v>1922</v>
      </c>
    </row>
    <row r="633" spans="1:4">
      <c r="A633" s="173" t="s">
        <v>1491</v>
      </c>
      <c r="B633" s="172" t="s">
        <v>1490</v>
      </c>
      <c r="C633" s="1057" t="s">
        <v>175</v>
      </c>
      <c r="D633" s="1057" t="s">
        <v>186</v>
      </c>
    </row>
    <row r="634" spans="1:4">
      <c r="A634" s="173" t="s">
        <v>922</v>
      </c>
      <c r="B634" s="172" t="s">
        <v>921</v>
      </c>
      <c r="C634" s="1057" t="s">
        <v>1646</v>
      </c>
      <c r="D634" s="1057" t="s">
        <v>178</v>
      </c>
    </row>
    <row r="635" spans="1:4">
      <c r="A635" s="173" t="s">
        <v>423</v>
      </c>
      <c r="B635" s="172" t="s">
        <v>422</v>
      </c>
      <c r="C635" s="1057" t="s">
        <v>175</v>
      </c>
      <c r="D635" s="1057" t="s">
        <v>183</v>
      </c>
    </row>
    <row r="636" spans="1:4">
      <c r="A636" s="173" t="s">
        <v>1420</v>
      </c>
      <c r="B636" s="172" t="s">
        <v>1419</v>
      </c>
      <c r="C636" s="1057" t="s">
        <v>144</v>
      </c>
      <c r="D636" s="1057" t="s">
        <v>146</v>
      </c>
    </row>
    <row r="637" spans="1:4">
      <c r="A637" s="173" t="s">
        <v>924</v>
      </c>
      <c r="B637" s="172" t="s">
        <v>923</v>
      </c>
      <c r="C637" s="1057" t="s">
        <v>144</v>
      </c>
      <c r="D637" s="1057" t="s">
        <v>146</v>
      </c>
    </row>
    <row r="638" spans="1:4">
      <c r="A638" s="173" t="s">
        <v>1447</v>
      </c>
      <c r="B638" s="172" t="s">
        <v>1446</v>
      </c>
      <c r="C638" s="1057" t="s">
        <v>144</v>
      </c>
      <c r="D638" s="1057" t="s">
        <v>146</v>
      </c>
    </row>
    <row r="639" spans="1:4">
      <c r="A639" s="173" t="s">
        <v>1796</v>
      </c>
      <c r="B639" s="172" t="s">
        <v>1795</v>
      </c>
      <c r="C639" s="1057" t="s">
        <v>144</v>
      </c>
      <c r="D639" s="1057" t="s">
        <v>146</v>
      </c>
    </row>
    <row r="640" spans="1:4">
      <c r="A640" s="193" t="s">
        <v>925</v>
      </c>
      <c r="B640" s="585" t="s">
        <v>907</v>
      </c>
      <c r="C640" s="1057" t="s">
        <v>144</v>
      </c>
      <c r="D640" s="1057" t="s">
        <v>146</v>
      </c>
    </row>
    <row r="641" spans="1:4">
      <c r="A641" s="173" t="s">
        <v>1314</v>
      </c>
      <c r="B641" s="172" t="s">
        <v>1313</v>
      </c>
      <c r="C641" s="1057" t="s">
        <v>144</v>
      </c>
      <c r="D641" s="1057" t="s">
        <v>146</v>
      </c>
    </row>
    <row r="642" spans="1:4">
      <c r="A642" s="173" t="s">
        <v>1422</v>
      </c>
      <c r="B642" s="172" t="s">
        <v>1421</v>
      </c>
      <c r="C642" s="1057" t="s">
        <v>144</v>
      </c>
      <c r="D642" s="1057" t="s">
        <v>146</v>
      </c>
    </row>
    <row r="643" spans="1:4">
      <c r="A643" s="173" t="s">
        <v>1487</v>
      </c>
      <c r="B643" s="172" t="s">
        <v>1486</v>
      </c>
      <c r="C643" s="1057" t="s">
        <v>144</v>
      </c>
      <c r="D643" s="1057" t="s">
        <v>146</v>
      </c>
    </row>
    <row r="644" spans="1:4">
      <c r="A644" s="173" t="s">
        <v>1801</v>
      </c>
      <c r="B644" s="172" t="s">
        <v>1800</v>
      </c>
      <c r="C644" s="1057" t="s">
        <v>144</v>
      </c>
      <c r="D644" s="1057" t="s">
        <v>146</v>
      </c>
    </row>
    <row r="645" spans="1:4">
      <c r="A645" s="173" t="s">
        <v>1323</v>
      </c>
      <c r="B645" s="172" t="s">
        <v>1322</v>
      </c>
      <c r="C645" s="1057" t="s">
        <v>144</v>
      </c>
      <c r="D645" s="1057" t="s">
        <v>146</v>
      </c>
    </row>
    <row r="646" spans="1:4">
      <c r="A646" s="173" t="s">
        <v>926</v>
      </c>
      <c r="B646" s="172" t="s">
        <v>909</v>
      </c>
      <c r="C646" s="1057" t="s">
        <v>144</v>
      </c>
      <c r="D646" s="1057" t="s">
        <v>146</v>
      </c>
    </row>
    <row r="647" spans="1:4">
      <c r="A647" s="173" t="s">
        <v>1806</v>
      </c>
      <c r="B647" s="172" t="s">
        <v>1805</v>
      </c>
      <c r="C647" s="1057" t="s">
        <v>144</v>
      </c>
      <c r="D647" s="1057" t="s">
        <v>146</v>
      </c>
    </row>
    <row r="648" spans="1:4">
      <c r="A648" s="173" t="s">
        <v>1811</v>
      </c>
      <c r="B648" s="172" t="s">
        <v>1810</v>
      </c>
      <c r="C648" s="1057" t="s">
        <v>144</v>
      </c>
      <c r="D648" s="1057" t="s">
        <v>146</v>
      </c>
    </row>
    <row r="649" spans="1:4">
      <c r="A649" s="173" t="s">
        <v>927</v>
      </c>
      <c r="B649" s="172" t="s">
        <v>911</v>
      </c>
      <c r="C649" s="1057" t="s">
        <v>144</v>
      </c>
      <c r="D649" s="1057" t="s">
        <v>146</v>
      </c>
    </row>
    <row r="650" spans="1:4">
      <c r="A650" s="193" t="s">
        <v>1816</v>
      </c>
      <c r="B650" s="603" t="s">
        <v>1815</v>
      </c>
      <c r="C650" s="1057" t="s">
        <v>144</v>
      </c>
      <c r="D650" s="1057" t="s">
        <v>146</v>
      </c>
    </row>
    <row r="651" spans="1:4">
      <c r="A651" s="173" t="s">
        <v>1321</v>
      </c>
      <c r="B651" s="184" t="s">
        <v>1320</v>
      </c>
      <c r="C651" s="1057" t="s">
        <v>144</v>
      </c>
      <c r="D651" s="1057" t="s">
        <v>147</v>
      </c>
    </row>
    <row r="652" spans="1:4">
      <c r="A652" s="173" t="s">
        <v>1769</v>
      </c>
      <c r="B652" s="172" t="s">
        <v>1770</v>
      </c>
      <c r="C652" s="1057" t="s">
        <v>144</v>
      </c>
      <c r="D652" s="1057" t="s">
        <v>147</v>
      </c>
    </row>
    <row r="653" spans="1:4">
      <c r="A653" s="173" t="s">
        <v>1782</v>
      </c>
      <c r="B653" s="172" t="s">
        <v>1781</v>
      </c>
      <c r="C653" s="1057" t="s">
        <v>144</v>
      </c>
      <c r="D653" s="1057" t="s">
        <v>147</v>
      </c>
    </row>
    <row r="654" spans="1:4">
      <c r="A654" s="173" t="s">
        <v>1493</v>
      </c>
      <c r="B654" s="172" t="s">
        <v>1492</v>
      </c>
      <c r="C654" s="1057" t="s">
        <v>144</v>
      </c>
      <c r="D654" s="1057" t="s">
        <v>146</v>
      </c>
    </row>
    <row r="655" spans="1:4">
      <c r="A655" s="173" t="s">
        <v>929</v>
      </c>
      <c r="B655" s="172" t="s">
        <v>917</v>
      </c>
      <c r="C655" s="1057" t="s">
        <v>144</v>
      </c>
      <c r="D655" s="1057" t="s">
        <v>146</v>
      </c>
    </row>
    <row r="656" spans="1:4">
      <c r="A656" s="173" t="s">
        <v>931</v>
      </c>
      <c r="B656" s="172" t="s">
        <v>930</v>
      </c>
      <c r="C656" s="1057" t="s">
        <v>144</v>
      </c>
      <c r="D656" s="1057" t="s">
        <v>147</v>
      </c>
    </row>
    <row r="657" spans="1:4">
      <c r="A657" s="180" t="s">
        <v>1224</v>
      </c>
      <c r="B657" s="181" t="s">
        <v>1223</v>
      </c>
      <c r="C657" s="1057" t="s">
        <v>144</v>
      </c>
      <c r="D657" s="1057" t="s">
        <v>147</v>
      </c>
    </row>
    <row r="658" spans="1:4">
      <c r="A658" s="173" t="s">
        <v>1485</v>
      </c>
      <c r="B658" s="172" t="s">
        <v>1523</v>
      </c>
      <c r="C658" s="1057" t="s">
        <v>75</v>
      </c>
      <c r="D658" s="1057" t="s">
        <v>103</v>
      </c>
    </row>
    <row r="659" spans="1:4">
      <c r="A659" s="173" t="s">
        <v>1444</v>
      </c>
      <c r="B659" s="172" t="s">
        <v>1442</v>
      </c>
      <c r="C659" s="1057" t="s">
        <v>75</v>
      </c>
      <c r="D659" s="1057" t="s">
        <v>104</v>
      </c>
    </row>
    <row r="660" spans="1:4">
      <c r="A660" s="173" t="s">
        <v>400</v>
      </c>
      <c r="B660" s="172" t="s">
        <v>399</v>
      </c>
      <c r="C660" s="1057" t="s">
        <v>75</v>
      </c>
      <c r="D660" s="1057" t="s">
        <v>106</v>
      </c>
    </row>
    <row r="661" spans="1:4">
      <c r="A661" s="173" t="s">
        <v>1436</v>
      </c>
      <c r="B661" s="172" t="s">
        <v>1360</v>
      </c>
      <c r="C661" s="1057" t="s">
        <v>75</v>
      </c>
      <c r="D661" s="1057" t="s">
        <v>107</v>
      </c>
    </row>
    <row r="662" spans="1:4">
      <c r="A662" s="173" t="s">
        <v>940</v>
      </c>
      <c r="B662" s="172" t="s">
        <v>938</v>
      </c>
      <c r="C662" s="1057" t="s">
        <v>75</v>
      </c>
      <c r="D662" s="1057" t="s">
        <v>109</v>
      </c>
    </row>
    <row r="663" spans="1:4">
      <c r="A663" s="173" t="s">
        <v>1409</v>
      </c>
      <c r="B663" s="172" t="s">
        <v>1407</v>
      </c>
      <c r="C663" s="1057" t="s">
        <v>75</v>
      </c>
      <c r="D663" s="1057" t="s">
        <v>105</v>
      </c>
    </row>
    <row r="664" spans="1:4">
      <c r="A664" s="173" t="s">
        <v>1376</v>
      </c>
      <c r="B664" s="172" t="s">
        <v>1374</v>
      </c>
      <c r="C664" s="1057" t="s">
        <v>75</v>
      </c>
      <c r="D664" s="1057" t="s">
        <v>108</v>
      </c>
    </row>
    <row r="665" spans="1:4">
      <c r="A665" s="173" t="s">
        <v>444</v>
      </c>
      <c r="B665" s="172" t="s">
        <v>443</v>
      </c>
      <c r="C665" s="1057" t="s">
        <v>75</v>
      </c>
      <c r="D665" s="1057" t="s">
        <v>108</v>
      </c>
    </row>
    <row r="666" spans="1:4">
      <c r="A666" s="173" t="s">
        <v>1885</v>
      </c>
      <c r="B666" s="585" t="s">
        <v>1886</v>
      </c>
      <c r="C666" s="1057" t="s">
        <v>75</v>
      </c>
      <c r="D666" s="1057" t="s">
        <v>108</v>
      </c>
    </row>
    <row r="667" spans="1:4">
      <c r="A667" s="173" t="s">
        <v>1261</v>
      </c>
      <c r="B667" s="172" t="s">
        <v>1259</v>
      </c>
      <c r="C667" s="1057" t="s">
        <v>75</v>
      </c>
      <c r="D667" s="1057" t="s">
        <v>213</v>
      </c>
    </row>
    <row r="668" spans="1:4">
      <c r="A668" s="173" t="s">
        <v>1185</v>
      </c>
      <c r="B668" s="172" t="s">
        <v>1183</v>
      </c>
      <c r="C668" s="1057" t="s">
        <v>75</v>
      </c>
      <c r="D668" s="1057" t="s">
        <v>112</v>
      </c>
    </row>
    <row r="669" spans="1:4">
      <c r="A669" s="173" t="s">
        <v>1268</v>
      </c>
      <c r="B669" s="172" t="s">
        <v>1342</v>
      </c>
      <c r="C669" s="1057" t="s">
        <v>75</v>
      </c>
      <c r="D669" s="1057" t="s">
        <v>113</v>
      </c>
    </row>
    <row r="670" spans="1:4">
      <c r="A670" s="173" t="s">
        <v>1251</v>
      </c>
      <c r="B670" s="172" t="s">
        <v>1249</v>
      </c>
      <c r="C670" s="1057" t="s">
        <v>75</v>
      </c>
      <c r="D670" s="1057" t="s">
        <v>114</v>
      </c>
    </row>
    <row r="671" spans="1:4">
      <c r="A671" s="173" t="s">
        <v>1213</v>
      </c>
      <c r="B671" s="172" t="s">
        <v>1445</v>
      </c>
      <c r="C671" s="1057" t="s">
        <v>75</v>
      </c>
      <c r="D671" s="1057" t="s">
        <v>116</v>
      </c>
    </row>
    <row r="672" spans="1:4">
      <c r="A672" s="173" t="s">
        <v>1254</v>
      </c>
      <c r="B672" s="172" t="s">
        <v>1252</v>
      </c>
      <c r="C672" s="1057" t="s">
        <v>75</v>
      </c>
      <c r="D672" s="1057" t="s">
        <v>119</v>
      </c>
    </row>
    <row r="673" spans="1:4">
      <c r="A673" s="173" t="s">
        <v>1285</v>
      </c>
      <c r="B673" s="172" t="s">
        <v>1283</v>
      </c>
      <c r="C673" s="1057" t="s">
        <v>75</v>
      </c>
      <c r="D673" s="1057" t="s">
        <v>117</v>
      </c>
    </row>
    <row r="674" spans="1:4">
      <c r="A674" s="172" t="s">
        <v>1307</v>
      </c>
      <c r="B674" s="172" t="s">
        <v>1414</v>
      </c>
      <c r="C674" s="1057" t="s">
        <v>75</v>
      </c>
      <c r="D674" s="1057" t="s">
        <v>118</v>
      </c>
    </row>
    <row r="675" spans="1:4">
      <c r="A675" s="173" t="s">
        <v>1159</v>
      </c>
      <c r="B675" s="172" t="s">
        <v>1157</v>
      </c>
      <c r="C675" s="1057" t="s">
        <v>75</v>
      </c>
      <c r="D675" s="1057" t="s">
        <v>127</v>
      </c>
    </row>
    <row r="676" spans="1:4">
      <c r="A676" s="173" t="s">
        <v>933</v>
      </c>
      <c r="B676" s="172" t="s">
        <v>932</v>
      </c>
      <c r="C676" s="1057" t="s">
        <v>155</v>
      </c>
      <c r="D676" s="1057" t="s">
        <v>128</v>
      </c>
    </row>
    <row r="677" spans="1:4">
      <c r="A677" s="173" t="s">
        <v>935</v>
      </c>
      <c r="B677" s="172" t="s">
        <v>934</v>
      </c>
      <c r="C677" s="1057" t="s">
        <v>75</v>
      </c>
      <c r="D677" s="1057" t="s">
        <v>133</v>
      </c>
    </row>
    <row r="678" spans="1:4">
      <c r="A678" s="173" t="s">
        <v>1188</v>
      </c>
      <c r="B678" s="172" t="s">
        <v>1186</v>
      </c>
      <c r="C678" s="1057" t="s">
        <v>75</v>
      </c>
      <c r="D678" s="1057" t="s">
        <v>123</v>
      </c>
    </row>
    <row r="679" spans="1:4">
      <c r="A679" s="173" t="s">
        <v>1182</v>
      </c>
      <c r="B679" s="172" t="s">
        <v>1180</v>
      </c>
      <c r="C679" s="1057" t="s">
        <v>75</v>
      </c>
      <c r="D679" s="1057" t="s">
        <v>131</v>
      </c>
    </row>
    <row r="680" spans="1:4">
      <c r="A680" s="173" t="s">
        <v>1288</v>
      </c>
      <c r="B680" s="172" t="s">
        <v>1286</v>
      </c>
      <c r="C680" s="1057" t="s">
        <v>75</v>
      </c>
      <c r="D680" s="1057" t="s">
        <v>124</v>
      </c>
    </row>
    <row r="681" spans="1:4">
      <c r="A681" s="173" t="s">
        <v>1208</v>
      </c>
      <c r="B681" s="172" t="s">
        <v>1206</v>
      </c>
      <c r="C681" s="1057" t="s">
        <v>75</v>
      </c>
      <c r="D681" s="1057" t="s">
        <v>129</v>
      </c>
    </row>
    <row r="682" spans="1:4">
      <c r="A682" s="173" t="s">
        <v>1156</v>
      </c>
      <c r="B682" s="172" t="s">
        <v>1154</v>
      </c>
      <c r="C682" s="1057" t="s">
        <v>75</v>
      </c>
      <c r="D682" s="1057" t="s">
        <v>130</v>
      </c>
    </row>
    <row r="683" spans="1:4">
      <c r="A683" s="173" t="s">
        <v>1239</v>
      </c>
      <c r="B683" s="172" t="s">
        <v>1237</v>
      </c>
      <c r="C683" s="1057" t="s">
        <v>75</v>
      </c>
      <c r="D683" s="1057" t="s">
        <v>132</v>
      </c>
    </row>
    <row r="684" spans="1:4">
      <c r="A684" s="173" t="s">
        <v>1219</v>
      </c>
      <c r="B684" s="172" t="s">
        <v>1315</v>
      </c>
      <c r="C684" s="1057" t="s">
        <v>75</v>
      </c>
      <c r="D684" s="1057" t="s">
        <v>125</v>
      </c>
    </row>
    <row r="685" spans="1:4">
      <c r="A685" s="173" t="s">
        <v>1310</v>
      </c>
      <c r="B685" s="172" t="s">
        <v>1308</v>
      </c>
      <c r="C685" s="1057" t="s">
        <v>75</v>
      </c>
      <c r="D685" s="1057" t="s">
        <v>126</v>
      </c>
    </row>
    <row r="686" spans="1:4">
      <c r="A686" s="173" t="s">
        <v>1335</v>
      </c>
      <c r="B686" s="172" t="s">
        <v>1333</v>
      </c>
      <c r="C686" s="1057" t="s">
        <v>1646</v>
      </c>
      <c r="D686" s="1057" t="s">
        <v>260</v>
      </c>
    </row>
    <row r="687" spans="1:4">
      <c r="A687" s="173" t="s">
        <v>937</v>
      </c>
      <c r="B687" s="172" t="s">
        <v>936</v>
      </c>
      <c r="C687" s="1057" t="s">
        <v>1646</v>
      </c>
      <c r="D687" s="1057" t="s">
        <v>250</v>
      </c>
    </row>
    <row r="688" spans="1:4">
      <c r="A688" s="173" t="s">
        <v>1246</v>
      </c>
      <c r="B688" s="172" t="s">
        <v>1332</v>
      </c>
      <c r="C688" s="1057" t="s">
        <v>1646</v>
      </c>
      <c r="D688" s="1057" t="s">
        <v>244</v>
      </c>
    </row>
    <row r="689" spans="1:4">
      <c r="A689" s="173" t="s">
        <v>1400</v>
      </c>
      <c r="B689" s="172" t="s">
        <v>1469</v>
      </c>
      <c r="C689" s="1057" t="s">
        <v>75</v>
      </c>
      <c r="D689" s="1057" t="s">
        <v>235</v>
      </c>
    </row>
    <row r="690" spans="1:4">
      <c r="A690" s="173" t="s">
        <v>1257</v>
      </c>
      <c r="B690" s="172" t="s">
        <v>1366</v>
      </c>
      <c r="C690" s="1057" t="s">
        <v>1646</v>
      </c>
      <c r="D690" s="1057" t="s">
        <v>242</v>
      </c>
    </row>
    <row r="691" spans="1:4">
      <c r="A691" s="173" t="s">
        <v>1205</v>
      </c>
      <c r="B691" s="172" t="s">
        <v>1362</v>
      </c>
      <c r="C691" s="1057" t="s">
        <v>1646</v>
      </c>
      <c r="D691" s="1057" t="s">
        <v>237</v>
      </c>
    </row>
    <row r="692" spans="1:4">
      <c r="A692" s="173" t="s">
        <v>1887</v>
      </c>
      <c r="B692" s="172" t="s">
        <v>1888</v>
      </c>
      <c r="C692" s="1057" t="s">
        <v>1646</v>
      </c>
      <c r="D692" s="1057" t="s">
        <v>241</v>
      </c>
    </row>
    <row r="693" spans="1:4">
      <c r="A693" s="173" t="s">
        <v>1227</v>
      </c>
      <c r="B693" s="172" t="s">
        <v>1296</v>
      </c>
      <c r="C693" s="1057" t="s">
        <v>1646</v>
      </c>
      <c r="D693" s="1057" t="s">
        <v>239</v>
      </c>
    </row>
    <row r="694" spans="1:4">
      <c r="A694" s="173" t="s">
        <v>1273</v>
      </c>
      <c r="B694" s="172" t="s">
        <v>1395</v>
      </c>
      <c r="C694" s="1057" t="s">
        <v>1646</v>
      </c>
      <c r="D694" s="1057" t="s">
        <v>246</v>
      </c>
    </row>
    <row r="695" spans="1:4">
      <c r="A695" s="173" t="s">
        <v>1897</v>
      </c>
      <c r="B695" s="172" t="s">
        <v>1898</v>
      </c>
      <c r="C695" s="1057" t="s">
        <v>1646</v>
      </c>
      <c r="D695" s="1057" t="s">
        <v>252</v>
      </c>
    </row>
    <row r="696" spans="1:4">
      <c r="A696" s="173" t="s">
        <v>1484</v>
      </c>
      <c r="B696" s="172" t="s">
        <v>1483</v>
      </c>
      <c r="C696" s="1057" t="s">
        <v>144</v>
      </c>
      <c r="D696" s="1057" t="s">
        <v>103</v>
      </c>
    </row>
    <row r="697" spans="1:4">
      <c r="A697" s="173" t="s">
        <v>1443</v>
      </c>
      <c r="B697" s="172" t="s">
        <v>1442</v>
      </c>
      <c r="C697" s="1057" t="s">
        <v>144</v>
      </c>
      <c r="D697" s="1057" t="s">
        <v>104</v>
      </c>
    </row>
    <row r="698" spans="1:4">
      <c r="A698" s="173" t="s">
        <v>1231</v>
      </c>
      <c r="B698" s="172" t="s">
        <v>1230</v>
      </c>
      <c r="C698" s="1057" t="s">
        <v>144</v>
      </c>
      <c r="D698" s="1057" t="s">
        <v>106</v>
      </c>
    </row>
    <row r="699" spans="1:4">
      <c r="A699" s="173" t="s">
        <v>1361</v>
      </c>
      <c r="B699" s="172" t="s">
        <v>1360</v>
      </c>
      <c r="C699" s="1057" t="s">
        <v>144</v>
      </c>
      <c r="D699" s="1057" t="s">
        <v>107</v>
      </c>
    </row>
    <row r="700" spans="1:4">
      <c r="A700" s="173" t="s">
        <v>939</v>
      </c>
      <c r="B700" s="172" t="s">
        <v>938</v>
      </c>
      <c r="C700" s="1057" t="s">
        <v>1646</v>
      </c>
      <c r="D700" s="1057" t="s">
        <v>262</v>
      </c>
    </row>
    <row r="701" spans="1:4">
      <c r="A701" s="173" t="s">
        <v>1408</v>
      </c>
      <c r="B701" s="172" t="s">
        <v>1407</v>
      </c>
      <c r="C701" s="1057" t="s">
        <v>144</v>
      </c>
      <c r="D701" s="1057" t="s">
        <v>105</v>
      </c>
    </row>
    <row r="702" spans="1:4">
      <c r="A702" s="173" t="s">
        <v>1415</v>
      </c>
      <c r="B702" s="172" t="s">
        <v>1374</v>
      </c>
      <c r="C702" s="1057" t="s">
        <v>144</v>
      </c>
      <c r="D702" s="1057" t="s">
        <v>108</v>
      </c>
    </row>
    <row r="703" spans="1:4">
      <c r="A703" s="173" t="s">
        <v>491</v>
      </c>
      <c r="B703" s="172" t="s">
        <v>490</v>
      </c>
      <c r="C703" s="1057" t="s">
        <v>144</v>
      </c>
      <c r="D703" s="1057" t="s">
        <v>108</v>
      </c>
    </row>
    <row r="704" spans="1:4">
      <c r="A704" s="173" t="s">
        <v>1297</v>
      </c>
      <c r="B704" s="172" t="s">
        <v>1259</v>
      </c>
      <c r="C704" s="1057" t="s">
        <v>144</v>
      </c>
      <c r="D704" s="1057" t="s">
        <v>213</v>
      </c>
    </row>
    <row r="705" spans="1:4">
      <c r="A705" s="173" t="s">
        <v>1184</v>
      </c>
      <c r="B705" s="172" t="s">
        <v>1183</v>
      </c>
      <c r="C705" s="1057" t="s">
        <v>144</v>
      </c>
      <c r="D705" s="1057" t="s">
        <v>112</v>
      </c>
    </row>
    <row r="706" spans="1:4">
      <c r="A706" s="173" t="s">
        <v>1373</v>
      </c>
      <c r="B706" s="172" t="s">
        <v>1342</v>
      </c>
      <c r="C706" s="1057" t="s">
        <v>144</v>
      </c>
      <c r="D706" s="1057" t="s">
        <v>113</v>
      </c>
    </row>
    <row r="707" spans="1:4">
      <c r="A707" s="173" t="s">
        <v>1413</v>
      </c>
      <c r="B707" s="172" t="s">
        <v>1412</v>
      </c>
      <c r="C707" s="1057" t="s">
        <v>144</v>
      </c>
      <c r="D707" s="1057" t="s">
        <v>114</v>
      </c>
    </row>
    <row r="708" spans="1:4">
      <c r="A708" s="173" t="s">
        <v>1303</v>
      </c>
      <c r="B708" s="172" t="s">
        <v>1211</v>
      </c>
      <c r="C708" s="1057" t="s">
        <v>144</v>
      </c>
      <c r="D708" s="1057" t="s">
        <v>116</v>
      </c>
    </row>
    <row r="709" spans="1:4">
      <c r="A709" s="173" t="s">
        <v>1289</v>
      </c>
      <c r="B709" s="172" t="s">
        <v>1252</v>
      </c>
      <c r="C709" s="1057" t="s">
        <v>144</v>
      </c>
      <c r="D709" s="1057" t="s">
        <v>119</v>
      </c>
    </row>
    <row r="710" spans="1:4">
      <c r="A710" s="173" t="s">
        <v>1337</v>
      </c>
      <c r="B710" s="172" t="s">
        <v>1283</v>
      </c>
      <c r="C710" s="1057" t="s">
        <v>144</v>
      </c>
      <c r="D710" s="1057" t="s">
        <v>117</v>
      </c>
    </row>
    <row r="711" spans="1:4">
      <c r="A711" s="172" t="s">
        <v>1350</v>
      </c>
      <c r="B711" s="172" t="s">
        <v>1305</v>
      </c>
      <c r="C711" s="1057" t="s">
        <v>144</v>
      </c>
      <c r="D711" s="1057" t="s">
        <v>118</v>
      </c>
    </row>
    <row r="712" spans="1:4">
      <c r="A712" s="173" t="s">
        <v>1170</v>
      </c>
      <c r="B712" s="172" t="s">
        <v>1157</v>
      </c>
      <c r="C712" s="1057" t="s">
        <v>144</v>
      </c>
      <c r="D712" s="1057" t="s">
        <v>127</v>
      </c>
    </row>
    <row r="713" spans="1:4">
      <c r="A713" s="173" t="s">
        <v>941</v>
      </c>
      <c r="B713" s="172" t="s">
        <v>932</v>
      </c>
      <c r="C713" s="1057" t="s">
        <v>155</v>
      </c>
      <c r="D713" s="1057" t="s">
        <v>128</v>
      </c>
    </row>
    <row r="714" spans="1:4">
      <c r="A714" s="173" t="s">
        <v>942</v>
      </c>
      <c r="B714" s="172" t="s">
        <v>934</v>
      </c>
      <c r="C714" s="1057" t="s">
        <v>144</v>
      </c>
      <c r="D714" s="1057" t="s">
        <v>133</v>
      </c>
    </row>
    <row r="715" spans="1:4">
      <c r="A715" s="173" t="s">
        <v>1241</v>
      </c>
      <c r="B715" s="172" t="s">
        <v>1186</v>
      </c>
      <c r="C715" s="1057" t="s">
        <v>144</v>
      </c>
      <c r="D715" s="1057" t="s">
        <v>123</v>
      </c>
    </row>
    <row r="716" spans="1:4">
      <c r="A716" s="173" t="s">
        <v>1198</v>
      </c>
      <c r="B716" s="172" t="s">
        <v>1180</v>
      </c>
      <c r="C716" s="1057" t="s">
        <v>144</v>
      </c>
      <c r="D716" s="1057" t="s">
        <v>131</v>
      </c>
    </row>
    <row r="717" spans="1:4">
      <c r="A717" s="173" t="s">
        <v>1336</v>
      </c>
      <c r="B717" s="172" t="s">
        <v>1286</v>
      </c>
      <c r="C717" s="1057" t="s">
        <v>144</v>
      </c>
      <c r="D717" s="1057" t="s">
        <v>124</v>
      </c>
    </row>
    <row r="718" spans="1:4">
      <c r="A718" s="173" t="s">
        <v>1232</v>
      </c>
      <c r="B718" s="172" t="s">
        <v>1206</v>
      </c>
      <c r="C718" s="1057" t="s">
        <v>144</v>
      </c>
      <c r="D718" s="1057" t="s">
        <v>129</v>
      </c>
    </row>
    <row r="719" spans="1:4">
      <c r="A719" s="173" t="s">
        <v>1201</v>
      </c>
      <c r="B719" s="172" t="s">
        <v>1154</v>
      </c>
      <c r="C719" s="1057" t="s">
        <v>144</v>
      </c>
      <c r="D719" s="1057" t="s">
        <v>130</v>
      </c>
    </row>
    <row r="720" spans="1:4">
      <c r="A720" s="173" t="s">
        <v>1270</v>
      </c>
      <c r="B720" s="172" t="s">
        <v>1237</v>
      </c>
      <c r="C720" s="1057" t="s">
        <v>1923</v>
      </c>
      <c r="D720" s="1057" t="s">
        <v>132</v>
      </c>
    </row>
    <row r="721" spans="1:4">
      <c r="A721" s="173" t="s">
        <v>1248</v>
      </c>
      <c r="B721" s="172" t="s">
        <v>1247</v>
      </c>
      <c r="C721" s="1057" t="s">
        <v>144</v>
      </c>
      <c r="D721" s="1057" t="s">
        <v>125</v>
      </c>
    </row>
    <row r="722" spans="1:4">
      <c r="A722" s="173" t="s">
        <v>1359</v>
      </c>
      <c r="B722" s="172" t="s">
        <v>1308</v>
      </c>
      <c r="C722" s="1057" t="s">
        <v>144</v>
      </c>
      <c r="D722" s="1057" t="s">
        <v>126</v>
      </c>
    </row>
    <row r="723" spans="1:4">
      <c r="A723" s="173" t="s">
        <v>1456</v>
      </c>
      <c r="B723" s="172" t="s">
        <v>1333</v>
      </c>
      <c r="C723" s="1057" t="s">
        <v>1646</v>
      </c>
      <c r="D723" s="1057" t="s">
        <v>260</v>
      </c>
    </row>
    <row r="724" spans="1:4">
      <c r="A724" s="173" t="s">
        <v>943</v>
      </c>
      <c r="B724" s="172" t="s">
        <v>936</v>
      </c>
      <c r="C724" s="1057" t="s">
        <v>1646</v>
      </c>
      <c r="D724" s="1057" t="s">
        <v>250</v>
      </c>
    </row>
    <row r="725" spans="1:4">
      <c r="A725" s="173" t="s">
        <v>1381</v>
      </c>
      <c r="B725" s="172" t="s">
        <v>1380</v>
      </c>
      <c r="C725" s="1057" t="s">
        <v>144</v>
      </c>
      <c r="D725" s="1057" t="s">
        <v>244</v>
      </c>
    </row>
    <row r="726" spans="1:4">
      <c r="A726" s="173" t="s">
        <v>1463</v>
      </c>
      <c r="B726" s="172" t="s">
        <v>1462</v>
      </c>
      <c r="C726" s="1057" t="s">
        <v>144</v>
      </c>
      <c r="D726" s="1057" t="s">
        <v>235</v>
      </c>
    </row>
    <row r="727" spans="1:4">
      <c r="A727" s="173" t="s">
        <v>1291</v>
      </c>
      <c r="B727" s="172" t="s">
        <v>1290</v>
      </c>
      <c r="C727" s="1057" t="s">
        <v>144</v>
      </c>
      <c r="D727" s="1057" t="s">
        <v>242</v>
      </c>
    </row>
    <row r="728" spans="1:4">
      <c r="A728" s="173" t="s">
        <v>1204</v>
      </c>
      <c r="B728" s="172" t="s">
        <v>1203</v>
      </c>
      <c r="C728" s="1057" t="s">
        <v>144</v>
      </c>
      <c r="D728" s="1057" t="s">
        <v>237</v>
      </c>
    </row>
    <row r="729" spans="1:4">
      <c r="A729" s="173" t="s">
        <v>1889</v>
      </c>
      <c r="B729" s="172" t="s">
        <v>1890</v>
      </c>
      <c r="C729" s="1057" t="s">
        <v>144</v>
      </c>
      <c r="D729" s="1057" t="s">
        <v>241</v>
      </c>
    </row>
    <row r="730" spans="1:4">
      <c r="A730" s="173" t="s">
        <v>1394</v>
      </c>
      <c r="B730" s="172" t="s">
        <v>1393</v>
      </c>
      <c r="C730" s="1057" t="s">
        <v>144</v>
      </c>
      <c r="D730" s="1057" t="s">
        <v>239</v>
      </c>
    </row>
    <row r="731" spans="1:4">
      <c r="A731" s="173" t="s">
        <v>1319</v>
      </c>
      <c r="B731" s="172" t="s">
        <v>1318</v>
      </c>
      <c r="C731" s="1057" t="s">
        <v>144</v>
      </c>
      <c r="D731" s="1057" t="s">
        <v>246</v>
      </c>
    </row>
    <row r="732" spans="1:4">
      <c r="A732" s="173" t="s">
        <v>1899</v>
      </c>
      <c r="B732" s="172" t="s">
        <v>1900</v>
      </c>
      <c r="C732" s="1057" t="s">
        <v>144</v>
      </c>
      <c r="D732" s="1057" t="s">
        <v>1661</v>
      </c>
    </row>
    <row r="733" spans="1:4">
      <c r="A733" s="173" t="s">
        <v>1404</v>
      </c>
      <c r="B733" s="603" t="s">
        <v>1403</v>
      </c>
      <c r="C733" s="1057" t="s">
        <v>155</v>
      </c>
      <c r="D733" s="1057" t="s">
        <v>122</v>
      </c>
    </row>
    <row r="734" spans="1:4">
      <c r="A734" s="173" t="s">
        <v>1451</v>
      </c>
      <c r="B734" s="172" t="s">
        <v>1450</v>
      </c>
      <c r="C734" s="1057" t="s">
        <v>155</v>
      </c>
      <c r="D734" s="1057" t="s">
        <v>122</v>
      </c>
    </row>
    <row r="735" spans="1:4">
      <c r="A735" s="173" t="s">
        <v>1427</v>
      </c>
      <c r="B735" s="172" t="s">
        <v>1374</v>
      </c>
      <c r="C735" s="1057" t="s">
        <v>155</v>
      </c>
      <c r="D735" s="1057" t="s">
        <v>121</v>
      </c>
    </row>
    <row r="736" spans="1:4">
      <c r="A736" s="173" t="s">
        <v>1356</v>
      </c>
      <c r="B736" s="172" t="s">
        <v>1259</v>
      </c>
      <c r="C736" s="1057" t="s">
        <v>155</v>
      </c>
      <c r="D736" s="1057" t="s">
        <v>213</v>
      </c>
    </row>
    <row r="737" spans="1:4">
      <c r="A737" s="173" t="s">
        <v>1324</v>
      </c>
      <c r="B737" s="172" t="s">
        <v>1183</v>
      </c>
      <c r="C737" s="1057" t="s">
        <v>155</v>
      </c>
      <c r="D737" s="1057" t="s">
        <v>112</v>
      </c>
    </row>
    <row r="738" spans="1:4">
      <c r="A738" s="173" t="s">
        <v>1349</v>
      </c>
      <c r="B738" s="172" t="s">
        <v>1266</v>
      </c>
      <c r="C738" s="1057" t="s">
        <v>155</v>
      </c>
      <c r="D738" s="1057" t="s">
        <v>113</v>
      </c>
    </row>
    <row r="739" spans="1:4">
      <c r="A739" s="173" t="s">
        <v>1461</v>
      </c>
      <c r="B739" s="172" t="s">
        <v>1249</v>
      </c>
      <c r="C739" s="1057" t="s">
        <v>155</v>
      </c>
      <c r="D739" s="1057" t="s">
        <v>114</v>
      </c>
    </row>
    <row r="740" spans="1:4">
      <c r="A740" s="173" t="s">
        <v>1496</v>
      </c>
      <c r="B740" s="172" t="s">
        <v>1330</v>
      </c>
      <c r="C740" s="1057" t="s">
        <v>155</v>
      </c>
      <c r="D740" s="1057" t="s">
        <v>115</v>
      </c>
    </row>
    <row r="741" spans="1:4">
      <c r="A741" s="173" t="s">
        <v>1449</v>
      </c>
      <c r="B741" s="172" t="s">
        <v>1448</v>
      </c>
      <c r="C741" s="1057" t="s">
        <v>155</v>
      </c>
      <c r="D741" s="1057" t="s">
        <v>116</v>
      </c>
    </row>
    <row r="742" spans="1:4">
      <c r="A742" s="173" t="s">
        <v>1346</v>
      </c>
      <c r="B742" s="172" t="s">
        <v>1252</v>
      </c>
      <c r="C742" s="1057" t="s">
        <v>155</v>
      </c>
      <c r="D742" s="1057" t="s">
        <v>119</v>
      </c>
    </row>
    <row r="743" spans="1:4">
      <c r="A743" s="173" t="s">
        <v>1455</v>
      </c>
      <c r="B743" s="172" t="s">
        <v>1283</v>
      </c>
      <c r="C743" s="1057" t="s">
        <v>155</v>
      </c>
      <c r="D743" s="1057" t="s">
        <v>117</v>
      </c>
    </row>
    <row r="744" spans="1:4">
      <c r="A744" s="172" t="s">
        <v>1221</v>
      </c>
      <c r="B744" s="172" t="s">
        <v>1220</v>
      </c>
      <c r="C744" s="1057" t="s">
        <v>155</v>
      </c>
      <c r="D744" s="1057" t="s">
        <v>118</v>
      </c>
    </row>
    <row r="745" spans="1:4">
      <c r="A745" s="172" t="s">
        <v>1401</v>
      </c>
      <c r="B745" s="172" t="s">
        <v>1305</v>
      </c>
      <c r="C745" s="1057" t="s">
        <v>155</v>
      </c>
      <c r="D745" s="1057" t="s">
        <v>118</v>
      </c>
    </row>
    <row r="746" spans="1:4">
      <c r="A746" s="173" t="s">
        <v>1300</v>
      </c>
      <c r="B746" s="172" t="s">
        <v>1178</v>
      </c>
      <c r="C746" s="1057" t="s">
        <v>155</v>
      </c>
      <c r="D746" s="1057" t="s">
        <v>122</v>
      </c>
    </row>
    <row r="747" spans="1:4">
      <c r="A747" s="173" t="s">
        <v>1304</v>
      </c>
      <c r="B747" s="172" t="s">
        <v>1157</v>
      </c>
      <c r="C747" s="1057" t="s">
        <v>155</v>
      </c>
      <c r="D747" s="1057" t="s">
        <v>127</v>
      </c>
    </row>
    <row r="748" spans="1:4">
      <c r="A748" s="173" t="s">
        <v>1177</v>
      </c>
      <c r="B748" s="172" t="s">
        <v>932</v>
      </c>
      <c r="C748" s="1057" t="s">
        <v>155</v>
      </c>
      <c r="D748" s="1057" t="s">
        <v>128</v>
      </c>
    </row>
    <row r="749" spans="1:4">
      <c r="A749" s="173" t="s">
        <v>944</v>
      </c>
      <c r="B749" s="172" t="s">
        <v>934</v>
      </c>
      <c r="C749" s="1057" t="s">
        <v>155</v>
      </c>
      <c r="D749" s="1057" t="s">
        <v>133</v>
      </c>
    </row>
    <row r="750" spans="1:4">
      <c r="A750" s="173" t="s">
        <v>1528</v>
      </c>
      <c r="B750" s="172" t="s">
        <v>1527</v>
      </c>
      <c r="C750" s="1057" t="s">
        <v>155</v>
      </c>
      <c r="D750" s="1057" t="s">
        <v>123</v>
      </c>
    </row>
    <row r="751" spans="1:4">
      <c r="A751" s="173" t="s">
        <v>1236</v>
      </c>
      <c r="B751" s="172" t="s">
        <v>1180</v>
      </c>
      <c r="C751" s="1057" t="s">
        <v>155</v>
      </c>
      <c r="D751" s="1057" t="s">
        <v>131</v>
      </c>
    </row>
    <row r="752" spans="1:4">
      <c r="A752" s="173" t="s">
        <v>1379</v>
      </c>
      <c r="B752" s="585" t="s">
        <v>1286</v>
      </c>
      <c r="C752" s="1057" t="s">
        <v>155</v>
      </c>
      <c r="D752" s="1057" t="s">
        <v>124</v>
      </c>
    </row>
    <row r="753" spans="1:4">
      <c r="A753" s="173" t="s">
        <v>1269</v>
      </c>
      <c r="B753" s="172" t="s">
        <v>1206</v>
      </c>
      <c r="C753" s="1057" t="s">
        <v>155</v>
      </c>
      <c r="D753" s="1057" t="s">
        <v>129</v>
      </c>
    </row>
    <row r="754" spans="1:4">
      <c r="A754" s="173" t="s">
        <v>1195</v>
      </c>
      <c r="B754" s="172" t="s">
        <v>1154</v>
      </c>
      <c r="C754" s="1057" t="s">
        <v>155</v>
      </c>
      <c r="D754" s="1057" t="s">
        <v>130</v>
      </c>
    </row>
    <row r="755" spans="1:4">
      <c r="A755" s="173" t="s">
        <v>1325</v>
      </c>
      <c r="B755" s="172" t="s">
        <v>1237</v>
      </c>
      <c r="C755" s="1057" t="s">
        <v>155</v>
      </c>
      <c r="D755" s="1057" t="s">
        <v>132</v>
      </c>
    </row>
    <row r="756" spans="1:4">
      <c r="A756" s="173" t="s">
        <v>1293</v>
      </c>
      <c r="B756" s="172" t="s">
        <v>1292</v>
      </c>
      <c r="C756" s="1057" t="s">
        <v>155</v>
      </c>
      <c r="D756" s="1057" t="s">
        <v>125</v>
      </c>
    </row>
    <row r="757" spans="1:4">
      <c r="A757" s="173" t="s">
        <v>1430</v>
      </c>
      <c r="B757" s="172" t="s">
        <v>1308</v>
      </c>
      <c r="C757" s="1057" t="s">
        <v>155</v>
      </c>
      <c r="D757" s="1057" t="s">
        <v>126</v>
      </c>
    </row>
    <row r="758" spans="1:4">
      <c r="A758" s="173" t="s">
        <v>1405</v>
      </c>
      <c r="B758" s="172" t="s">
        <v>1333</v>
      </c>
      <c r="C758" s="1057" t="s">
        <v>1646</v>
      </c>
      <c r="D758" s="1057" t="s">
        <v>260</v>
      </c>
    </row>
    <row r="759" spans="1:4">
      <c r="A759" s="173" t="s">
        <v>945</v>
      </c>
      <c r="B759" s="172" t="s">
        <v>936</v>
      </c>
      <c r="C759" s="1057" t="s">
        <v>1646</v>
      </c>
      <c r="D759" s="1057" t="s">
        <v>250</v>
      </c>
    </row>
    <row r="760" spans="1:4">
      <c r="A760" s="173" t="s">
        <v>1169</v>
      </c>
      <c r="B760" s="172" t="s">
        <v>1168</v>
      </c>
      <c r="C760" s="1057" t="s">
        <v>1646</v>
      </c>
      <c r="D760" s="1057" t="s">
        <v>248</v>
      </c>
    </row>
    <row r="761" spans="1:4">
      <c r="A761" s="173" t="s">
        <v>1312</v>
      </c>
      <c r="B761" s="172" t="s">
        <v>1311</v>
      </c>
      <c r="C761" s="1057" t="s">
        <v>155</v>
      </c>
      <c r="D761" s="1057" t="s">
        <v>244</v>
      </c>
    </row>
    <row r="762" spans="1:4">
      <c r="A762" s="173" t="s">
        <v>1453</v>
      </c>
      <c r="B762" s="172" t="s">
        <v>1452</v>
      </c>
      <c r="C762" s="1057" t="s">
        <v>155</v>
      </c>
      <c r="D762" s="1057" t="s">
        <v>235</v>
      </c>
    </row>
    <row r="763" spans="1:4">
      <c r="A763" s="173" t="s">
        <v>1348</v>
      </c>
      <c r="B763" s="172" t="s">
        <v>1347</v>
      </c>
      <c r="C763" s="1057" t="s">
        <v>155</v>
      </c>
      <c r="D763" s="1057" t="s">
        <v>242</v>
      </c>
    </row>
    <row r="764" spans="1:4">
      <c r="A764" s="173" t="s">
        <v>1341</v>
      </c>
      <c r="B764" s="172" t="s">
        <v>1340</v>
      </c>
      <c r="C764" s="1057" t="s">
        <v>155</v>
      </c>
      <c r="D764" s="1057" t="s">
        <v>237</v>
      </c>
    </row>
    <row r="765" spans="1:4">
      <c r="A765" s="173" t="s">
        <v>1891</v>
      </c>
      <c r="B765" s="172" t="s">
        <v>1892</v>
      </c>
      <c r="C765" s="1057" t="s">
        <v>155</v>
      </c>
      <c r="D765" s="1057" t="s">
        <v>241</v>
      </c>
    </row>
    <row r="766" spans="1:4">
      <c r="A766" s="173" t="s">
        <v>1275</v>
      </c>
      <c r="B766" s="172" t="s">
        <v>1274</v>
      </c>
      <c r="C766" s="1057" t="s">
        <v>155</v>
      </c>
      <c r="D766" s="1057" t="s">
        <v>239</v>
      </c>
    </row>
    <row r="767" spans="1:4">
      <c r="A767" s="173" t="s">
        <v>1368</v>
      </c>
      <c r="B767" s="172" t="s">
        <v>1367</v>
      </c>
      <c r="C767" s="1057" t="s">
        <v>155</v>
      </c>
      <c r="D767" s="1057" t="s">
        <v>246</v>
      </c>
    </row>
    <row r="768" spans="1:4">
      <c r="A768" s="173" t="s">
        <v>1901</v>
      </c>
      <c r="B768" s="172" t="s">
        <v>1902</v>
      </c>
      <c r="C768" s="1057" t="s">
        <v>155</v>
      </c>
      <c r="D768" s="1057" t="s">
        <v>1661</v>
      </c>
    </row>
    <row r="769" spans="1:4">
      <c r="A769" s="173" t="s">
        <v>946</v>
      </c>
      <c r="B769" s="172" t="s">
        <v>399</v>
      </c>
      <c r="C769" s="1057" t="s">
        <v>171</v>
      </c>
      <c r="D769" s="1057" t="s">
        <v>122</v>
      </c>
    </row>
    <row r="770" spans="1:4">
      <c r="A770" s="173" t="s">
        <v>1884</v>
      </c>
      <c r="B770" s="172" t="s">
        <v>1391</v>
      </c>
      <c r="C770" s="1057" t="s">
        <v>171</v>
      </c>
      <c r="D770" s="1057" t="s">
        <v>122</v>
      </c>
    </row>
    <row r="771" spans="1:4">
      <c r="A771" s="173" t="s">
        <v>1260</v>
      </c>
      <c r="B771" s="172" t="s">
        <v>1259</v>
      </c>
      <c r="C771" s="1057" t="s">
        <v>171</v>
      </c>
      <c r="D771" s="1057" t="s">
        <v>213</v>
      </c>
    </row>
    <row r="772" spans="1:4">
      <c r="A772" s="173" t="s">
        <v>1202</v>
      </c>
      <c r="B772" s="172" t="s">
        <v>1183</v>
      </c>
      <c r="C772" s="1057" t="s">
        <v>171</v>
      </c>
      <c r="D772" s="1057" t="s">
        <v>112</v>
      </c>
    </row>
    <row r="773" spans="1:4">
      <c r="A773" s="173" t="s">
        <v>1267</v>
      </c>
      <c r="B773" s="172" t="s">
        <v>1266</v>
      </c>
      <c r="C773" s="1057" t="s">
        <v>171</v>
      </c>
      <c r="D773" s="1057" t="s">
        <v>113</v>
      </c>
    </row>
    <row r="774" spans="1:4">
      <c r="A774" s="193" t="s">
        <v>1250</v>
      </c>
      <c r="B774" s="1063" t="s">
        <v>1249</v>
      </c>
      <c r="C774" s="1057" t="s">
        <v>171</v>
      </c>
      <c r="D774" s="1057" t="s">
        <v>114</v>
      </c>
    </row>
    <row r="775" spans="1:4">
      <c r="A775" s="173" t="s">
        <v>1331</v>
      </c>
      <c r="B775" s="172" t="s">
        <v>1330</v>
      </c>
      <c r="C775" s="1057" t="s">
        <v>171</v>
      </c>
      <c r="D775" s="1057" t="s">
        <v>115</v>
      </c>
    </row>
    <row r="776" spans="1:4">
      <c r="A776" s="173" t="s">
        <v>1212</v>
      </c>
      <c r="B776" s="172" t="s">
        <v>1211</v>
      </c>
      <c r="C776" s="1057" t="s">
        <v>171</v>
      </c>
      <c r="D776" s="1057" t="s">
        <v>116</v>
      </c>
    </row>
    <row r="777" spans="1:4">
      <c r="A777" s="173" t="s">
        <v>1253</v>
      </c>
      <c r="B777" s="172" t="s">
        <v>1252</v>
      </c>
      <c r="C777" s="1057" t="s">
        <v>171</v>
      </c>
      <c r="D777" s="1057" t="s">
        <v>119</v>
      </c>
    </row>
    <row r="778" spans="1:4">
      <c r="A778" s="173" t="s">
        <v>1284</v>
      </c>
      <c r="B778" s="172" t="s">
        <v>1283</v>
      </c>
      <c r="C778" s="1057" t="s">
        <v>171</v>
      </c>
      <c r="D778" s="1057" t="s">
        <v>117</v>
      </c>
    </row>
    <row r="779" spans="1:4">
      <c r="A779" s="172" t="s">
        <v>1306</v>
      </c>
      <c r="B779" s="172" t="s">
        <v>1305</v>
      </c>
      <c r="C779" s="1057" t="s">
        <v>171</v>
      </c>
      <c r="D779" s="1057" t="s">
        <v>118</v>
      </c>
    </row>
    <row r="780" spans="1:4">
      <c r="A780" s="173" t="s">
        <v>1179</v>
      </c>
      <c r="B780" s="172" t="s">
        <v>1178</v>
      </c>
      <c r="C780" s="1057" t="s">
        <v>171</v>
      </c>
      <c r="D780" s="1057" t="s">
        <v>122</v>
      </c>
    </row>
    <row r="781" spans="1:4">
      <c r="A781" s="173" t="s">
        <v>1158</v>
      </c>
      <c r="B781" s="172" t="s">
        <v>1157</v>
      </c>
      <c r="C781" s="1057" t="s">
        <v>171</v>
      </c>
      <c r="D781" s="1057" t="s">
        <v>127</v>
      </c>
    </row>
    <row r="782" spans="1:4">
      <c r="A782" s="173" t="s">
        <v>1197</v>
      </c>
      <c r="B782" s="172" t="s">
        <v>1196</v>
      </c>
      <c r="C782" s="1057" t="s">
        <v>171</v>
      </c>
      <c r="D782" s="1057" t="s">
        <v>128</v>
      </c>
    </row>
    <row r="783" spans="1:4">
      <c r="A783" s="173" t="s">
        <v>947</v>
      </c>
      <c r="B783" s="172" t="s">
        <v>934</v>
      </c>
      <c r="C783" s="1057" t="s">
        <v>171</v>
      </c>
      <c r="D783" s="1057" t="s">
        <v>133</v>
      </c>
    </row>
    <row r="784" spans="1:4">
      <c r="A784" s="173" t="s">
        <v>1187</v>
      </c>
      <c r="B784" s="172" t="s">
        <v>1186</v>
      </c>
      <c r="C784" s="1057" t="s">
        <v>171</v>
      </c>
      <c r="D784" s="1057" t="s">
        <v>123</v>
      </c>
    </row>
    <row r="785" spans="1:4">
      <c r="A785" s="173" t="s">
        <v>1181</v>
      </c>
      <c r="B785" s="172" t="s">
        <v>1180</v>
      </c>
      <c r="C785" s="1057" t="s">
        <v>171</v>
      </c>
      <c r="D785" s="1057" t="s">
        <v>131</v>
      </c>
    </row>
    <row r="786" spans="1:4">
      <c r="A786" s="173" t="s">
        <v>1287</v>
      </c>
      <c r="B786" s="172" t="s">
        <v>1286</v>
      </c>
      <c r="C786" s="1057" t="s">
        <v>171</v>
      </c>
      <c r="D786" s="1057" t="s">
        <v>124</v>
      </c>
    </row>
    <row r="787" spans="1:4">
      <c r="A787" s="173" t="s">
        <v>1207</v>
      </c>
      <c r="B787" s="172" t="s">
        <v>1206</v>
      </c>
      <c r="C787" s="1057" t="s">
        <v>171</v>
      </c>
      <c r="D787" s="1057" t="s">
        <v>129</v>
      </c>
    </row>
    <row r="788" spans="1:4">
      <c r="A788" s="173" t="s">
        <v>1155</v>
      </c>
      <c r="B788" s="172" t="s">
        <v>1154</v>
      </c>
      <c r="C788" s="1057" t="s">
        <v>171</v>
      </c>
      <c r="D788" s="1057" t="s">
        <v>130</v>
      </c>
    </row>
    <row r="789" spans="1:4">
      <c r="A789" s="173" t="s">
        <v>1238</v>
      </c>
      <c r="B789" s="172" t="s">
        <v>1237</v>
      </c>
      <c r="C789" s="1057" t="s">
        <v>171</v>
      </c>
      <c r="D789" s="1057" t="s">
        <v>132</v>
      </c>
    </row>
    <row r="790" spans="1:4">
      <c r="A790" s="173" t="s">
        <v>1218</v>
      </c>
      <c r="B790" s="172" t="s">
        <v>1217</v>
      </c>
      <c r="C790" s="1057" t="s">
        <v>171</v>
      </c>
      <c r="D790" s="1057" t="s">
        <v>125</v>
      </c>
    </row>
    <row r="791" spans="1:4">
      <c r="A791" s="173" t="s">
        <v>1309</v>
      </c>
      <c r="B791" s="172" t="s">
        <v>1308</v>
      </c>
      <c r="C791" s="1057" t="s">
        <v>171</v>
      </c>
      <c r="D791" s="1057" t="s">
        <v>126</v>
      </c>
    </row>
    <row r="792" spans="1:4">
      <c r="A792" s="173" t="s">
        <v>1334</v>
      </c>
      <c r="B792" s="172" t="s">
        <v>1333</v>
      </c>
      <c r="C792" s="1057" t="s">
        <v>1646</v>
      </c>
      <c r="D792" s="1057" t="s">
        <v>260</v>
      </c>
    </row>
    <row r="793" spans="1:4">
      <c r="A793" s="173" t="s">
        <v>948</v>
      </c>
      <c r="B793" s="172" t="s">
        <v>936</v>
      </c>
      <c r="C793" s="1057" t="s">
        <v>1646</v>
      </c>
      <c r="D793" s="1057" t="s">
        <v>250</v>
      </c>
    </row>
    <row r="794" spans="1:4">
      <c r="A794" s="173" t="s">
        <v>1245</v>
      </c>
      <c r="B794" s="172" t="s">
        <v>1244</v>
      </c>
      <c r="C794" s="1057" t="s">
        <v>171</v>
      </c>
      <c r="D794" s="1057" t="s">
        <v>244</v>
      </c>
    </row>
    <row r="795" spans="1:4">
      <c r="A795" s="173" t="s">
        <v>1399</v>
      </c>
      <c r="B795" s="172" t="s">
        <v>1398</v>
      </c>
      <c r="C795" s="1057" t="s">
        <v>171</v>
      </c>
      <c r="D795" s="1057" t="s">
        <v>235</v>
      </c>
    </row>
    <row r="796" spans="1:4">
      <c r="A796" s="173" t="s">
        <v>1256</v>
      </c>
      <c r="B796" s="172" t="s">
        <v>1255</v>
      </c>
      <c r="C796" s="1057" t="s">
        <v>1646</v>
      </c>
      <c r="D796" s="1057" t="s">
        <v>242</v>
      </c>
    </row>
    <row r="797" spans="1:4">
      <c r="A797" s="173" t="s">
        <v>1265</v>
      </c>
      <c r="B797" s="172" t="s">
        <v>1264</v>
      </c>
      <c r="C797" s="1057" t="s">
        <v>171</v>
      </c>
      <c r="D797" s="1057" t="s">
        <v>237</v>
      </c>
    </row>
    <row r="798" spans="1:4">
      <c r="A798" s="173" t="s">
        <v>1893</v>
      </c>
      <c r="B798" s="172" t="s">
        <v>1894</v>
      </c>
      <c r="C798" s="1057" t="s">
        <v>171</v>
      </c>
      <c r="D798" s="1057" t="s">
        <v>241</v>
      </c>
    </row>
    <row r="799" spans="1:4">
      <c r="A799" s="173" t="s">
        <v>1226</v>
      </c>
      <c r="B799" s="172" t="s">
        <v>1225</v>
      </c>
      <c r="C799" s="1057" t="s">
        <v>171</v>
      </c>
      <c r="D799" s="1057" t="s">
        <v>239</v>
      </c>
    </row>
    <row r="800" spans="1:4">
      <c r="A800" s="172" t="s">
        <v>1272</v>
      </c>
      <c r="B800" s="172" t="s">
        <v>1271</v>
      </c>
      <c r="C800" s="1057" t="s">
        <v>171</v>
      </c>
      <c r="D800" s="1057" t="s">
        <v>246</v>
      </c>
    </row>
    <row r="801" spans="1:4">
      <c r="A801" s="173" t="s">
        <v>1903</v>
      </c>
      <c r="B801" s="172" t="s">
        <v>1904</v>
      </c>
      <c r="C801" s="1057" t="s">
        <v>171</v>
      </c>
      <c r="D801" s="1057" t="s">
        <v>1661</v>
      </c>
    </row>
    <row r="802" spans="1:4">
      <c r="A802" s="173" t="s">
        <v>1216</v>
      </c>
      <c r="B802" s="172" t="s">
        <v>399</v>
      </c>
      <c r="C802" s="1057" t="s">
        <v>175</v>
      </c>
      <c r="D802" s="1057" t="s">
        <v>122</v>
      </c>
    </row>
    <row r="803" spans="1:4">
      <c r="A803" s="173" t="s">
        <v>1392</v>
      </c>
      <c r="B803" s="172" t="s">
        <v>1391</v>
      </c>
      <c r="C803" s="1057" t="s">
        <v>175</v>
      </c>
      <c r="D803" s="1057" t="s">
        <v>122</v>
      </c>
    </row>
    <row r="804" spans="1:4">
      <c r="A804" s="173" t="s">
        <v>1375</v>
      </c>
      <c r="B804" s="172" t="s">
        <v>1374</v>
      </c>
      <c r="C804" s="1057" t="s">
        <v>175</v>
      </c>
      <c r="D804" s="1057" t="s">
        <v>121</v>
      </c>
    </row>
    <row r="805" spans="1:4">
      <c r="A805" s="173" t="s">
        <v>1358</v>
      </c>
      <c r="B805" s="172" t="s">
        <v>1357</v>
      </c>
      <c r="C805" s="1057" t="s">
        <v>175</v>
      </c>
      <c r="D805" s="1057" t="s">
        <v>213</v>
      </c>
    </row>
    <row r="806" spans="1:4">
      <c r="A806" s="173" t="s">
        <v>1258</v>
      </c>
      <c r="B806" s="172" t="s">
        <v>1183</v>
      </c>
      <c r="C806" s="1057" t="s">
        <v>175</v>
      </c>
      <c r="D806" s="1057" t="s">
        <v>112</v>
      </c>
    </row>
    <row r="807" spans="1:4">
      <c r="A807" s="173" t="s">
        <v>1343</v>
      </c>
      <c r="B807" s="172" t="s">
        <v>1342</v>
      </c>
      <c r="C807" s="1057" t="s">
        <v>175</v>
      </c>
      <c r="D807" s="1057" t="s">
        <v>113</v>
      </c>
    </row>
    <row r="808" spans="1:4">
      <c r="A808" s="173" t="s">
        <v>1466</v>
      </c>
      <c r="B808" s="172" t="s">
        <v>1249</v>
      </c>
      <c r="C808" s="1057" t="s">
        <v>175</v>
      </c>
      <c r="D808" s="1057" t="s">
        <v>114</v>
      </c>
    </row>
    <row r="809" spans="1:4">
      <c r="A809" s="173" t="s">
        <v>1329</v>
      </c>
      <c r="B809" s="172" t="s">
        <v>1328</v>
      </c>
      <c r="C809" s="1057" t="s">
        <v>175</v>
      </c>
      <c r="D809" s="1057" t="s">
        <v>116</v>
      </c>
    </row>
    <row r="810" spans="1:4">
      <c r="A810" s="173" t="s">
        <v>1351</v>
      </c>
      <c r="B810" s="172" t="s">
        <v>1252</v>
      </c>
      <c r="C810" s="1057" t="s">
        <v>175</v>
      </c>
      <c r="D810" s="1057" t="s">
        <v>119</v>
      </c>
    </row>
    <row r="811" spans="1:4">
      <c r="A811" s="172" t="s">
        <v>1388</v>
      </c>
      <c r="B811" s="172" t="s">
        <v>1283</v>
      </c>
      <c r="C811" s="1057" t="s">
        <v>175</v>
      </c>
      <c r="D811" s="1057" t="s">
        <v>117</v>
      </c>
    </row>
    <row r="812" spans="1:4">
      <c r="A812" s="172" t="s">
        <v>1165</v>
      </c>
      <c r="B812" s="172" t="s">
        <v>1164</v>
      </c>
      <c r="C812" s="1057" t="s">
        <v>175</v>
      </c>
      <c r="D812" s="1057" t="s">
        <v>118</v>
      </c>
    </row>
    <row r="813" spans="1:4">
      <c r="A813" s="173" t="s">
        <v>1402</v>
      </c>
      <c r="B813" s="172" t="s">
        <v>1305</v>
      </c>
      <c r="C813" s="1057" t="s">
        <v>175</v>
      </c>
      <c r="D813" s="1057" t="s">
        <v>118</v>
      </c>
    </row>
    <row r="814" spans="1:4">
      <c r="A814" s="173" t="s">
        <v>1191</v>
      </c>
      <c r="B814" s="172" t="s">
        <v>1157</v>
      </c>
      <c r="C814" s="1057" t="s">
        <v>175</v>
      </c>
      <c r="D814" s="1057" t="s">
        <v>127</v>
      </c>
    </row>
    <row r="815" spans="1:4">
      <c r="A815" s="173" t="s">
        <v>949</v>
      </c>
      <c r="B815" s="172" t="s">
        <v>932</v>
      </c>
      <c r="C815" s="1057" t="s">
        <v>155</v>
      </c>
      <c r="D815" s="1057" t="s">
        <v>128</v>
      </c>
    </row>
    <row r="816" spans="1:4">
      <c r="A816" s="173" t="s">
        <v>950</v>
      </c>
      <c r="B816" s="172" t="s">
        <v>934</v>
      </c>
      <c r="C816" s="1057" t="s">
        <v>175</v>
      </c>
      <c r="D816" s="1057" t="s">
        <v>133</v>
      </c>
    </row>
    <row r="817" spans="1:4">
      <c r="A817" s="173" t="s">
        <v>1229</v>
      </c>
      <c r="B817" s="172" t="s">
        <v>1186</v>
      </c>
      <c r="C817" s="1057" t="s">
        <v>175</v>
      </c>
      <c r="D817" s="1057" t="s">
        <v>123</v>
      </c>
    </row>
    <row r="818" spans="1:4">
      <c r="A818" s="173" t="s">
        <v>1240</v>
      </c>
      <c r="B818" s="172" t="s">
        <v>1180</v>
      </c>
      <c r="C818" s="1057" t="s">
        <v>175</v>
      </c>
      <c r="D818" s="1057" t="s">
        <v>131</v>
      </c>
    </row>
    <row r="819" spans="1:4">
      <c r="A819" s="173" t="s">
        <v>1365</v>
      </c>
      <c r="B819" s="172" t="s">
        <v>1286</v>
      </c>
      <c r="C819" s="1057" t="s">
        <v>175</v>
      </c>
      <c r="D819" s="1057" t="s">
        <v>124</v>
      </c>
    </row>
    <row r="820" spans="1:4">
      <c r="A820" s="173" t="s">
        <v>1280</v>
      </c>
      <c r="B820" s="172" t="s">
        <v>1206</v>
      </c>
      <c r="C820" s="1057" t="s">
        <v>175</v>
      </c>
      <c r="D820" s="1057" t="s">
        <v>129</v>
      </c>
    </row>
    <row r="821" spans="1:4">
      <c r="A821" s="173" t="s">
        <v>1192</v>
      </c>
      <c r="B821" s="172" t="s">
        <v>1154</v>
      </c>
      <c r="C821" s="1057" t="s">
        <v>175</v>
      </c>
      <c r="D821" s="1057" t="s">
        <v>130</v>
      </c>
    </row>
    <row r="822" spans="1:4">
      <c r="A822" s="173" t="s">
        <v>1327</v>
      </c>
      <c r="B822" s="172" t="s">
        <v>1237</v>
      </c>
      <c r="C822" s="1057" t="s">
        <v>175</v>
      </c>
      <c r="D822" s="1057" t="s">
        <v>132</v>
      </c>
    </row>
    <row r="823" spans="1:4">
      <c r="A823" s="173" t="s">
        <v>1295</v>
      </c>
      <c r="B823" s="172" t="s">
        <v>1294</v>
      </c>
      <c r="C823" s="1057" t="s">
        <v>175</v>
      </c>
      <c r="D823" s="1057" t="s">
        <v>125</v>
      </c>
    </row>
    <row r="824" spans="1:4">
      <c r="A824" s="173" t="s">
        <v>1437</v>
      </c>
      <c r="B824" s="172" t="s">
        <v>1308</v>
      </c>
      <c r="C824" s="1057" t="s">
        <v>175</v>
      </c>
      <c r="D824" s="1057" t="s">
        <v>126</v>
      </c>
    </row>
    <row r="825" spans="1:4">
      <c r="A825" s="173" t="s">
        <v>1406</v>
      </c>
      <c r="B825" s="172" t="s">
        <v>1333</v>
      </c>
      <c r="C825" s="1057" t="s">
        <v>1646</v>
      </c>
      <c r="D825" s="1057" t="s">
        <v>260</v>
      </c>
    </row>
    <row r="826" spans="1:4">
      <c r="A826" s="173" t="s">
        <v>951</v>
      </c>
      <c r="B826" s="172" t="s">
        <v>936</v>
      </c>
      <c r="C826" s="1057" t="s">
        <v>1646</v>
      </c>
      <c r="D826" s="1057" t="s">
        <v>250</v>
      </c>
    </row>
    <row r="827" spans="1:4">
      <c r="A827" s="173" t="s">
        <v>1317</v>
      </c>
      <c r="B827" s="172" t="s">
        <v>1316</v>
      </c>
      <c r="C827" s="1057" t="s">
        <v>175</v>
      </c>
      <c r="D827" s="1057" t="s">
        <v>244</v>
      </c>
    </row>
    <row r="828" spans="1:4">
      <c r="A828" s="173" t="s">
        <v>1458</v>
      </c>
      <c r="B828" s="172" t="s">
        <v>1457</v>
      </c>
      <c r="C828" s="1057" t="s">
        <v>175</v>
      </c>
      <c r="D828" s="1057" t="s">
        <v>235</v>
      </c>
    </row>
    <row r="829" spans="1:4">
      <c r="A829" s="173" t="s">
        <v>1353</v>
      </c>
      <c r="B829" s="172" t="s">
        <v>1352</v>
      </c>
      <c r="C829" s="1057" t="s">
        <v>175</v>
      </c>
      <c r="D829" s="1057" t="s">
        <v>242</v>
      </c>
    </row>
    <row r="830" spans="1:4">
      <c r="A830" s="173" t="s">
        <v>1345</v>
      </c>
      <c r="B830" s="172" t="s">
        <v>1344</v>
      </c>
      <c r="C830" s="1057" t="s">
        <v>175</v>
      </c>
      <c r="D830" s="1057" t="s">
        <v>237</v>
      </c>
    </row>
    <row r="831" spans="1:4">
      <c r="A831" s="173" t="s">
        <v>1895</v>
      </c>
      <c r="B831" s="172" t="s">
        <v>1896</v>
      </c>
      <c r="C831" s="1057" t="s">
        <v>175</v>
      </c>
      <c r="D831" s="1057" t="s">
        <v>241</v>
      </c>
    </row>
    <row r="832" spans="1:4">
      <c r="A832" s="173" t="s">
        <v>1279</v>
      </c>
      <c r="B832" s="172" t="s">
        <v>1278</v>
      </c>
      <c r="C832" s="1057" t="s">
        <v>175</v>
      </c>
      <c r="D832" s="1057" t="s">
        <v>239</v>
      </c>
    </row>
    <row r="833" spans="1:4">
      <c r="A833" s="173" t="s">
        <v>1372</v>
      </c>
      <c r="B833" s="172" t="s">
        <v>1371</v>
      </c>
      <c r="C833" s="1057" t="s">
        <v>175</v>
      </c>
      <c r="D833" s="1057" t="s">
        <v>246</v>
      </c>
    </row>
    <row r="834" spans="1:4">
      <c r="A834" s="173" t="s">
        <v>1905</v>
      </c>
      <c r="B834" s="172" t="s">
        <v>1906</v>
      </c>
      <c r="C834" s="1057" t="s">
        <v>175</v>
      </c>
      <c r="D834" s="1057" t="s">
        <v>1661</v>
      </c>
    </row>
    <row r="835" spans="1:4">
      <c r="A835" s="180" t="s">
        <v>305</v>
      </c>
      <c r="B835" s="181" t="s">
        <v>952</v>
      </c>
      <c r="C835" s="1057" t="s">
        <v>1646</v>
      </c>
      <c r="D835" s="1057"/>
    </row>
    <row r="836" spans="1:4">
      <c r="A836" s="172" t="s">
        <v>1911</v>
      </c>
      <c r="B836" s="172" t="s">
        <v>1912</v>
      </c>
      <c r="C836" s="1057" t="s">
        <v>175</v>
      </c>
      <c r="D836" s="1057" t="s">
        <v>183</v>
      </c>
    </row>
    <row r="837" spans="1:4">
      <c r="A837" s="172" t="s">
        <v>1913</v>
      </c>
      <c r="B837" s="172" t="s">
        <v>1914</v>
      </c>
      <c r="C837" s="1057" t="s">
        <v>1646</v>
      </c>
      <c r="D837" s="1057" t="s">
        <v>1947</v>
      </c>
    </row>
    <row r="838" spans="1:4">
      <c r="A838" s="173" t="s">
        <v>325</v>
      </c>
      <c r="B838" s="172" t="s">
        <v>324</v>
      </c>
      <c r="C838" s="1057" t="s">
        <v>75</v>
      </c>
      <c r="D838" s="1057" t="s">
        <v>137</v>
      </c>
    </row>
    <row r="839" spans="1:4">
      <c r="A839" s="173" t="s">
        <v>303</v>
      </c>
      <c r="B839" s="172" t="s">
        <v>302</v>
      </c>
      <c r="C839" s="1057" t="s">
        <v>75</v>
      </c>
      <c r="D839" s="1057" t="s">
        <v>140</v>
      </c>
    </row>
    <row r="840" spans="1:4">
      <c r="A840" s="173" t="s">
        <v>1907</v>
      </c>
      <c r="B840" s="172" t="s">
        <v>1908</v>
      </c>
      <c r="C840" s="1057" t="s">
        <v>1646</v>
      </c>
      <c r="D840" s="1057"/>
    </row>
    <row r="841" spans="1:4">
      <c r="A841" s="173" t="s">
        <v>507</v>
      </c>
      <c r="B841" s="172" t="s">
        <v>506</v>
      </c>
      <c r="C841" s="1057" t="s">
        <v>75</v>
      </c>
      <c r="D841" s="1057" t="s">
        <v>97</v>
      </c>
    </row>
    <row r="842" spans="1:4">
      <c r="A842" s="173" t="s">
        <v>360</v>
      </c>
      <c r="B842" s="172" t="s">
        <v>510</v>
      </c>
      <c r="C842" s="1057" t="s">
        <v>75</v>
      </c>
      <c r="D842" s="1057" t="s">
        <v>97</v>
      </c>
    </row>
    <row r="843" spans="1:4">
      <c r="A843" s="180" t="s">
        <v>1126</v>
      </c>
      <c r="B843" s="181" t="s">
        <v>1125</v>
      </c>
      <c r="C843" s="1057" t="s">
        <v>1646</v>
      </c>
      <c r="D843" s="1057" t="s">
        <v>89</v>
      </c>
    </row>
    <row r="844" spans="1:4">
      <c r="A844" s="173" t="s">
        <v>421</v>
      </c>
      <c r="B844" s="172" t="s">
        <v>461</v>
      </c>
      <c r="C844" s="1057" t="s">
        <v>144</v>
      </c>
      <c r="D844" s="1057" t="s">
        <v>97</v>
      </c>
    </row>
    <row r="845" spans="1:4">
      <c r="A845" s="180" t="s">
        <v>1128</v>
      </c>
      <c r="B845" s="181" t="s">
        <v>1127</v>
      </c>
      <c r="C845" s="1057" t="s">
        <v>144</v>
      </c>
      <c r="D845" s="1057" t="s">
        <v>97</v>
      </c>
    </row>
    <row r="846" spans="1:4">
      <c r="A846" s="173" t="s">
        <v>1909</v>
      </c>
      <c r="B846" s="172" t="s">
        <v>1910</v>
      </c>
      <c r="C846" s="1057" t="s">
        <v>144</v>
      </c>
      <c r="D846" s="1057"/>
    </row>
    <row r="847" spans="1:4">
      <c r="A847" s="173" t="s">
        <v>515</v>
      </c>
      <c r="B847" s="172" t="s">
        <v>514</v>
      </c>
      <c r="C847" s="1057" t="s">
        <v>75</v>
      </c>
      <c r="D847" s="1057" t="s">
        <v>97</v>
      </c>
    </row>
    <row r="848" spans="1:4">
      <c r="A848" s="180" t="s">
        <v>1130</v>
      </c>
      <c r="B848" s="181" t="s">
        <v>1129</v>
      </c>
      <c r="C848" s="1057" t="s">
        <v>75</v>
      </c>
      <c r="D848" s="1057">
        <v>0</v>
      </c>
    </row>
    <row r="849" spans="1:4">
      <c r="A849" s="172" t="s">
        <v>954</v>
      </c>
      <c r="B849" s="172" t="s">
        <v>953</v>
      </c>
      <c r="C849" s="1057" t="s">
        <v>144</v>
      </c>
      <c r="D849" s="1057"/>
    </row>
    <row r="850" spans="1:4">
      <c r="A850" s="180" t="s">
        <v>1132</v>
      </c>
      <c r="B850" s="181" t="s">
        <v>1131</v>
      </c>
      <c r="C850" s="1057" t="s">
        <v>144</v>
      </c>
      <c r="D850" s="1057" t="s">
        <v>146</v>
      </c>
    </row>
    <row r="851" spans="1:4">
      <c r="A851" s="173" t="s">
        <v>436</v>
      </c>
      <c r="B851" s="172" t="s">
        <v>435</v>
      </c>
      <c r="C851" s="1057" t="s">
        <v>75</v>
      </c>
      <c r="D851" s="1057" t="s">
        <v>98</v>
      </c>
    </row>
    <row r="852" spans="1:4">
      <c r="A852" s="180" t="s">
        <v>1134</v>
      </c>
      <c r="B852" s="181" t="s">
        <v>1133</v>
      </c>
      <c r="C852" s="1057" t="s">
        <v>75</v>
      </c>
      <c r="D852" s="1057">
        <v>0</v>
      </c>
    </row>
    <row r="853" spans="1:4">
      <c r="A853" s="173" t="s">
        <v>359</v>
      </c>
      <c r="B853" s="172" t="s">
        <v>358</v>
      </c>
      <c r="C853" s="1057" t="s">
        <v>75</v>
      </c>
      <c r="D853" s="1057" t="s">
        <v>98</v>
      </c>
    </row>
    <row r="854" spans="1:4">
      <c r="A854" s="180" t="s">
        <v>1136</v>
      </c>
      <c r="B854" s="181" t="s">
        <v>1135</v>
      </c>
      <c r="C854" s="1057" t="s">
        <v>75</v>
      </c>
      <c r="D854" s="1057">
        <v>0</v>
      </c>
    </row>
    <row r="855" spans="1:4">
      <c r="A855" s="173" t="s">
        <v>420</v>
      </c>
      <c r="B855" s="172" t="s">
        <v>419</v>
      </c>
      <c r="C855" s="1057" t="s">
        <v>144</v>
      </c>
      <c r="D855" s="1057" t="s">
        <v>98</v>
      </c>
    </row>
    <row r="856" spans="1:4">
      <c r="A856" s="180" t="s">
        <v>1138</v>
      </c>
      <c r="B856" s="181" t="s">
        <v>1137</v>
      </c>
      <c r="C856" s="1057" t="s">
        <v>144</v>
      </c>
      <c r="D856" s="1057" t="s">
        <v>98</v>
      </c>
    </row>
    <row r="857" spans="1:4">
      <c r="A857" s="173" t="s">
        <v>432</v>
      </c>
      <c r="B857" s="172" t="s">
        <v>431</v>
      </c>
      <c r="C857" s="1057" t="s">
        <v>144</v>
      </c>
      <c r="D857" s="1057" t="s">
        <v>98</v>
      </c>
    </row>
    <row r="858" spans="1:4">
      <c r="A858" s="180" t="s">
        <v>1140</v>
      </c>
      <c r="B858" s="181" t="s">
        <v>1139</v>
      </c>
      <c r="C858" s="1057" t="s">
        <v>144</v>
      </c>
      <c r="D858" s="1057" t="s">
        <v>98</v>
      </c>
    </row>
    <row r="859" spans="1:4">
      <c r="A859" s="172" t="s">
        <v>381</v>
      </c>
      <c r="B859" s="172" t="s">
        <v>380</v>
      </c>
      <c r="C859" s="1057" t="s">
        <v>1646</v>
      </c>
      <c r="D859" s="1057" t="s">
        <v>141</v>
      </c>
    </row>
    <row r="860" spans="1:4">
      <c r="A860" s="172" t="s">
        <v>382</v>
      </c>
      <c r="B860" s="172" t="s">
        <v>528</v>
      </c>
      <c r="C860" s="1057" t="s">
        <v>1646</v>
      </c>
      <c r="D860" s="1057" t="s">
        <v>1947</v>
      </c>
    </row>
    <row r="861" spans="1:4">
      <c r="A861" s="172" t="s">
        <v>1387</v>
      </c>
      <c r="B861" s="172" t="s">
        <v>1431</v>
      </c>
      <c r="C861" s="1057" t="s">
        <v>1646</v>
      </c>
      <c r="D861" s="1057" t="s">
        <v>262</v>
      </c>
    </row>
    <row r="862" spans="1:4">
      <c r="A862" s="172" t="s">
        <v>1234</v>
      </c>
      <c r="B862" s="172" t="s">
        <v>1233</v>
      </c>
      <c r="C862" s="1057" t="s">
        <v>1646</v>
      </c>
      <c r="D862" s="1057" t="s">
        <v>261</v>
      </c>
    </row>
    <row r="863" spans="1:4">
      <c r="A863" s="172" t="s">
        <v>1390</v>
      </c>
      <c r="B863" s="172" t="s">
        <v>1389</v>
      </c>
      <c r="C863" s="1057" t="s">
        <v>1646</v>
      </c>
      <c r="D863" s="1057" t="s">
        <v>262</v>
      </c>
    </row>
    <row r="864" spans="1:4">
      <c r="A864" s="172" t="s">
        <v>1386</v>
      </c>
      <c r="B864" s="172" t="s">
        <v>1385</v>
      </c>
      <c r="C864" s="1057" t="s">
        <v>1646</v>
      </c>
      <c r="D864" s="1057" t="s">
        <v>134</v>
      </c>
    </row>
    <row r="865" spans="1:4">
      <c r="A865" s="173"/>
      <c r="B865" s="184"/>
      <c r="C865" s="1057"/>
      <c r="D865" s="1057"/>
    </row>
    <row r="866" spans="1:4">
      <c r="A866" s="173"/>
      <c r="B866" s="184"/>
      <c r="C866" s="1057"/>
      <c r="D866" s="1057"/>
    </row>
    <row r="867" spans="1:4">
      <c r="A867" s="173"/>
      <c r="B867" s="184"/>
      <c r="C867" s="1057"/>
      <c r="D867" s="1057"/>
    </row>
    <row r="868" spans="1:4">
      <c r="A868" s="173"/>
      <c r="B868" s="184"/>
      <c r="C868" s="1057"/>
      <c r="D868" s="1057"/>
    </row>
    <row r="869" spans="1:4">
      <c r="A869" s="173"/>
      <c r="B869" s="184"/>
      <c r="C869" s="1057"/>
      <c r="D869" s="1057"/>
    </row>
    <row r="870" spans="1:4">
      <c r="A870" s="173"/>
      <c r="B870" s="184"/>
      <c r="C870" s="1057"/>
      <c r="D870" s="1057"/>
    </row>
    <row r="871" spans="1:4">
      <c r="A871" s="173"/>
      <c r="B871" s="184"/>
      <c r="C871" s="1057"/>
      <c r="D871" s="1057"/>
    </row>
    <row r="872" spans="1:4">
      <c r="A872" s="1064"/>
      <c r="B872" s="1059"/>
      <c r="C872" s="1057"/>
      <c r="D872" s="1057"/>
    </row>
    <row r="873" spans="1:4">
      <c r="A873" s="173"/>
      <c r="B873" s="184"/>
      <c r="C873" s="1057"/>
      <c r="D873" s="1057"/>
    </row>
    <row r="874" spans="1:4">
      <c r="A874" s="173"/>
      <c r="B874" s="184"/>
      <c r="C874" s="1057"/>
      <c r="D874" s="1057"/>
    </row>
    <row r="875" spans="1:4">
      <c r="A875" s="173"/>
      <c r="B875" s="184"/>
      <c r="C875" s="1057"/>
      <c r="D875" s="1057"/>
    </row>
    <row r="876" spans="1:4">
      <c r="A876" s="173"/>
      <c r="B876" s="184"/>
      <c r="C876" s="1057"/>
      <c r="D876" s="1057"/>
    </row>
    <row r="877" spans="1:4">
      <c r="A877" s="173"/>
      <c r="B877" s="184"/>
      <c r="C877" s="1057"/>
      <c r="D877" s="1057"/>
    </row>
    <row r="878" spans="1:4">
      <c r="A878" s="173"/>
      <c r="B878" s="184"/>
      <c r="C878" s="1057"/>
      <c r="D878" s="1057"/>
    </row>
    <row r="879" spans="1:4">
      <c r="A879" s="173"/>
      <c r="B879" s="184"/>
      <c r="C879" s="1057"/>
      <c r="D879" s="1057"/>
    </row>
    <row r="880" spans="1:4">
      <c r="A880" s="173"/>
      <c r="B880" s="184"/>
      <c r="C880" s="1057"/>
      <c r="D880" s="1057"/>
    </row>
    <row r="881" spans="1:4">
      <c r="A881" s="173"/>
      <c r="B881" s="184"/>
      <c r="C881" s="1057"/>
      <c r="D881" s="1057"/>
    </row>
    <row r="882" spans="1:4">
      <c r="A882" s="173"/>
      <c r="B882" s="184"/>
      <c r="C882" s="1057"/>
      <c r="D882" s="1057"/>
    </row>
    <row r="883" spans="1:4">
      <c r="A883" s="173"/>
      <c r="B883" s="184"/>
      <c r="C883" s="1057"/>
      <c r="D883" s="1057"/>
    </row>
    <row r="884" spans="1:4">
      <c r="A884" s="1065"/>
      <c r="B884" s="184"/>
      <c r="C884" s="1057"/>
      <c r="D884" s="1057"/>
    </row>
    <row r="885" spans="1:4">
      <c r="A885" s="1065"/>
      <c r="B885" s="184"/>
      <c r="C885" s="1057"/>
      <c r="D885" s="1057"/>
    </row>
    <row r="886" spans="1:4">
      <c r="A886" s="173"/>
      <c r="B886" s="184"/>
      <c r="C886" s="1057"/>
      <c r="D886" s="1057"/>
    </row>
    <row r="887" spans="1:4">
      <c r="A887" s="173"/>
      <c r="B887" s="184"/>
      <c r="C887" s="1057"/>
      <c r="D887" s="1057"/>
    </row>
    <row r="888" spans="1:4">
      <c r="A888" s="173"/>
      <c r="B888" s="184"/>
      <c r="C888" s="1057"/>
      <c r="D888" s="1057"/>
    </row>
    <row r="889" spans="1:4">
      <c r="A889" s="1066"/>
      <c r="B889" s="1062"/>
      <c r="C889" s="1057"/>
      <c r="D889" s="1057"/>
    </row>
    <row r="890" spans="1:4">
      <c r="A890" s="173"/>
      <c r="B890" s="184"/>
      <c r="C890" s="1057"/>
      <c r="D890" s="1057"/>
    </row>
    <row r="891" spans="1:4">
      <c r="A891" s="173"/>
      <c r="B891" s="184"/>
      <c r="C891" s="1057"/>
      <c r="D891" s="1057"/>
    </row>
    <row r="892" spans="1:4">
      <c r="A892" s="173"/>
      <c r="B892" s="184"/>
      <c r="C892" s="1057"/>
      <c r="D892" s="1057"/>
    </row>
    <row r="893" spans="1:4">
      <c r="A893" s="173"/>
      <c r="B893" s="184"/>
      <c r="C893" s="1057"/>
      <c r="D893" s="1057"/>
    </row>
    <row r="894" spans="1:4">
      <c r="A894" s="173"/>
      <c r="B894" s="184"/>
      <c r="C894" s="1057"/>
      <c r="D894" s="1057"/>
    </row>
    <row r="895" spans="1:4">
      <c r="A895" s="173"/>
      <c r="B895" s="184"/>
      <c r="C895" s="1057"/>
      <c r="D895" s="1057"/>
    </row>
    <row r="896" spans="1:4">
      <c r="A896" s="173"/>
      <c r="B896" s="184"/>
      <c r="C896" s="1057"/>
      <c r="D896" s="1057"/>
    </row>
    <row r="897" spans="1:4">
      <c r="A897" s="173"/>
      <c r="B897" s="184"/>
      <c r="C897" s="1057"/>
      <c r="D897" s="1057"/>
    </row>
    <row r="898" spans="1:4">
      <c r="A898" s="173"/>
      <c r="B898" s="184"/>
      <c r="C898" s="1057"/>
      <c r="D898" s="1057"/>
    </row>
    <row r="899" spans="1:4">
      <c r="A899" s="173"/>
      <c r="B899" s="1057"/>
      <c r="C899" s="1057"/>
      <c r="D899" s="1057"/>
    </row>
    <row r="900" spans="1:4">
      <c r="A900" s="173"/>
      <c r="B900" s="184"/>
      <c r="C900" s="1057"/>
      <c r="D900" s="1057"/>
    </row>
    <row r="901" spans="1:4">
      <c r="A901" s="173"/>
      <c r="B901" s="184"/>
      <c r="C901" s="1057"/>
      <c r="D901" s="1057"/>
    </row>
    <row r="902" spans="1:4">
      <c r="A902" s="173"/>
      <c r="B902" s="184"/>
      <c r="C902" s="1057"/>
      <c r="D902" s="1057"/>
    </row>
    <row r="903" spans="1:4">
      <c r="A903" s="173"/>
      <c r="B903" s="184"/>
      <c r="C903" s="1057"/>
      <c r="D903" s="1057"/>
    </row>
    <row r="904" spans="1:4">
      <c r="A904" s="173"/>
      <c r="B904" s="184"/>
      <c r="C904" s="1057"/>
      <c r="D904" s="1057"/>
    </row>
    <row r="905" spans="1:4">
      <c r="A905" s="173"/>
      <c r="B905" s="184"/>
      <c r="C905" s="1057"/>
      <c r="D905" s="1057"/>
    </row>
    <row r="906" spans="1:4">
      <c r="A906" s="173"/>
      <c r="B906" s="184"/>
      <c r="C906" s="1057"/>
      <c r="D906" s="1057"/>
    </row>
    <row r="907" spans="1:4">
      <c r="A907" s="173"/>
      <c r="B907" s="184"/>
      <c r="C907" s="1057"/>
      <c r="D907" s="1057"/>
    </row>
    <row r="908" spans="1:4">
      <c r="A908" s="173"/>
      <c r="B908" s="184"/>
      <c r="C908" s="1057"/>
      <c r="D908" s="1057"/>
    </row>
    <row r="909" spans="1:4">
      <c r="A909" s="173"/>
      <c r="B909" s="184"/>
      <c r="C909" s="1057"/>
      <c r="D909" s="1057"/>
    </row>
    <row r="910" spans="1:4">
      <c r="A910" s="173"/>
      <c r="B910" s="184"/>
      <c r="C910" s="1057"/>
      <c r="D910" s="1057"/>
    </row>
    <row r="911" spans="1:4">
      <c r="A911" s="173"/>
      <c r="B911" s="184"/>
      <c r="C911" s="1057"/>
      <c r="D911" s="1057"/>
    </row>
    <row r="912" spans="1:4">
      <c r="A912" s="173"/>
      <c r="B912" s="184"/>
      <c r="C912" s="1057"/>
      <c r="D912" s="1057"/>
    </row>
  </sheetData>
  <autoFilter ref="A1:D1" xr:uid="{A677AED5-BE3E-4C6D-8B61-F1C1B796C6F8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197D0252-C156-4305-9511-763FAE7DF114}">
      <formula1>$L$1:$L$140</formula1>
    </dataValidation>
    <dataValidation type="list" allowBlank="1" showErrorMessage="1" sqref="C2:C912" xr:uid="{9239708A-4C89-4DA0-9239-48191D0B90E9}">
      <formula1>$J$1:$J$11</formula1>
    </dataValidation>
    <dataValidation type="list" allowBlank="1" showErrorMessage="1" sqref="D861:D912" xr:uid="{6FD55C07-119E-4117-8FCE-2890B54402E6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2021-02-15T20:12:16Z</cp:lastPrinted>
  <dcterms:created xsi:type="dcterms:W3CDTF">2020-10-20T13:57:48Z</dcterms:created>
  <dcterms:modified xsi:type="dcterms:W3CDTF">2021-02-18T17:05:39Z</dcterms:modified>
</cp:coreProperties>
</file>