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C55B9B96-826A-443C-9D21-D1A3F87E07D4}" xr6:coauthVersionLast="46" xr6:coauthVersionMax="46" xr10:uidLastSave="{00000000-0000-0000-0000-000000000000}"/>
  <bookViews>
    <workbookView xWindow="-120" yWindow="-120" windowWidth="29040" windowHeight="15840" tabRatio="723" activeTab="5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Data_Validation!$A$1:$G$870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Print_AAD!$C$1:$S$352,Print_AAD!$V$401:$AO$497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S431" i="17" l="1"/>
  <c r="U428" i="17" s="1"/>
  <c r="U430" i="17"/>
  <c r="U429" i="17"/>
  <c r="S422" i="17"/>
  <c r="U419" i="17" s="1"/>
  <c r="U421" i="17"/>
  <c r="U420" i="17"/>
  <c r="S414" i="17"/>
  <c r="U411" i="17" s="1"/>
  <c r="U413" i="17"/>
  <c r="U412" i="17"/>
  <c r="S409" i="17"/>
  <c r="U406" i="17" s="1"/>
  <c r="U408" i="17"/>
  <c r="U407" i="17"/>
  <c r="U403" i="17"/>
  <c r="U402" i="17"/>
  <c r="S404" i="17"/>
  <c r="U401" i="17" s="1"/>
  <c r="Q393" i="17" l="1"/>
  <c r="L393" i="17"/>
  <c r="S393" i="17" s="1"/>
  <c r="I393" i="17"/>
  <c r="Q392" i="17"/>
  <c r="L392" i="17"/>
  <c r="I392" i="17"/>
  <c r="Q391" i="17"/>
  <c r="L391" i="17"/>
  <c r="I391" i="17"/>
  <c r="N391" i="17" s="1"/>
  <c r="Q390" i="17"/>
  <c r="L390" i="17"/>
  <c r="I390" i="17"/>
  <c r="S389" i="17"/>
  <c r="Q389" i="17"/>
  <c r="L389" i="17"/>
  <c r="I389" i="17"/>
  <c r="N389" i="17" s="1"/>
  <c r="Q388" i="17"/>
  <c r="L388" i="17"/>
  <c r="I388" i="17"/>
  <c r="Q387" i="17"/>
  <c r="S387" i="17" s="1"/>
  <c r="L387" i="17"/>
  <c r="I387" i="17"/>
  <c r="N387" i="17" s="1"/>
  <c r="Q386" i="17"/>
  <c r="L386" i="17"/>
  <c r="N386" i="17" s="1"/>
  <c r="I386" i="17"/>
  <c r="Q385" i="17"/>
  <c r="L385" i="17"/>
  <c r="S385" i="17" s="1"/>
  <c r="I385" i="17"/>
  <c r="Q384" i="17"/>
  <c r="L384" i="17"/>
  <c r="S384" i="17" s="1"/>
  <c r="I384" i="17"/>
  <c r="Q383" i="17"/>
  <c r="L383" i="17"/>
  <c r="S383" i="17" s="1"/>
  <c r="I383" i="17"/>
  <c r="N383" i="17" s="1"/>
  <c r="Q382" i="17"/>
  <c r="L382" i="17"/>
  <c r="I382" i="17"/>
  <c r="S381" i="17"/>
  <c r="Q381" i="17"/>
  <c r="L381" i="17"/>
  <c r="I381" i="17"/>
  <c r="N381" i="17" s="1"/>
  <c r="Q380" i="17"/>
  <c r="L380" i="17"/>
  <c r="I380" i="17"/>
  <c r="Q379" i="17"/>
  <c r="S379" i="17" s="1"/>
  <c r="L379" i="17"/>
  <c r="I379" i="17"/>
  <c r="N379" i="17" s="1"/>
  <c r="Q378" i="17"/>
  <c r="L378" i="17"/>
  <c r="N378" i="17" s="1"/>
  <c r="I378" i="17"/>
  <c r="Q377" i="17"/>
  <c r="Q394" i="17" s="1"/>
  <c r="N377" i="17"/>
  <c r="L377" i="17"/>
  <c r="L394" i="17" s="1"/>
  <c r="I377" i="17"/>
  <c r="Q375" i="17"/>
  <c r="L375" i="17"/>
  <c r="S375" i="17" s="1"/>
  <c r="I375" i="17"/>
  <c r="Q374" i="17"/>
  <c r="L374" i="17"/>
  <c r="S374" i="17" s="1"/>
  <c r="I374" i="17"/>
  <c r="Q373" i="17"/>
  <c r="L373" i="17"/>
  <c r="I373" i="17"/>
  <c r="Q372" i="17"/>
  <c r="L372" i="17"/>
  <c r="S372" i="17" s="1"/>
  <c r="I372" i="17"/>
  <c r="N372" i="17" s="1"/>
  <c r="Q371" i="17"/>
  <c r="L371" i="17"/>
  <c r="I371" i="17"/>
  <c r="S370" i="17"/>
  <c r="Q370" i="17"/>
  <c r="L370" i="17"/>
  <c r="I370" i="17"/>
  <c r="N370" i="17" s="1"/>
  <c r="Q369" i="17"/>
  <c r="L369" i="17"/>
  <c r="N369" i="17" s="1"/>
  <c r="I369" i="17"/>
  <c r="Q368" i="17"/>
  <c r="S368" i="17" s="1"/>
  <c r="L368" i="17"/>
  <c r="I368" i="17"/>
  <c r="N368" i="17" s="1"/>
  <c r="Q367" i="17"/>
  <c r="L367" i="17"/>
  <c r="S367" i="17" s="1"/>
  <c r="I367" i="17"/>
  <c r="Q366" i="17"/>
  <c r="L366" i="17"/>
  <c r="S366" i="17" s="1"/>
  <c r="I366" i="17"/>
  <c r="Q365" i="17"/>
  <c r="L365" i="17"/>
  <c r="I365" i="17"/>
  <c r="Q364" i="17"/>
  <c r="L364" i="17"/>
  <c r="I364" i="17"/>
  <c r="N362" i="17"/>
  <c r="P359" i="17"/>
  <c r="O359" i="17"/>
  <c r="Q359" i="17" s="1"/>
  <c r="Q361" i="17" s="1"/>
  <c r="J359" i="17"/>
  <c r="J361" i="17" s="1"/>
  <c r="K361" i="17" s="1"/>
  <c r="I359" i="17"/>
  <c r="I361" i="17" s="1"/>
  <c r="G359" i="17"/>
  <c r="S355" i="17"/>
  <c r="R359" i="17" l="1"/>
  <c r="L359" i="17"/>
  <c r="N359" i="17" s="1"/>
  <c r="S364" i="17"/>
  <c r="Q376" i="17"/>
  <c r="Q396" i="17" s="1"/>
  <c r="S371" i="17"/>
  <c r="I394" i="17"/>
  <c r="H394" i="17" s="1"/>
  <c r="S377" i="17"/>
  <c r="N382" i="17"/>
  <c r="N390" i="17"/>
  <c r="H359" i="17"/>
  <c r="O361" i="17"/>
  <c r="P361" i="17" s="1"/>
  <c r="N366" i="17"/>
  <c r="N374" i="17"/>
  <c r="K394" i="17"/>
  <c r="S380" i="17"/>
  <c r="N385" i="17"/>
  <c r="S388" i="17"/>
  <c r="I376" i="17"/>
  <c r="N365" i="17"/>
  <c r="N373" i="17"/>
  <c r="S391" i="17"/>
  <c r="S392" i="17"/>
  <c r="H376" i="17"/>
  <c r="I396" i="17"/>
  <c r="H396" i="17" s="1"/>
  <c r="P394" i="17"/>
  <c r="P376" i="17"/>
  <c r="S362" i="17"/>
  <c r="K359" i="17"/>
  <c r="S359" i="17"/>
  <c r="S365" i="17"/>
  <c r="N367" i="17"/>
  <c r="S369" i="17"/>
  <c r="N371" i="17"/>
  <c r="S373" i="17"/>
  <c r="N375" i="17"/>
  <c r="S378" i="17"/>
  <c r="S394" i="17" s="1"/>
  <c r="N380" i="17"/>
  <c r="N394" i="17" s="1"/>
  <c r="S382" i="17"/>
  <c r="N384" i="17"/>
  <c r="S386" i="17"/>
  <c r="N388" i="17"/>
  <c r="S390" i="17"/>
  <c r="N392" i="17"/>
  <c r="G361" i="17"/>
  <c r="N393" i="17"/>
  <c r="M359" i="17"/>
  <c r="L361" i="17"/>
  <c r="L376" i="17"/>
  <c r="P396" i="17" l="1"/>
  <c r="Q398" i="17"/>
  <c r="I398" i="17"/>
  <c r="R361" i="17"/>
  <c r="S361" i="17"/>
  <c r="N361" i="17"/>
  <c r="M361" i="17"/>
  <c r="H361" i="17"/>
  <c r="L396" i="17"/>
  <c r="N376" i="17"/>
  <c r="S376" i="17"/>
  <c r="K376" i="17"/>
  <c r="S396" i="17" l="1"/>
  <c r="K396" i="17"/>
  <c r="N396" i="17"/>
  <c r="L398" i="17"/>
  <c r="N398" i="17" l="1"/>
  <c r="S398" i="17"/>
  <c r="M2" i="5" l="1"/>
  <c r="Q2" i="5"/>
  <c r="R2" i="5"/>
  <c r="S2" i="5"/>
  <c r="M3" i="5"/>
  <c r="Q3" i="5"/>
  <c r="R3" i="5"/>
  <c r="S3" i="5"/>
  <c r="M4" i="5"/>
  <c r="Q4" i="5"/>
  <c r="O4" i="5" s="1"/>
  <c r="R4" i="5"/>
  <c r="S4" i="5"/>
  <c r="M5" i="5"/>
  <c r="Q5" i="5"/>
  <c r="R5" i="5"/>
  <c r="S5" i="5"/>
  <c r="M6" i="5"/>
  <c r="Q6" i="5"/>
  <c r="P6" i="5" s="1"/>
  <c r="R6" i="5"/>
  <c r="S6" i="5"/>
  <c r="M7" i="5"/>
  <c r="Q7" i="5"/>
  <c r="R7" i="5"/>
  <c r="S7" i="5"/>
  <c r="M8" i="5"/>
  <c r="Q8" i="5"/>
  <c r="R8" i="5"/>
  <c r="S8" i="5"/>
  <c r="M9" i="5"/>
  <c r="Q9" i="5"/>
  <c r="R9" i="5"/>
  <c r="S9" i="5"/>
  <c r="M10" i="5"/>
  <c r="Q10" i="5"/>
  <c r="P10" i="5" s="1"/>
  <c r="R10" i="5"/>
  <c r="S10" i="5"/>
  <c r="M11" i="5"/>
  <c r="Q11" i="5"/>
  <c r="R11" i="5"/>
  <c r="S11" i="5"/>
  <c r="M12" i="5"/>
  <c r="Q12" i="5"/>
  <c r="O12" i="5" s="1"/>
  <c r="R12" i="5"/>
  <c r="S12" i="5"/>
  <c r="M13" i="5"/>
  <c r="Q13" i="5"/>
  <c r="R13" i="5"/>
  <c r="S13" i="5"/>
  <c r="M14" i="5"/>
  <c r="Q14" i="5"/>
  <c r="N14" i="5" s="1"/>
  <c r="R14" i="5"/>
  <c r="S14" i="5"/>
  <c r="M15" i="5"/>
  <c r="Q15" i="5"/>
  <c r="R15" i="5"/>
  <c r="S15" i="5"/>
  <c r="M16" i="5"/>
  <c r="Q16" i="5"/>
  <c r="R16" i="5"/>
  <c r="S16" i="5"/>
  <c r="M17" i="5"/>
  <c r="Q17" i="5"/>
  <c r="P17" i="5" s="1"/>
  <c r="R17" i="5"/>
  <c r="S17" i="5"/>
  <c r="M18" i="5"/>
  <c r="Q18" i="5"/>
  <c r="P18" i="5" s="1"/>
  <c r="R18" i="5"/>
  <c r="S18" i="5"/>
  <c r="M19" i="5"/>
  <c r="Q19" i="5"/>
  <c r="R19" i="5"/>
  <c r="S19" i="5"/>
  <c r="M20" i="5"/>
  <c r="Q20" i="5"/>
  <c r="O20" i="5" s="1"/>
  <c r="R20" i="5"/>
  <c r="S20" i="5"/>
  <c r="M21" i="5"/>
  <c r="Q21" i="5"/>
  <c r="R21" i="5"/>
  <c r="S21" i="5"/>
  <c r="M22" i="5"/>
  <c r="Q22" i="5"/>
  <c r="R22" i="5"/>
  <c r="S22" i="5"/>
  <c r="M23" i="5"/>
  <c r="Q23" i="5"/>
  <c r="R23" i="5"/>
  <c r="S23" i="5"/>
  <c r="M24" i="5"/>
  <c r="Q24" i="5"/>
  <c r="R24" i="5"/>
  <c r="S24" i="5"/>
  <c r="M25" i="5"/>
  <c r="Q25" i="5"/>
  <c r="P25" i="5" s="1"/>
  <c r="R25" i="5"/>
  <c r="S25" i="5"/>
  <c r="M26" i="5"/>
  <c r="Q26" i="5"/>
  <c r="P26" i="5" s="1"/>
  <c r="R26" i="5"/>
  <c r="S26" i="5"/>
  <c r="M27" i="5"/>
  <c r="Q27" i="5"/>
  <c r="R27" i="5"/>
  <c r="S27" i="5"/>
  <c r="M28" i="5"/>
  <c r="Q28" i="5"/>
  <c r="R28" i="5"/>
  <c r="S28" i="5"/>
  <c r="M29" i="5"/>
  <c r="Q29" i="5"/>
  <c r="R29" i="5"/>
  <c r="S29" i="5"/>
  <c r="M30" i="5"/>
  <c r="Q30" i="5"/>
  <c r="O30" i="5" s="1"/>
  <c r="R30" i="5"/>
  <c r="S30" i="5"/>
  <c r="M31" i="5"/>
  <c r="Q31" i="5"/>
  <c r="R31" i="5"/>
  <c r="S31" i="5"/>
  <c r="M32" i="5"/>
  <c r="Q32" i="5"/>
  <c r="R32" i="5"/>
  <c r="S32" i="5"/>
  <c r="M33" i="5"/>
  <c r="Q33" i="5"/>
  <c r="R33" i="5"/>
  <c r="S33" i="5"/>
  <c r="M34" i="5"/>
  <c r="Q34" i="5"/>
  <c r="O34" i="5" s="1"/>
  <c r="R34" i="5"/>
  <c r="S34" i="5"/>
  <c r="M35" i="5"/>
  <c r="Q35" i="5"/>
  <c r="R35" i="5"/>
  <c r="S35" i="5"/>
  <c r="M36" i="5"/>
  <c r="Q36" i="5"/>
  <c r="O36" i="5" s="1"/>
  <c r="R36" i="5"/>
  <c r="S36" i="5"/>
  <c r="M37" i="5"/>
  <c r="Q37" i="5"/>
  <c r="N37" i="5" s="1"/>
  <c r="R37" i="5"/>
  <c r="S37" i="5"/>
  <c r="M38" i="5"/>
  <c r="Q38" i="5"/>
  <c r="N38" i="5" s="1"/>
  <c r="R38" i="5"/>
  <c r="S38" i="5"/>
  <c r="M39" i="5"/>
  <c r="Q39" i="5"/>
  <c r="R39" i="5"/>
  <c r="S39" i="5"/>
  <c r="M40" i="5"/>
  <c r="Q40" i="5"/>
  <c r="R40" i="5"/>
  <c r="S40" i="5"/>
  <c r="M41" i="5"/>
  <c r="Q41" i="5"/>
  <c r="P41" i="5" s="1"/>
  <c r="R41" i="5"/>
  <c r="S41" i="5"/>
  <c r="M42" i="5"/>
  <c r="Q42" i="5"/>
  <c r="O42" i="5" s="1"/>
  <c r="R42" i="5"/>
  <c r="S42" i="5"/>
  <c r="M43" i="5"/>
  <c r="Q43" i="5"/>
  <c r="R43" i="5"/>
  <c r="S43" i="5"/>
  <c r="M44" i="5"/>
  <c r="Q44" i="5"/>
  <c r="O44" i="5" s="1"/>
  <c r="R44" i="5"/>
  <c r="S44" i="5"/>
  <c r="M45" i="5"/>
  <c r="Q45" i="5"/>
  <c r="N45" i="5" s="1"/>
  <c r="R45" i="5"/>
  <c r="S45" i="5"/>
  <c r="M46" i="5"/>
  <c r="Q46" i="5"/>
  <c r="P46" i="5" s="1"/>
  <c r="R46" i="5"/>
  <c r="S46" i="5"/>
  <c r="M47" i="5"/>
  <c r="Q47" i="5"/>
  <c r="R47" i="5"/>
  <c r="S47" i="5"/>
  <c r="M48" i="5"/>
  <c r="Q48" i="5"/>
  <c r="R48" i="5"/>
  <c r="S48" i="5"/>
  <c r="M49" i="5"/>
  <c r="Q49" i="5"/>
  <c r="R49" i="5"/>
  <c r="S49" i="5"/>
  <c r="M50" i="5"/>
  <c r="Q50" i="5"/>
  <c r="R50" i="5"/>
  <c r="S50" i="5"/>
  <c r="M51" i="5"/>
  <c r="Q51" i="5"/>
  <c r="R51" i="5"/>
  <c r="S51" i="5"/>
  <c r="M52" i="5"/>
  <c r="Q52" i="5"/>
  <c r="O52" i="5" s="1"/>
  <c r="R52" i="5"/>
  <c r="S52" i="5"/>
  <c r="M53" i="5"/>
  <c r="Q53" i="5"/>
  <c r="N53" i="5" s="1"/>
  <c r="R53" i="5"/>
  <c r="S53" i="5"/>
  <c r="M54" i="5"/>
  <c r="Q54" i="5"/>
  <c r="N54" i="5" s="1"/>
  <c r="R54" i="5"/>
  <c r="S54" i="5"/>
  <c r="M55" i="5"/>
  <c r="Q55" i="5"/>
  <c r="R55" i="5"/>
  <c r="S55" i="5"/>
  <c r="M56" i="5"/>
  <c r="Q56" i="5"/>
  <c r="R56" i="5"/>
  <c r="S56" i="5"/>
  <c r="M57" i="5"/>
  <c r="Q57" i="5"/>
  <c r="R57" i="5"/>
  <c r="S57" i="5"/>
  <c r="M58" i="5"/>
  <c r="Q58" i="5"/>
  <c r="P58" i="5" s="1"/>
  <c r="R58" i="5"/>
  <c r="S58" i="5"/>
  <c r="M59" i="5"/>
  <c r="Q59" i="5"/>
  <c r="P59" i="5" s="1"/>
  <c r="R59" i="5"/>
  <c r="S59" i="5"/>
  <c r="M60" i="5"/>
  <c r="Q60" i="5"/>
  <c r="N60" i="5" s="1"/>
  <c r="R60" i="5"/>
  <c r="S60" i="5"/>
  <c r="M61" i="5"/>
  <c r="Q61" i="5"/>
  <c r="R61" i="5"/>
  <c r="S61" i="5"/>
  <c r="M62" i="5"/>
  <c r="Q62" i="5"/>
  <c r="P62" i="5" s="1"/>
  <c r="R62" i="5"/>
  <c r="S62" i="5"/>
  <c r="M63" i="5"/>
  <c r="Q63" i="5"/>
  <c r="R63" i="5"/>
  <c r="S63" i="5"/>
  <c r="M64" i="5"/>
  <c r="Q64" i="5"/>
  <c r="N64" i="5" s="1"/>
  <c r="R64" i="5"/>
  <c r="S64" i="5"/>
  <c r="M65" i="5"/>
  <c r="Q65" i="5"/>
  <c r="R65" i="5"/>
  <c r="S65" i="5"/>
  <c r="M66" i="5"/>
  <c r="Q66" i="5"/>
  <c r="N66" i="5" s="1"/>
  <c r="R66" i="5"/>
  <c r="S66" i="5"/>
  <c r="M67" i="5"/>
  <c r="Q67" i="5"/>
  <c r="R67" i="5"/>
  <c r="S67" i="5"/>
  <c r="M68" i="5"/>
  <c r="Q68" i="5"/>
  <c r="R68" i="5"/>
  <c r="S68" i="5"/>
  <c r="M69" i="5"/>
  <c r="Q69" i="5"/>
  <c r="O69" i="5" s="1"/>
  <c r="R69" i="5"/>
  <c r="S69" i="5"/>
  <c r="M70" i="5"/>
  <c r="Q70" i="5"/>
  <c r="R70" i="5"/>
  <c r="S70" i="5"/>
  <c r="M71" i="5"/>
  <c r="Q71" i="5"/>
  <c r="P71" i="5" s="1"/>
  <c r="R71" i="5"/>
  <c r="S71" i="5"/>
  <c r="M72" i="5"/>
  <c r="Q72" i="5"/>
  <c r="R72" i="5"/>
  <c r="S72" i="5"/>
  <c r="M73" i="5"/>
  <c r="Q73" i="5"/>
  <c r="R73" i="5"/>
  <c r="S73" i="5"/>
  <c r="M74" i="5"/>
  <c r="Q74" i="5"/>
  <c r="N74" i="5" s="1"/>
  <c r="R74" i="5"/>
  <c r="S74" i="5"/>
  <c r="M75" i="5"/>
  <c r="Q75" i="5"/>
  <c r="P75" i="5" s="1"/>
  <c r="R75" i="5"/>
  <c r="S75" i="5"/>
  <c r="M76" i="5"/>
  <c r="Q76" i="5"/>
  <c r="N76" i="5" s="1"/>
  <c r="R76" i="5"/>
  <c r="S76" i="5"/>
  <c r="M77" i="5"/>
  <c r="Q77" i="5"/>
  <c r="P77" i="5" s="1"/>
  <c r="R77" i="5"/>
  <c r="S77" i="5"/>
  <c r="M78" i="5"/>
  <c r="Q78" i="5"/>
  <c r="P78" i="5" s="1"/>
  <c r="R78" i="5"/>
  <c r="S78" i="5"/>
  <c r="M79" i="5"/>
  <c r="Q79" i="5"/>
  <c r="R79" i="5"/>
  <c r="S79" i="5"/>
  <c r="M80" i="5"/>
  <c r="Q80" i="5"/>
  <c r="N80" i="5" s="1"/>
  <c r="R80" i="5"/>
  <c r="S80" i="5"/>
  <c r="M81" i="5"/>
  <c r="Q81" i="5"/>
  <c r="R81" i="5"/>
  <c r="S81" i="5"/>
  <c r="M82" i="5"/>
  <c r="Q82" i="5"/>
  <c r="P82" i="5" s="1"/>
  <c r="R82" i="5"/>
  <c r="S82" i="5"/>
  <c r="M83" i="5"/>
  <c r="Q83" i="5"/>
  <c r="R83" i="5"/>
  <c r="S83" i="5"/>
  <c r="M84" i="5"/>
  <c r="Q84" i="5"/>
  <c r="R84" i="5"/>
  <c r="S84" i="5"/>
  <c r="M85" i="5"/>
  <c r="Q85" i="5"/>
  <c r="R85" i="5"/>
  <c r="S85" i="5"/>
  <c r="M86" i="5"/>
  <c r="Q86" i="5"/>
  <c r="R86" i="5"/>
  <c r="S86" i="5"/>
  <c r="M87" i="5"/>
  <c r="Q87" i="5"/>
  <c r="P87" i="5" s="1"/>
  <c r="R87" i="5"/>
  <c r="S87" i="5"/>
  <c r="M88" i="5"/>
  <c r="Q88" i="5"/>
  <c r="R88" i="5"/>
  <c r="S88" i="5"/>
  <c r="M89" i="5"/>
  <c r="Q89" i="5"/>
  <c r="P89" i="5" s="1"/>
  <c r="R89" i="5"/>
  <c r="S89" i="5"/>
  <c r="M90" i="5"/>
  <c r="Q90" i="5"/>
  <c r="N90" i="5" s="1"/>
  <c r="R90" i="5"/>
  <c r="S90" i="5"/>
  <c r="M91" i="5"/>
  <c r="Q91" i="5"/>
  <c r="P91" i="5" s="1"/>
  <c r="R91" i="5"/>
  <c r="S91" i="5"/>
  <c r="M92" i="5"/>
  <c r="Q92" i="5"/>
  <c r="N92" i="5" s="1"/>
  <c r="R92" i="5"/>
  <c r="S92" i="5"/>
  <c r="M93" i="5"/>
  <c r="Q93" i="5"/>
  <c r="P93" i="5" s="1"/>
  <c r="R93" i="5"/>
  <c r="S93" i="5"/>
  <c r="M94" i="5"/>
  <c r="Q94" i="5"/>
  <c r="R94" i="5"/>
  <c r="S94" i="5"/>
  <c r="M95" i="5"/>
  <c r="Q95" i="5"/>
  <c r="R95" i="5"/>
  <c r="S95" i="5"/>
  <c r="M96" i="5"/>
  <c r="Q96" i="5"/>
  <c r="N96" i="5" s="1"/>
  <c r="R96" i="5"/>
  <c r="S96" i="5"/>
  <c r="M97" i="5"/>
  <c r="Q97" i="5"/>
  <c r="N97" i="5" s="1"/>
  <c r="R97" i="5"/>
  <c r="S97" i="5"/>
  <c r="M98" i="5"/>
  <c r="Q98" i="5"/>
  <c r="O98" i="5" s="1"/>
  <c r="R98" i="5"/>
  <c r="S98" i="5"/>
  <c r="M99" i="5"/>
  <c r="Q99" i="5"/>
  <c r="N99" i="5" s="1"/>
  <c r="R99" i="5"/>
  <c r="S99" i="5"/>
  <c r="M100" i="5"/>
  <c r="Q100" i="5"/>
  <c r="P100" i="5" s="1"/>
  <c r="R100" i="5"/>
  <c r="S100" i="5"/>
  <c r="M101" i="5"/>
  <c r="Q101" i="5"/>
  <c r="P101" i="5" s="1"/>
  <c r="R101" i="5"/>
  <c r="S101" i="5"/>
  <c r="M102" i="5"/>
  <c r="Q102" i="5"/>
  <c r="P102" i="5" s="1"/>
  <c r="R102" i="5"/>
  <c r="S102" i="5"/>
  <c r="M103" i="5"/>
  <c r="Q103" i="5"/>
  <c r="N103" i="5" s="1"/>
  <c r="R103" i="5"/>
  <c r="S103" i="5"/>
  <c r="M104" i="5"/>
  <c r="Q104" i="5"/>
  <c r="O104" i="5" s="1"/>
  <c r="R104" i="5"/>
  <c r="S104" i="5"/>
  <c r="M105" i="5"/>
  <c r="Q105" i="5"/>
  <c r="R105" i="5"/>
  <c r="S105" i="5"/>
  <c r="M106" i="5"/>
  <c r="Q106" i="5"/>
  <c r="P106" i="5" s="1"/>
  <c r="R106" i="5"/>
  <c r="S106" i="5"/>
  <c r="M107" i="5"/>
  <c r="Q107" i="5"/>
  <c r="R107" i="5"/>
  <c r="S107" i="5"/>
  <c r="M108" i="5"/>
  <c r="Q108" i="5"/>
  <c r="O108" i="5" s="1"/>
  <c r="R108" i="5"/>
  <c r="S108" i="5"/>
  <c r="M109" i="5"/>
  <c r="Q109" i="5"/>
  <c r="P109" i="5" s="1"/>
  <c r="R109" i="5"/>
  <c r="S109" i="5"/>
  <c r="M110" i="5"/>
  <c r="Q110" i="5"/>
  <c r="N110" i="5" s="1"/>
  <c r="R110" i="5"/>
  <c r="S110" i="5"/>
  <c r="M111" i="5"/>
  <c r="Q111" i="5"/>
  <c r="N111" i="5" s="1"/>
  <c r="R111" i="5"/>
  <c r="S111" i="5"/>
  <c r="M112" i="5"/>
  <c r="Q112" i="5"/>
  <c r="R112" i="5"/>
  <c r="S112" i="5"/>
  <c r="M113" i="5"/>
  <c r="Q113" i="5"/>
  <c r="P113" i="5" s="1"/>
  <c r="R113" i="5"/>
  <c r="S113" i="5"/>
  <c r="M114" i="5"/>
  <c r="Q114" i="5"/>
  <c r="R114" i="5"/>
  <c r="S114" i="5"/>
  <c r="M115" i="5"/>
  <c r="Q115" i="5"/>
  <c r="N115" i="5" s="1"/>
  <c r="R115" i="5"/>
  <c r="S115" i="5"/>
  <c r="M116" i="5"/>
  <c r="Q116" i="5"/>
  <c r="R116" i="5"/>
  <c r="S116" i="5"/>
  <c r="M117" i="5"/>
  <c r="Q117" i="5"/>
  <c r="O117" i="5" s="1"/>
  <c r="R117" i="5"/>
  <c r="S117" i="5"/>
  <c r="M118" i="5"/>
  <c r="Q118" i="5"/>
  <c r="N118" i="5" s="1"/>
  <c r="R118" i="5"/>
  <c r="S118" i="5"/>
  <c r="M119" i="5"/>
  <c r="Q119" i="5"/>
  <c r="N119" i="5" s="1"/>
  <c r="R119" i="5"/>
  <c r="S119" i="5"/>
  <c r="M120" i="5"/>
  <c r="Q120" i="5"/>
  <c r="R120" i="5"/>
  <c r="S120" i="5"/>
  <c r="M121" i="5"/>
  <c r="Q121" i="5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P124" i="5" s="1"/>
  <c r="R124" i="5"/>
  <c r="S124" i="5"/>
  <c r="M125" i="5"/>
  <c r="Q125" i="5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R128" i="5"/>
  <c r="S128" i="5"/>
  <c r="M129" i="5"/>
  <c r="Q129" i="5"/>
  <c r="R129" i="5"/>
  <c r="S129" i="5"/>
  <c r="M130" i="5"/>
  <c r="Q130" i="5"/>
  <c r="R130" i="5"/>
  <c r="S130" i="5"/>
  <c r="M131" i="5"/>
  <c r="Q131" i="5"/>
  <c r="R131" i="5"/>
  <c r="S131" i="5"/>
  <c r="M132" i="5"/>
  <c r="Q132" i="5"/>
  <c r="P132" i="5" s="1"/>
  <c r="R132" i="5"/>
  <c r="S132" i="5"/>
  <c r="M133" i="5"/>
  <c r="Q133" i="5"/>
  <c r="R133" i="5"/>
  <c r="S133" i="5"/>
  <c r="M134" i="5"/>
  <c r="Q134" i="5"/>
  <c r="N134" i="5" s="1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N137" i="5" s="1"/>
  <c r="R137" i="5"/>
  <c r="S137" i="5"/>
  <c r="M138" i="5"/>
  <c r="Q138" i="5"/>
  <c r="R138" i="5"/>
  <c r="S138" i="5"/>
  <c r="M139" i="5"/>
  <c r="Q139" i="5"/>
  <c r="R139" i="5"/>
  <c r="S139" i="5"/>
  <c r="M140" i="5"/>
  <c r="Q140" i="5"/>
  <c r="P140" i="5" s="1"/>
  <c r="R140" i="5"/>
  <c r="S140" i="5"/>
  <c r="M141" i="5"/>
  <c r="Q141" i="5"/>
  <c r="R141" i="5"/>
  <c r="S141" i="5"/>
  <c r="M142" i="5"/>
  <c r="Q142" i="5"/>
  <c r="R142" i="5"/>
  <c r="S142" i="5"/>
  <c r="M143" i="5"/>
  <c r="Q143" i="5"/>
  <c r="R143" i="5"/>
  <c r="S143" i="5"/>
  <c r="M144" i="5"/>
  <c r="Q144" i="5"/>
  <c r="R144" i="5"/>
  <c r="S144" i="5"/>
  <c r="M145" i="5"/>
  <c r="Q145" i="5"/>
  <c r="N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P148" i="5" s="1"/>
  <c r="R148" i="5"/>
  <c r="S148" i="5"/>
  <c r="M149" i="5"/>
  <c r="Q149" i="5"/>
  <c r="P149" i="5" s="1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R152" i="5"/>
  <c r="S152" i="5"/>
  <c r="M153" i="5"/>
  <c r="Q153" i="5"/>
  <c r="N153" i="5" s="1"/>
  <c r="R153" i="5"/>
  <c r="S153" i="5"/>
  <c r="M154" i="5"/>
  <c r="Q154" i="5"/>
  <c r="R154" i="5"/>
  <c r="S154" i="5"/>
  <c r="M155" i="5"/>
  <c r="Q155" i="5"/>
  <c r="R155" i="5"/>
  <c r="S155" i="5"/>
  <c r="M156" i="5"/>
  <c r="Q156" i="5"/>
  <c r="R156" i="5"/>
  <c r="S156" i="5"/>
  <c r="M157" i="5"/>
  <c r="Q157" i="5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N161" i="5" s="1"/>
  <c r="R161" i="5"/>
  <c r="S161" i="5"/>
  <c r="M162" i="5"/>
  <c r="Q162" i="5"/>
  <c r="R162" i="5"/>
  <c r="S162" i="5"/>
  <c r="M163" i="5"/>
  <c r="Q163" i="5"/>
  <c r="R163" i="5"/>
  <c r="S163" i="5"/>
  <c r="M164" i="5"/>
  <c r="Q164" i="5"/>
  <c r="R164" i="5"/>
  <c r="S164" i="5"/>
  <c r="M165" i="5"/>
  <c r="Q165" i="5"/>
  <c r="R165" i="5"/>
  <c r="S165" i="5"/>
  <c r="M166" i="5"/>
  <c r="Q166" i="5"/>
  <c r="N166" i="5" s="1"/>
  <c r="R166" i="5"/>
  <c r="S166" i="5"/>
  <c r="M167" i="5"/>
  <c r="Q167" i="5"/>
  <c r="R167" i="5"/>
  <c r="S167" i="5"/>
  <c r="M168" i="5"/>
  <c r="Q168" i="5"/>
  <c r="P168" i="5" s="1"/>
  <c r="R168" i="5"/>
  <c r="S168" i="5"/>
  <c r="M169" i="5"/>
  <c r="Q169" i="5"/>
  <c r="N169" i="5" s="1"/>
  <c r="R169" i="5"/>
  <c r="S169" i="5"/>
  <c r="M170" i="5"/>
  <c r="Q170" i="5"/>
  <c r="P170" i="5" s="1"/>
  <c r="R170" i="5"/>
  <c r="S170" i="5"/>
  <c r="M171" i="5"/>
  <c r="Q171" i="5"/>
  <c r="R171" i="5"/>
  <c r="S171" i="5"/>
  <c r="M172" i="5"/>
  <c r="Q172" i="5"/>
  <c r="P172" i="5" s="1"/>
  <c r="R172" i="5"/>
  <c r="S172" i="5"/>
  <c r="M173" i="5"/>
  <c r="Q173" i="5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R176" i="5"/>
  <c r="S176" i="5"/>
  <c r="M177" i="5"/>
  <c r="Q177" i="5"/>
  <c r="O177" i="5" s="1"/>
  <c r="R177" i="5"/>
  <c r="S177" i="5"/>
  <c r="M178" i="5"/>
  <c r="Q178" i="5"/>
  <c r="P178" i="5" s="1"/>
  <c r="R178" i="5"/>
  <c r="S178" i="5"/>
  <c r="M179" i="5"/>
  <c r="Q179" i="5"/>
  <c r="R179" i="5"/>
  <c r="S179" i="5"/>
  <c r="M180" i="5"/>
  <c r="Q180" i="5"/>
  <c r="O180" i="5" s="1"/>
  <c r="R180" i="5"/>
  <c r="S180" i="5"/>
  <c r="M181" i="5"/>
  <c r="Q181" i="5"/>
  <c r="R181" i="5"/>
  <c r="S181" i="5"/>
  <c r="M182" i="5"/>
  <c r="Q182" i="5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R185" i="5"/>
  <c r="S185" i="5"/>
  <c r="M186" i="5"/>
  <c r="Q186" i="5"/>
  <c r="O186" i="5" s="1"/>
  <c r="R186" i="5"/>
  <c r="S186" i="5"/>
  <c r="M187" i="5"/>
  <c r="Q187" i="5"/>
  <c r="R187" i="5"/>
  <c r="S187" i="5"/>
  <c r="M188" i="5"/>
  <c r="Q188" i="5"/>
  <c r="R188" i="5"/>
  <c r="S188" i="5"/>
  <c r="M189" i="5"/>
  <c r="Q189" i="5"/>
  <c r="O189" i="5" s="1"/>
  <c r="R189" i="5"/>
  <c r="S189" i="5"/>
  <c r="M190" i="5"/>
  <c r="Q190" i="5"/>
  <c r="O190" i="5" s="1"/>
  <c r="R190" i="5"/>
  <c r="S190" i="5"/>
  <c r="M191" i="5"/>
  <c r="Q191" i="5"/>
  <c r="P191" i="5" s="1"/>
  <c r="R191" i="5"/>
  <c r="S191" i="5"/>
  <c r="M192" i="5"/>
  <c r="Q192" i="5"/>
  <c r="R192" i="5"/>
  <c r="S192" i="5"/>
  <c r="M193" i="5"/>
  <c r="Q193" i="5"/>
  <c r="N193" i="5" s="1"/>
  <c r="R193" i="5"/>
  <c r="S193" i="5"/>
  <c r="M194" i="5"/>
  <c r="Q194" i="5"/>
  <c r="R194" i="5"/>
  <c r="S194" i="5"/>
  <c r="M195" i="5"/>
  <c r="Q195" i="5"/>
  <c r="R195" i="5"/>
  <c r="S195" i="5"/>
  <c r="M196" i="5"/>
  <c r="Q196" i="5"/>
  <c r="P196" i="5" s="1"/>
  <c r="R196" i="5"/>
  <c r="S196" i="5"/>
  <c r="M197" i="5"/>
  <c r="Q197" i="5"/>
  <c r="R197" i="5"/>
  <c r="S197" i="5"/>
  <c r="M198" i="5"/>
  <c r="Q198" i="5"/>
  <c r="R198" i="5"/>
  <c r="S198" i="5"/>
  <c r="M199" i="5"/>
  <c r="Q199" i="5"/>
  <c r="P199" i="5" s="1"/>
  <c r="R199" i="5"/>
  <c r="S199" i="5"/>
  <c r="M200" i="5"/>
  <c r="Q200" i="5"/>
  <c r="N200" i="5" s="1"/>
  <c r="R200" i="5"/>
  <c r="S200" i="5"/>
  <c r="M201" i="5"/>
  <c r="Q201" i="5"/>
  <c r="R201" i="5"/>
  <c r="S201" i="5"/>
  <c r="M202" i="5"/>
  <c r="Q202" i="5"/>
  <c r="O202" i="5" s="1"/>
  <c r="R202" i="5"/>
  <c r="S202" i="5"/>
  <c r="M203" i="5"/>
  <c r="Q203" i="5"/>
  <c r="R203" i="5"/>
  <c r="S203" i="5"/>
  <c r="M204" i="5"/>
  <c r="Q204" i="5"/>
  <c r="P204" i="5" s="1"/>
  <c r="R204" i="5"/>
  <c r="S204" i="5"/>
  <c r="M205" i="5"/>
  <c r="Q205" i="5"/>
  <c r="R205" i="5"/>
  <c r="S205" i="5"/>
  <c r="M206" i="5"/>
  <c r="Q206" i="5"/>
  <c r="R206" i="5"/>
  <c r="S206" i="5"/>
  <c r="M207" i="5"/>
  <c r="Q207" i="5"/>
  <c r="P207" i="5" s="1"/>
  <c r="R207" i="5"/>
  <c r="S207" i="5"/>
  <c r="M208" i="5"/>
  <c r="Q208" i="5"/>
  <c r="N208" i="5" s="1"/>
  <c r="R208" i="5"/>
  <c r="S208" i="5"/>
  <c r="M209" i="5"/>
  <c r="Q209" i="5"/>
  <c r="N209" i="5" s="1"/>
  <c r="R209" i="5"/>
  <c r="S209" i="5"/>
  <c r="M210" i="5"/>
  <c r="Q210" i="5"/>
  <c r="R210" i="5"/>
  <c r="S210" i="5"/>
  <c r="M211" i="5"/>
  <c r="Q211" i="5"/>
  <c r="R211" i="5"/>
  <c r="S211" i="5"/>
  <c r="M212" i="5"/>
  <c r="Q212" i="5"/>
  <c r="P212" i="5" s="1"/>
  <c r="R212" i="5"/>
  <c r="S212" i="5"/>
  <c r="M213" i="5"/>
  <c r="Q213" i="5"/>
  <c r="R213" i="5"/>
  <c r="S213" i="5"/>
  <c r="M214" i="5"/>
  <c r="Q214" i="5"/>
  <c r="P214" i="5" s="1"/>
  <c r="R214" i="5"/>
  <c r="S214" i="5"/>
  <c r="M215" i="5"/>
  <c r="Q215" i="5"/>
  <c r="R215" i="5"/>
  <c r="S215" i="5"/>
  <c r="M216" i="5"/>
  <c r="Q216" i="5"/>
  <c r="R216" i="5"/>
  <c r="S216" i="5"/>
  <c r="M217" i="5"/>
  <c r="Q217" i="5"/>
  <c r="R217" i="5"/>
  <c r="S217" i="5"/>
  <c r="M218" i="5"/>
  <c r="Q218" i="5"/>
  <c r="P218" i="5" s="1"/>
  <c r="R218" i="5"/>
  <c r="S218" i="5"/>
  <c r="M219" i="5"/>
  <c r="Q219" i="5"/>
  <c r="P219" i="5" s="1"/>
  <c r="R219" i="5"/>
  <c r="S219" i="5"/>
  <c r="M220" i="5"/>
  <c r="Q220" i="5"/>
  <c r="R220" i="5"/>
  <c r="S220" i="5"/>
  <c r="M221" i="5"/>
  <c r="Q221" i="5"/>
  <c r="R221" i="5"/>
  <c r="S221" i="5"/>
  <c r="M222" i="5"/>
  <c r="Q222" i="5"/>
  <c r="R222" i="5"/>
  <c r="S222" i="5"/>
  <c r="M223" i="5"/>
  <c r="Q223" i="5"/>
  <c r="R223" i="5"/>
  <c r="S223" i="5"/>
  <c r="M224" i="5"/>
  <c r="Q224" i="5"/>
  <c r="R224" i="5"/>
  <c r="S224" i="5"/>
  <c r="M225" i="5"/>
  <c r="Q225" i="5"/>
  <c r="R225" i="5"/>
  <c r="S225" i="5"/>
  <c r="M226" i="5"/>
  <c r="Q226" i="5"/>
  <c r="P226" i="5" s="1"/>
  <c r="R226" i="5"/>
  <c r="S226" i="5"/>
  <c r="M227" i="5"/>
  <c r="Q227" i="5"/>
  <c r="R227" i="5"/>
  <c r="S227" i="5"/>
  <c r="M228" i="5"/>
  <c r="Q228" i="5"/>
  <c r="R228" i="5"/>
  <c r="S228" i="5"/>
  <c r="M229" i="5"/>
  <c r="Q229" i="5"/>
  <c r="R229" i="5"/>
  <c r="S229" i="5"/>
  <c r="M230" i="5"/>
  <c r="Q230" i="5"/>
  <c r="P230" i="5" s="1"/>
  <c r="R230" i="5"/>
  <c r="S230" i="5"/>
  <c r="M231" i="5"/>
  <c r="Q231" i="5"/>
  <c r="N231" i="5" s="1"/>
  <c r="R231" i="5"/>
  <c r="S231" i="5"/>
  <c r="M232" i="5"/>
  <c r="Q232" i="5"/>
  <c r="R232" i="5"/>
  <c r="S232" i="5"/>
  <c r="M233" i="5"/>
  <c r="Q233" i="5"/>
  <c r="O233" i="5" s="1"/>
  <c r="R233" i="5"/>
  <c r="S233" i="5"/>
  <c r="M234" i="5"/>
  <c r="Q234" i="5"/>
  <c r="P234" i="5" s="1"/>
  <c r="R234" i="5"/>
  <c r="S234" i="5"/>
  <c r="M235" i="5"/>
  <c r="Q235" i="5"/>
  <c r="N235" i="5" s="1"/>
  <c r="R235" i="5"/>
  <c r="S235" i="5"/>
  <c r="M236" i="5"/>
  <c r="Q236" i="5"/>
  <c r="R236" i="5"/>
  <c r="S236" i="5"/>
  <c r="M237" i="5"/>
  <c r="Q237" i="5"/>
  <c r="P237" i="5" s="1"/>
  <c r="R237" i="5"/>
  <c r="S237" i="5"/>
  <c r="M238" i="5"/>
  <c r="Q238" i="5"/>
  <c r="P238" i="5" s="1"/>
  <c r="R238" i="5"/>
  <c r="S238" i="5"/>
  <c r="M239" i="5"/>
  <c r="Q239" i="5"/>
  <c r="R239" i="5"/>
  <c r="S239" i="5"/>
  <c r="M240" i="5"/>
  <c r="Q240" i="5"/>
  <c r="O240" i="5" s="1"/>
  <c r="R240" i="5"/>
  <c r="S240" i="5"/>
  <c r="M241" i="5"/>
  <c r="Q241" i="5"/>
  <c r="R241" i="5"/>
  <c r="S241" i="5"/>
  <c r="M242" i="5"/>
  <c r="Q242" i="5"/>
  <c r="P242" i="5" s="1"/>
  <c r="R242" i="5"/>
  <c r="S242" i="5"/>
  <c r="M243" i="5"/>
  <c r="Q243" i="5"/>
  <c r="R243" i="5"/>
  <c r="S243" i="5"/>
  <c r="M244" i="5"/>
  <c r="Q244" i="5"/>
  <c r="P244" i="5" s="1"/>
  <c r="R244" i="5"/>
  <c r="S244" i="5"/>
  <c r="M245" i="5"/>
  <c r="Q245" i="5"/>
  <c r="P245" i="5" s="1"/>
  <c r="R245" i="5"/>
  <c r="S245" i="5"/>
  <c r="M246" i="5"/>
  <c r="Q246" i="5"/>
  <c r="R246" i="5"/>
  <c r="S246" i="5"/>
  <c r="M247" i="5"/>
  <c r="Q247" i="5"/>
  <c r="R247" i="5"/>
  <c r="S247" i="5"/>
  <c r="M248" i="5"/>
  <c r="Q248" i="5"/>
  <c r="O248" i="5" s="1"/>
  <c r="R248" i="5"/>
  <c r="S248" i="5"/>
  <c r="M249" i="5"/>
  <c r="Q249" i="5"/>
  <c r="R249" i="5"/>
  <c r="S249" i="5"/>
  <c r="M250" i="5"/>
  <c r="Q250" i="5"/>
  <c r="R250" i="5"/>
  <c r="S250" i="5"/>
  <c r="M251" i="5"/>
  <c r="Q251" i="5"/>
  <c r="R251" i="5"/>
  <c r="S251" i="5"/>
  <c r="M252" i="5"/>
  <c r="Q252" i="5"/>
  <c r="R252" i="5"/>
  <c r="S252" i="5"/>
  <c r="M253" i="5"/>
  <c r="Q253" i="5"/>
  <c r="P253" i="5" s="1"/>
  <c r="R253" i="5"/>
  <c r="S253" i="5"/>
  <c r="M254" i="5"/>
  <c r="Q254" i="5"/>
  <c r="P254" i="5" s="1"/>
  <c r="R254" i="5"/>
  <c r="S254" i="5"/>
  <c r="M255" i="5"/>
  <c r="Q255" i="5"/>
  <c r="R255" i="5"/>
  <c r="S255" i="5"/>
  <c r="M256" i="5"/>
  <c r="Q256" i="5"/>
  <c r="O256" i="5" s="1"/>
  <c r="R256" i="5"/>
  <c r="S256" i="5"/>
  <c r="M257" i="5"/>
  <c r="Q257" i="5"/>
  <c r="R257" i="5"/>
  <c r="S257" i="5"/>
  <c r="M258" i="5"/>
  <c r="Q258" i="5"/>
  <c r="R258" i="5"/>
  <c r="S258" i="5"/>
  <c r="M259" i="5"/>
  <c r="Q259" i="5"/>
  <c r="R259" i="5"/>
  <c r="S259" i="5"/>
  <c r="M260" i="5"/>
  <c r="Q260" i="5"/>
  <c r="P260" i="5" s="1"/>
  <c r="R260" i="5"/>
  <c r="S260" i="5"/>
  <c r="M261" i="5"/>
  <c r="Q261" i="5"/>
  <c r="P261" i="5" s="1"/>
  <c r="R261" i="5"/>
  <c r="S261" i="5"/>
  <c r="M262" i="5"/>
  <c r="Q262" i="5"/>
  <c r="R262" i="5"/>
  <c r="S262" i="5"/>
  <c r="M263" i="5"/>
  <c r="Q263" i="5"/>
  <c r="R263" i="5"/>
  <c r="S263" i="5"/>
  <c r="M264" i="5"/>
  <c r="Q264" i="5"/>
  <c r="R264" i="5"/>
  <c r="S264" i="5"/>
  <c r="M265" i="5"/>
  <c r="Q265" i="5"/>
  <c r="R265" i="5"/>
  <c r="S265" i="5"/>
  <c r="M266" i="5"/>
  <c r="Q266" i="5"/>
  <c r="P266" i="5" s="1"/>
  <c r="R266" i="5"/>
  <c r="S266" i="5"/>
  <c r="M267" i="5"/>
  <c r="Q267" i="5"/>
  <c r="R267" i="5"/>
  <c r="S267" i="5"/>
  <c r="M268" i="5"/>
  <c r="Q268" i="5"/>
  <c r="R268" i="5"/>
  <c r="S268" i="5"/>
  <c r="M269" i="5"/>
  <c r="Q269" i="5"/>
  <c r="P269" i="5" s="1"/>
  <c r="R269" i="5"/>
  <c r="S269" i="5"/>
  <c r="M270" i="5"/>
  <c r="Q270" i="5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P273" i="5" s="1"/>
  <c r="R273" i="5"/>
  <c r="S273" i="5"/>
  <c r="M274" i="5"/>
  <c r="Q274" i="5"/>
  <c r="P274" i="5" s="1"/>
  <c r="R274" i="5"/>
  <c r="S274" i="5"/>
  <c r="M275" i="5"/>
  <c r="Q275" i="5"/>
  <c r="R275" i="5"/>
  <c r="S275" i="5"/>
  <c r="M276" i="5"/>
  <c r="Q276" i="5"/>
  <c r="R276" i="5"/>
  <c r="S276" i="5"/>
  <c r="M277" i="5"/>
  <c r="Q277" i="5"/>
  <c r="P277" i="5" s="1"/>
  <c r="R277" i="5"/>
  <c r="S277" i="5"/>
  <c r="M278" i="5"/>
  <c r="Q278" i="5"/>
  <c r="R278" i="5"/>
  <c r="S278" i="5"/>
  <c r="M279" i="5"/>
  <c r="Q279" i="5"/>
  <c r="R279" i="5"/>
  <c r="S279" i="5"/>
  <c r="M280" i="5"/>
  <c r="Q280" i="5"/>
  <c r="R280" i="5"/>
  <c r="S280" i="5"/>
  <c r="M281" i="5"/>
  <c r="Q281" i="5"/>
  <c r="P281" i="5" s="1"/>
  <c r="R281" i="5"/>
  <c r="S281" i="5"/>
  <c r="M282" i="5"/>
  <c r="Q282" i="5"/>
  <c r="R282" i="5"/>
  <c r="S282" i="5"/>
  <c r="M283" i="5"/>
  <c r="Q283" i="5"/>
  <c r="R283" i="5"/>
  <c r="S283" i="5"/>
  <c r="M284" i="5"/>
  <c r="Q284" i="5"/>
  <c r="R284" i="5"/>
  <c r="S284" i="5"/>
  <c r="M285" i="5"/>
  <c r="Q285" i="5"/>
  <c r="P285" i="5" s="1"/>
  <c r="R285" i="5"/>
  <c r="S285" i="5"/>
  <c r="M286" i="5"/>
  <c r="Q286" i="5"/>
  <c r="R286" i="5"/>
  <c r="S286" i="5"/>
  <c r="M287" i="5"/>
  <c r="Q287" i="5"/>
  <c r="R287" i="5"/>
  <c r="S287" i="5"/>
  <c r="M288" i="5"/>
  <c r="Q288" i="5"/>
  <c r="R288" i="5"/>
  <c r="S288" i="5"/>
  <c r="M289" i="5"/>
  <c r="Q289" i="5"/>
  <c r="P289" i="5" s="1"/>
  <c r="R289" i="5"/>
  <c r="S289" i="5"/>
  <c r="M290" i="5"/>
  <c r="Q290" i="5"/>
  <c r="P290" i="5" s="1"/>
  <c r="R290" i="5"/>
  <c r="S290" i="5"/>
  <c r="M291" i="5"/>
  <c r="Q291" i="5"/>
  <c r="R291" i="5"/>
  <c r="S291" i="5"/>
  <c r="M292" i="5"/>
  <c r="Q292" i="5"/>
  <c r="R292" i="5"/>
  <c r="S292" i="5"/>
  <c r="M293" i="5"/>
  <c r="Q293" i="5"/>
  <c r="P293" i="5" s="1"/>
  <c r="R293" i="5"/>
  <c r="S293" i="5"/>
  <c r="M294" i="5"/>
  <c r="Q294" i="5"/>
  <c r="N294" i="5" s="1"/>
  <c r="R294" i="5"/>
  <c r="S294" i="5"/>
  <c r="M295" i="5"/>
  <c r="Q295" i="5"/>
  <c r="R295" i="5"/>
  <c r="S295" i="5"/>
  <c r="M296" i="5"/>
  <c r="Q296" i="5"/>
  <c r="P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R300" i="5"/>
  <c r="S300" i="5"/>
  <c r="M301" i="5"/>
  <c r="Q301" i="5"/>
  <c r="P301" i="5" s="1"/>
  <c r="R301" i="5"/>
  <c r="S301" i="5"/>
  <c r="M302" i="5"/>
  <c r="Q302" i="5"/>
  <c r="N302" i="5" s="1"/>
  <c r="R302" i="5"/>
  <c r="S302" i="5"/>
  <c r="M303" i="5"/>
  <c r="Q303" i="5"/>
  <c r="R303" i="5"/>
  <c r="S303" i="5"/>
  <c r="M304" i="5"/>
  <c r="Q304" i="5"/>
  <c r="O304" i="5" s="1"/>
  <c r="R304" i="5"/>
  <c r="S304" i="5"/>
  <c r="M305" i="5"/>
  <c r="Q305" i="5"/>
  <c r="P305" i="5" s="1"/>
  <c r="R305" i="5"/>
  <c r="S305" i="5"/>
  <c r="M306" i="5"/>
  <c r="Q306" i="5"/>
  <c r="P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P309" i="5" s="1"/>
  <c r="R309" i="5"/>
  <c r="S309" i="5"/>
  <c r="M310" i="5"/>
  <c r="Q310" i="5"/>
  <c r="N310" i="5" s="1"/>
  <c r="R310" i="5"/>
  <c r="S310" i="5"/>
  <c r="M311" i="5"/>
  <c r="Q311" i="5"/>
  <c r="R311" i="5"/>
  <c r="S311" i="5"/>
  <c r="M312" i="5"/>
  <c r="Q312" i="5"/>
  <c r="O312" i="5" s="1"/>
  <c r="R312" i="5"/>
  <c r="S312" i="5"/>
  <c r="M313" i="5"/>
  <c r="Q313" i="5"/>
  <c r="P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R316" i="5"/>
  <c r="S316" i="5"/>
  <c r="M317" i="5"/>
  <c r="Q317" i="5"/>
  <c r="P317" i="5" s="1"/>
  <c r="R317" i="5"/>
  <c r="S317" i="5"/>
  <c r="M318" i="5"/>
  <c r="Q318" i="5"/>
  <c r="N318" i="5" s="1"/>
  <c r="R318" i="5"/>
  <c r="S318" i="5"/>
  <c r="M319" i="5"/>
  <c r="Q319" i="5"/>
  <c r="R319" i="5"/>
  <c r="S319" i="5"/>
  <c r="M320" i="5"/>
  <c r="Q320" i="5"/>
  <c r="R320" i="5"/>
  <c r="S320" i="5"/>
  <c r="M321" i="5"/>
  <c r="Q321" i="5"/>
  <c r="O321" i="5" s="1"/>
  <c r="R321" i="5"/>
  <c r="S321" i="5"/>
  <c r="M322" i="5"/>
  <c r="Q322" i="5"/>
  <c r="R322" i="5"/>
  <c r="S322" i="5"/>
  <c r="M323" i="5"/>
  <c r="Q323" i="5"/>
  <c r="O323" i="5" s="1"/>
  <c r="R323" i="5"/>
  <c r="S323" i="5"/>
  <c r="M324" i="5"/>
  <c r="Q324" i="5"/>
  <c r="O324" i="5" s="1"/>
  <c r="R324" i="5"/>
  <c r="S324" i="5"/>
  <c r="M325" i="5"/>
  <c r="Q325" i="5"/>
  <c r="O325" i="5" s="1"/>
  <c r="R325" i="5"/>
  <c r="S325" i="5"/>
  <c r="M326" i="5"/>
  <c r="Q326" i="5"/>
  <c r="P326" i="5" s="1"/>
  <c r="R326" i="5"/>
  <c r="S326" i="5"/>
  <c r="M327" i="5"/>
  <c r="Q327" i="5"/>
  <c r="O327" i="5" s="1"/>
  <c r="R327" i="5"/>
  <c r="S327" i="5"/>
  <c r="M328" i="5"/>
  <c r="Q328" i="5"/>
  <c r="R328" i="5"/>
  <c r="S328" i="5"/>
  <c r="M329" i="5"/>
  <c r="Q329" i="5"/>
  <c r="R329" i="5"/>
  <c r="S329" i="5"/>
  <c r="M330" i="5"/>
  <c r="Q330" i="5"/>
  <c r="P330" i="5" s="1"/>
  <c r="R330" i="5"/>
  <c r="S330" i="5"/>
  <c r="M331" i="5"/>
  <c r="Q331" i="5"/>
  <c r="R331" i="5"/>
  <c r="S331" i="5"/>
  <c r="M332" i="5"/>
  <c r="Q332" i="5"/>
  <c r="O332" i="5" s="1"/>
  <c r="R332" i="5"/>
  <c r="S332" i="5"/>
  <c r="M333" i="5"/>
  <c r="Q333" i="5"/>
  <c r="O333" i="5" s="1"/>
  <c r="R333" i="5"/>
  <c r="S333" i="5"/>
  <c r="M334" i="5"/>
  <c r="Q334" i="5"/>
  <c r="R334" i="5"/>
  <c r="S334" i="5"/>
  <c r="M335" i="5"/>
  <c r="Q335" i="5"/>
  <c r="O335" i="5" s="1"/>
  <c r="R335" i="5"/>
  <c r="S335" i="5"/>
  <c r="M336" i="5"/>
  <c r="Q336" i="5"/>
  <c r="O336" i="5" s="1"/>
  <c r="R336" i="5"/>
  <c r="S336" i="5"/>
  <c r="M337" i="5"/>
  <c r="Q337" i="5"/>
  <c r="O337" i="5" s="1"/>
  <c r="R337" i="5"/>
  <c r="S337" i="5"/>
  <c r="M338" i="5"/>
  <c r="Q338" i="5"/>
  <c r="R338" i="5"/>
  <c r="S338" i="5"/>
  <c r="M339" i="5"/>
  <c r="Q339" i="5"/>
  <c r="R339" i="5"/>
  <c r="S339" i="5"/>
  <c r="M340" i="5"/>
  <c r="Q340" i="5"/>
  <c r="R340" i="5"/>
  <c r="S340" i="5"/>
  <c r="M341" i="5"/>
  <c r="Q341" i="5"/>
  <c r="O341" i="5" s="1"/>
  <c r="R341" i="5"/>
  <c r="S341" i="5"/>
  <c r="M342" i="5"/>
  <c r="Q342" i="5"/>
  <c r="P342" i="5" s="1"/>
  <c r="R342" i="5"/>
  <c r="S342" i="5"/>
  <c r="M343" i="5"/>
  <c r="Q343" i="5"/>
  <c r="O343" i="5" s="1"/>
  <c r="R343" i="5"/>
  <c r="S343" i="5"/>
  <c r="M344" i="5"/>
  <c r="Q344" i="5"/>
  <c r="R344" i="5"/>
  <c r="S344" i="5"/>
  <c r="M345" i="5"/>
  <c r="Q345" i="5"/>
  <c r="R345" i="5"/>
  <c r="S345" i="5"/>
  <c r="M346" i="5"/>
  <c r="Q346" i="5"/>
  <c r="P346" i="5" s="1"/>
  <c r="R346" i="5"/>
  <c r="S346" i="5"/>
  <c r="M347" i="5"/>
  <c r="Q347" i="5"/>
  <c r="R347" i="5"/>
  <c r="S347" i="5"/>
  <c r="M348" i="5"/>
  <c r="Q348" i="5"/>
  <c r="O348" i="5" s="1"/>
  <c r="R348" i="5"/>
  <c r="S348" i="5"/>
  <c r="M349" i="5"/>
  <c r="Q349" i="5"/>
  <c r="O349" i="5" s="1"/>
  <c r="R349" i="5"/>
  <c r="S349" i="5"/>
  <c r="M350" i="5"/>
  <c r="Q350" i="5"/>
  <c r="R350" i="5"/>
  <c r="S350" i="5"/>
  <c r="M351" i="5"/>
  <c r="Q351" i="5"/>
  <c r="O351" i="5" s="1"/>
  <c r="R351" i="5"/>
  <c r="S351" i="5"/>
  <c r="M352" i="5"/>
  <c r="Q352" i="5"/>
  <c r="O352" i="5" s="1"/>
  <c r="R352" i="5"/>
  <c r="S352" i="5"/>
  <c r="M353" i="5"/>
  <c r="Q353" i="5"/>
  <c r="O353" i="5" s="1"/>
  <c r="R353" i="5"/>
  <c r="S353" i="5"/>
  <c r="M354" i="5"/>
  <c r="Q354" i="5"/>
  <c r="P354" i="5" s="1"/>
  <c r="R354" i="5"/>
  <c r="S354" i="5"/>
  <c r="M355" i="5"/>
  <c r="Q355" i="5"/>
  <c r="O355" i="5" s="1"/>
  <c r="R355" i="5"/>
  <c r="S355" i="5"/>
  <c r="M356" i="5"/>
  <c r="Q356" i="5"/>
  <c r="O356" i="5" s="1"/>
  <c r="R356" i="5"/>
  <c r="S356" i="5"/>
  <c r="M357" i="5"/>
  <c r="Q357" i="5"/>
  <c r="O357" i="5" s="1"/>
  <c r="R357" i="5"/>
  <c r="S357" i="5"/>
  <c r="M358" i="5"/>
  <c r="Q358" i="5"/>
  <c r="R358" i="5"/>
  <c r="S358" i="5"/>
  <c r="M359" i="5"/>
  <c r="Q359" i="5"/>
  <c r="O359" i="5" s="1"/>
  <c r="R359" i="5"/>
  <c r="S359" i="5"/>
  <c r="M360" i="5"/>
  <c r="Q360" i="5"/>
  <c r="O360" i="5" s="1"/>
  <c r="R360" i="5"/>
  <c r="S360" i="5"/>
  <c r="M361" i="5"/>
  <c r="Q361" i="5"/>
  <c r="R361" i="5"/>
  <c r="S361" i="5"/>
  <c r="M362" i="5"/>
  <c r="Q362" i="5"/>
  <c r="P362" i="5" s="1"/>
  <c r="R362" i="5"/>
  <c r="S362" i="5"/>
  <c r="M363" i="5"/>
  <c r="Q363" i="5"/>
  <c r="R363" i="5"/>
  <c r="S363" i="5"/>
  <c r="M364" i="5"/>
  <c r="Q364" i="5"/>
  <c r="O364" i="5" s="1"/>
  <c r="R364" i="5"/>
  <c r="S364" i="5"/>
  <c r="M365" i="5"/>
  <c r="Q365" i="5"/>
  <c r="O365" i="5" s="1"/>
  <c r="R365" i="5"/>
  <c r="S365" i="5"/>
  <c r="M366" i="5"/>
  <c r="Q366" i="5"/>
  <c r="P366" i="5" s="1"/>
  <c r="R366" i="5"/>
  <c r="S366" i="5"/>
  <c r="M367" i="5"/>
  <c r="Q367" i="5"/>
  <c r="O367" i="5" s="1"/>
  <c r="R367" i="5"/>
  <c r="S367" i="5"/>
  <c r="M368" i="5"/>
  <c r="Q368" i="5"/>
  <c r="R368" i="5"/>
  <c r="S368" i="5"/>
  <c r="M369" i="5"/>
  <c r="Q369" i="5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O372" i="5" s="1"/>
  <c r="R372" i="5"/>
  <c r="S372" i="5"/>
  <c r="M373" i="5"/>
  <c r="Q373" i="5"/>
  <c r="O373" i="5" s="1"/>
  <c r="R373" i="5"/>
  <c r="S373" i="5"/>
  <c r="M374" i="5"/>
  <c r="Q374" i="5"/>
  <c r="R374" i="5"/>
  <c r="S374" i="5"/>
  <c r="M375" i="5"/>
  <c r="Q375" i="5"/>
  <c r="O375" i="5" s="1"/>
  <c r="R375" i="5"/>
  <c r="S375" i="5"/>
  <c r="M376" i="5"/>
  <c r="Q376" i="5"/>
  <c r="O376" i="5" s="1"/>
  <c r="R376" i="5"/>
  <c r="S376" i="5"/>
  <c r="M377" i="5"/>
  <c r="Q377" i="5"/>
  <c r="R377" i="5"/>
  <c r="S377" i="5"/>
  <c r="M378" i="5"/>
  <c r="Q378" i="5"/>
  <c r="P378" i="5" s="1"/>
  <c r="R378" i="5"/>
  <c r="S378" i="5"/>
  <c r="M379" i="5"/>
  <c r="Q379" i="5"/>
  <c r="R379" i="5"/>
  <c r="S379" i="5"/>
  <c r="M380" i="5"/>
  <c r="Q380" i="5"/>
  <c r="R380" i="5"/>
  <c r="S380" i="5"/>
  <c r="M381" i="5"/>
  <c r="Q381" i="5"/>
  <c r="O381" i="5" s="1"/>
  <c r="R381" i="5"/>
  <c r="S381" i="5"/>
  <c r="M382" i="5"/>
  <c r="Q382" i="5"/>
  <c r="O382" i="5" s="1"/>
  <c r="R382" i="5"/>
  <c r="S382" i="5"/>
  <c r="M383" i="5"/>
  <c r="Q383" i="5"/>
  <c r="O383" i="5" s="1"/>
  <c r="R383" i="5"/>
  <c r="S383" i="5"/>
  <c r="M384" i="5"/>
  <c r="Q384" i="5"/>
  <c r="R384" i="5"/>
  <c r="S384" i="5"/>
  <c r="M385" i="5"/>
  <c r="Q385" i="5"/>
  <c r="O385" i="5" s="1"/>
  <c r="R385" i="5"/>
  <c r="S385" i="5"/>
  <c r="M386" i="5"/>
  <c r="Q386" i="5"/>
  <c r="O386" i="5" s="1"/>
  <c r="R386" i="5"/>
  <c r="S386" i="5"/>
  <c r="M387" i="5"/>
  <c r="Q387" i="5"/>
  <c r="R387" i="5"/>
  <c r="S387" i="5"/>
  <c r="M388" i="5"/>
  <c r="Q388" i="5"/>
  <c r="R388" i="5"/>
  <c r="S388" i="5"/>
  <c r="M389" i="5"/>
  <c r="Q389" i="5"/>
  <c r="O389" i="5" s="1"/>
  <c r="R389" i="5"/>
  <c r="S389" i="5"/>
  <c r="M390" i="5"/>
  <c r="Q390" i="5"/>
  <c r="R390" i="5"/>
  <c r="S390" i="5"/>
  <c r="M391" i="5"/>
  <c r="Q391" i="5"/>
  <c r="O391" i="5" s="1"/>
  <c r="R391" i="5"/>
  <c r="S391" i="5"/>
  <c r="M392" i="5"/>
  <c r="Q392" i="5"/>
  <c r="O392" i="5" s="1"/>
  <c r="R392" i="5"/>
  <c r="S392" i="5"/>
  <c r="M393" i="5"/>
  <c r="Q393" i="5"/>
  <c r="O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P396" i="5" s="1"/>
  <c r="R396" i="5"/>
  <c r="S396" i="5"/>
  <c r="M397" i="5"/>
  <c r="Q397" i="5"/>
  <c r="R397" i="5"/>
  <c r="S397" i="5"/>
  <c r="M398" i="5"/>
  <c r="Q398" i="5"/>
  <c r="R398" i="5"/>
  <c r="S398" i="5"/>
  <c r="M399" i="5"/>
  <c r="Q399" i="5"/>
  <c r="R399" i="5"/>
  <c r="S399" i="5"/>
  <c r="M400" i="5"/>
  <c r="Q400" i="5"/>
  <c r="R400" i="5"/>
  <c r="S400" i="5"/>
  <c r="M401" i="5"/>
  <c r="Q401" i="5"/>
  <c r="O401" i="5" s="1"/>
  <c r="R401" i="5"/>
  <c r="S401" i="5"/>
  <c r="M402" i="5"/>
  <c r="Q402" i="5"/>
  <c r="P402" i="5" s="1"/>
  <c r="R402" i="5"/>
  <c r="S402" i="5"/>
  <c r="M403" i="5"/>
  <c r="Q403" i="5"/>
  <c r="O403" i="5" s="1"/>
  <c r="R403" i="5"/>
  <c r="S403" i="5"/>
  <c r="M404" i="5"/>
  <c r="Q404" i="5"/>
  <c r="P404" i="5" s="1"/>
  <c r="R404" i="5"/>
  <c r="S404" i="5"/>
  <c r="M405" i="5"/>
  <c r="Q405" i="5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O408" i="5" s="1"/>
  <c r="R408" i="5"/>
  <c r="S408" i="5"/>
  <c r="M409" i="5"/>
  <c r="Q409" i="5"/>
  <c r="O409" i="5" s="1"/>
  <c r="R409" i="5"/>
  <c r="S409" i="5"/>
  <c r="M410" i="5"/>
  <c r="Q410" i="5"/>
  <c r="N410" i="5" s="1"/>
  <c r="R410" i="5"/>
  <c r="S410" i="5"/>
  <c r="M411" i="5"/>
  <c r="Q411" i="5"/>
  <c r="N411" i="5" s="1"/>
  <c r="R411" i="5"/>
  <c r="S411" i="5"/>
  <c r="M412" i="5"/>
  <c r="Q412" i="5"/>
  <c r="O412" i="5" s="1"/>
  <c r="R412" i="5"/>
  <c r="S412" i="5"/>
  <c r="M413" i="5"/>
  <c r="Q413" i="5"/>
  <c r="P413" i="5" s="1"/>
  <c r="R413" i="5"/>
  <c r="S413" i="5"/>
  <c r="M414" i="5"/>
  <c r="Q414" i="5"/>
  <c r="P414" i="5" s="1"/>
  <c r="R414" i="5"/>
  <c r="S414" i="5"/>
  <c r="M415" i="5"/>
  <c r="Q415" i="5"/>
  <c r="R415" i="5"/>
  <c r="S415" i="5"/>
  <c r="M416" i="5"/>
  <c r="Q416" i="5"/>
  <c r="R416" i="5"/>
  <c r="S416" i="5"/>
  <c r="M417" i="5"/>
  <c r="Q417" i="5"/>
  <c r="P417" i="5" s="1"/>
  <c r="R417" i="5"/>
  <c r="S417" i="5"/>
  <c r="M418" i="5"/>
  <c r="Q418" i="5"/>
  <c r="R418" i="5"/>
  <c r="S418" i="5"/>
  <c r="M419" i="5"/>
  <c r="Q419" i="5"/>
  <c r="N419" i="5" s="1"/>
  <c r="R419" i="5"/>
  <c r="S419" i="5"/>
  <c r="M420" i="5"/>
  <c r="Q420" i="5"/>
  <c r="O420" i="5" s="1"/>
  <c r="R420" i="5"/>
  <c r="S420" i="5"/>
  <c r="M421" i="5"/>
  <c r="Q421" i="5"/>
  <c r="N421" i="5" s="1"/>
  <c r="R421" i="5"/>
  <c r="S421" i="5"/>
  <c r="M422" i="5"/>
  <c r="Q422" i="5"/>
  <c r="N422" i="5" s="1"/>
  <c r="R422" i="5"/>
  <c r="S422" i="5"/>
  <c r="M423" i="5"/>
  <c r="Q423" i="5"/>
  <c r="R423" i="5"/>
  <c r="S423" i="5"/>
  <c r="M424" i="5"/>
  <c r="Q424" i="5"/>
  <c r="P424" i="5" s="1"/>
  <c r="R424" i="5"/>
  <c r="S424" i="5"/>
  <c r="M425" i="5"/>
  <c r="Q425" i="5"/>
  <c r="P425" i="5" s="1"/>
  <c r="R425" i="5"/>
  <c r="S425" i="5"/>
  <c r="M426" i="5"/>
  <c r="Q426" i="5"/>
  <c r="N426" i="5" s="1"/>
  <c r="R426" i="5"/>
  <c r="S426" i="5"/>
  <c r="M427" i="5"/>
  <c r="Q427" i="5"/>
  <c r="R427" i="5"/>
  <c r="S427" i="5"/>
  <c r="M428" i="5"/>
  <c r="Q428" i="5"/>
  <c r="P428" i="5" s="1"/>
  <c r="R428" i="5"/>
  <c r="S428" i="5"/>
  <c r="M429" i="5"/>
  <c r="Q429" i="5"/>
  <c r="N429" i="5" s="1"/>
  <c r="R429" i="5"/>
  <c r="S429" i="5"/>
  <c r="M430" i="5"/>
  <c r="Q430" i="5"/>
  <c r="N430" i="5" s="1"/>
  <c r="R430" i="5"/>
  <c r="S430" i="5"/>
  <c r="M431" i="5"/>
  <c r="Q431" i="5"/>
  <c r="R431" i="5"/>
  <c r="S431" i="5"/>
  <c r="M432" i="5"/>
  <c r="Q432" i="5"/>
  <c r="R432" i="5"/>
  <c r="S432" i="5"/>
  <c r="M433" i="5"/>
  <c r="Q433" i="5"/>
  <c r="P433" i="5" s="1"/>
  <c r="R433" i="5"/>
  <c r="S433" i="5"/>
  <c r="M434" i="5"/>
  <c r="Q434" i="5"/>
  <c r="N434" i="5" s="1"/>
  <c r="R434" i="5"/>
  <c r="S434" i="5"/>
  <c r="M435" i="5"/>
  <c r="Q435" i="5"/>
  <c r="R435" i="5"/>
  <c r="S435" i="5"/>
  <c r="M436" i="5"/>
  <c r="Q436" i="5"/>
  <c r="R436" i="5"/>
  <c r="S436" i="5"/>
  <c r="M437" i="5"/>
  <c r="Q437" i="5"/>
  <c r="P437" i="5" s="1"/>
  <c r="R437" i="5"/>
  <c r="S437" i="5"/>
  <c r="M438" i="5"/>
  <c r="Q438" i="5"/>
  <c r="N438" i="5" s="1"/>
  <c r="R438" i="5"/>
  <c r="S438" i="5"/>
  <c r="N30" i="5" l="1"/>
  <c r="N290" i="5"/>
  <c r="N212" i="5"/>
  <c r="N360" i="5"/>
  <c r="N98" i="5"/>
  <c r="N124" i="5"/>
  <c r="N336" i="5"/>
  <c r="N196" i="5"/>
  <c r="O74" i="5"/>
  <c r="O306" i="5"/>
  <c r="N240" i="5"/>
  <c r="P158" i="5"/>
  <c r="N52" i="5"/>
  <c r="N420" i="5"/>
  <c r="P382" i="5"/>
  <c r="N306" i="5"/>
  <c r="O212" i="5"/>
  <c r="N402" i="5"/>
  <c r="P376" i="5"/>
  <c r="N326" i="5"/>
  <c r="O277" i="5"/>
  <c r="P235" i="5"/>
  <c r="P150" i="5"/>
  <c r="N93" i="5"/>
  <c r="P66" i="5"/>
  <c r="P42" i="5"/>
  <c r="N25" i="5"/>
  <c r="O342" i="5"/>
  <c r="O145" i="5"/>
  <c r="O106" i="5"/>
  <c r="O62" i="5"/>
  <c r="N42" i="5"/>
  <c r="N20" i="5"/>
  <c r="N352" i="5"/>
  <c r="N117" i="5"/>
  <c r="P392" i="5"/>
  <c r="N376" i="5"/>
  <c r="P312" i="5"/>
  <c r="O273" i="5"/>
  <c r="O253" i="5"/>
  <c r="N233" i="5"/>
  <c r="O172" i="5"/>
  <c r="O82" i="5"/>
  <c r="N392" i="5"/>
  <c r="N372" i="5"/>
  <c r="N342" i="5"/>
  <c r="O290" i="5"/>
  <c r="O266" i="5"/>
  <c r="N242" i="5"/>
  <c r="O219" i="5"/>
  <c r="N172" i="5"/>
  <c r="N132" i="5"/>
  <c r="N102" i="5"/>
  <c r="N82" i="5"/>
  <c r="N62" i="5"/>
  <c r="P34" i="5"/>
  <c r="N382" i="5"/>
  <c r="N366" i="5"/>
  <c r="N348" i="5"/>
  <c r="N312" i="5"/>
  <c r="N304" i="5"/>
  <c r="O285" i="5"/>
  <c r="N266" i="5"/>
  <c r="N248" i="5"/>
  <c r="O235" i="5"/>
  <c r="N219" i="5"/>
  <c r="O204" i="5"/>
  <c r="N191" i="5"/>
  <c r="P166" i="5"/>
  <c r="O137" i="5"/>
  <c r="P110" i="5"/>
  <c r="N106" i="5"/>
  <c r="O89" i="5"/>
  <c r="O77" i="5"/>
  <c r="O66" i="5"/>
  <c r="P54" i="5"/>
  <c r="O46" i="5"/>
  <c r="P38" i="5"/>
  <c r="N34" i="5"/>
  <c r="P14" i="5"/>
  <c r="O6" i="5"/>
  <c r="N433" i="5"/>
  <c r="O425" i="5"/>
  <c r="O407" i="5"/>
  <c r="N204" i="5"/>
  <c r="O110" i="5"/>
  <c r="N89" i="5"/>
  <c r="N77" i="5"/>
  <c r="O54" i="5"/>
  <c r="N46" i="5"/>
  <c r="O38" i="5"/>
  <c r="O14" i="5"/>
  <c r="N6" i="5"/>
  <c r="N413" i="5"/>
  <c r="N425" i="5"/>
  <c r="O402" i="5"/>
  <c r="P352" i="5"/>
  <c r="O317" i="5"/>
  <c r="O431" i="5"/>
  <c r="N431" i="5"/>
  <c r="N394" i="5"/>
  <c r="O394" i="5"/>
  <c r="O368" i="5"/>
  <c r="N368" i="5"/>
  <c r="P358" i="5"/>
  <c r="N358" i="5"/>
  <c r="P334" i="5"/>
  <c r="N334" i="5"/>
  <c r="O276" i="5"/>
  <c r="N276" i="5"/>
  <c r="O264" i="5"/>
  <c r="N264" i="5"/>
  <c r="P250" i="5"/>
  <c r="N250" i="5"/>
  <c r="O250" i="5"/>
  <c r="O198" i="5"/>
  <c r="N198" i="5"/>
  <c r="N142" i="5"/>
  <c r="P142" i="5"/>
  <c r="P116" i="5"/>
  <c r="N116" i="5"/>
  <c r="P49" i="5"/>
  <c r="N49" i="5"/>
  <c r="O49" i="5"/>
  <c r="P9" i="5"/>
  <c r="N9" i="5"/>
  <c r="O9" i="5"/>
  <c r="P431" i="5"/>
  <c r="O417" i="5"/>
  <c r="N415" i="5"/>
  <c r="P415" i="5"/>
  <c r="P394" i="5"/>
  <c r="O380" i="5"/>
  <c r="N380" i="5"/>
  <c r="P368" i="5"/>
  <c r="O358" i="5"/>
  <c r="O344" i="5"/>
  <c r="N344" i="5"/>
  <c r="P344" i="5"/>
  <c r="O334" i="5"/>
  <c r="N324" i="5"/>
  <c r="O320" i="5"/>
  <c r="N320" i="5"/>
  <c r="P320" i="5"/>
  <c r="P258" i="5"/>
  <c r="N258" i="5"/>
  <c r="O227" i="5"/>
  <c r="P227" i="5"/>
  <c r="O217" i="5"/>
  <c r="N217" i="5"/>
  <c r="P217" i="5"/>
  <c r="N207" i="5"/>
  <c r="O206" i="5"/>
  <c r="P206" i="5"/>
  <c r="P198" i="5"/>
  <c r="N186" i="5"/>
  <c r="N184" i="5"/>
  <c r="O184" i="5"/>
  <c r="P184" i="5"/>
  <c r="P164" i="5"/>
  <c r="O164" i="5"/>
  <c r="N164" i="5"/>
  <c r="P436" i="5"/>
  <c r="N436" i="5"/>
  <c r="O328" i="5"/>
  <c r="N328" i="5"/>
  <c r="N314" i="5"/>
  <c r="O314" i="5"/>
  <c r="O298" i="5"/>
  <c r="P298" i="5"/>
  <c r="O288" i="5"/>
  <c r="N288" i="5"/>
  <c r="P288" i="5"/>
  <c r="N270" i="5"/>
  <c r="O270" i="5"/>
  <c r="O258" i="5"/>
  <c r="O245" i="5"/>
  <c r="N227" i="5"/>
  <c r="O225" i="5"/>
  <c r="N225" i="5"/>
  <c r="N192" i="5"/>
  <c r="O192" i="5"/>
  <c r="N181" i="5"/>
  <c r="P181" i="5"/>
  <c r="O181" i="5"/>
  <c r="P156" i="5"/>
  <c r="O156" i="5"/>
  <c r="N156" i="5"/>
  <c r="N129" i="5"/>
  <c r="O129" i="5"/>
  <c r="O28" i="5"/>
  <c r="N28" i="5"/>
  <c r="O436" i="5"/>
  <c r="O423" i="5"/>
  <c r="N423" i="5"/>
  <c r="P423" i="5"/>
  <c r="O411" i="5"/>
  <c r="O400" i="5"/>
  <c r="N400" i="5"/>
  <c r="P400" i="5"/>
  <c r="P374" i="5"/>
  <c r="N374" i="5"/>
  <c r="O374" i="5"/>
  <c r="N364" i="5"/>
  <c r="P350" i="5"/>
  <c r="N350" i="5"/>
  <c r="O350" i="5"/>
  <c r="O340" i="5"/>
  <c r="N340" i="5"/>
  <c r="P328" i="5"/>
  <c r="P314" i="5"/>
  <c r="N298" i="5"/>
  <c r="O296" i="5"/>
  <c r="N296" i="5"/>
  <c r="P225" i="5"/>
  <c r="O208" i="5"/>
  <c r="P208" i="5"/>
  <c r="O200" i="5"/>
  <c r="P200" i="5"/>
  <c r="P192" i="5"/>
  <c r="N121" i="5"/>
  <c r="O121" i="5"/>
  <c r="P73" i="5"/>
  <c r="N73" i="5"/>
  <c r="O73" i="5"/>
  <c r="N22" i="5"/>
  <c r="O22" i="5"/>
  <c r="P22" i="5"/>
  <c r="O169" i="5"/>
  <c r="O148" i="5"/>
  <c r="O140" i="5"/>
  <c r="P134" i="5"/>
  <c r="P126" i="5"/>
  <c r="P117" i="5"/>
  <c r="O113" i="5"/>
  <c r="P103" i="5"/>
  <c r="P98" i="5"/>
  <c r="P90" i="5"/>
  <c r="O41" i="5"/>
  <c r="P30" i="5"/>
  <c r="O17" i="5"/>
  <c r="N4" i="5"/>
  <c r="O433" i="5"/>
  <c r="P407" i="5"/>
  <c r="N386" i="5"/>
  <c r="O366" i="5"/>
  <c r="P360" i="5"/>
  <c r="N356" i="5"/>
  <c r="P336" i="5"/>
  <c r="N332" i="5"/>
  <c r="O326" i="5"/>
  <c r="O309" i="5"/>
  <c r="P304" i="5"/>
  <c r="N274" i="5"/>
  <c r="O269" i="5"/>
  <c r="O261" i="5"/>
  <c r="N256" i="5"/>
  <c r="O242" i="5"/>
  <c r="O237" i="5"/>
  <c r="P233" i="5"/>
  <c r="O196" i="5"/>
  <c r="O161" i="5"/>
  <c r="O153" i="5"/>
  <c r="N148" i="5"/>
  <c r="N140" i="5"/>
  <c r="O132" i="5"/>
  <c r="O124" i="5"/>
  <c r="N113" i="5"/>
  <c r="N109" i="5"/>
  <c r="O102" i="5"/>
  <c r="O93" i="5"/>
  <c r="O90" i="5"/>
  <c r="P74" i="5"/>
  <c r="N44" i="5"/>
  <c r="N41" i="5"/>
  <c r="O25" i="5"/>
  <c r="N17" i="5"/>
  <c r="N12" i="5"/>
  <c r="O418" i="5"/>
  <c r="P418" i="5"/>
  <c r="O252" i="5"/>
  <c r="N252" i="5"/>
  <c r="P252" i="5"/>
  <c r="P241" i="5"/>
  <c r="O241" i="5"/>
  <c r="N188" i="5"/>
  <c r="O188" i="5"/>
  <c r="P188" i="5"/>
  <c r="O435" i="5"/>
  <c r="N435" i="5"/>
  <c r="P432" i="5"/>
  <c r="N432" i="5"/>
  <c r="O432" i="5"/>
  <c r="O398" i="5"/>
  <c r="P398" i="5"/>
  <c r="O388" i="5"/>
  <c r="N388" i="5"/>
  <c r="N370" i="5"/>
  <c r="O370" i="5"/>
  <c r="N338" i="5"/>
  <c r="O338" i="5"/>
  <c r="N322" i="5"/>
  <c r="O322" i="5"/>
  <c r="O308" i="5"/>
  <c r="N308" i="5"/>
  <c r="P308" i="5"/>
  <c r="P282" i="5"/>
  <c r="N282" i="5"/>
  <c r="O282" i="5"/>
  <c r="N246" i="5"/>
  <c r="O246" i="5"/>
  <c r="P246" i="5"/>
  <c r="O214" i="5"/>
  <c r="P195" i="5"/>
  <c r="N195" i="5"/>
  <c r="N437" i="5"/>
  <c r="O437" i="5"/>
  <c r="O416" i="5"/>
  <c r="N416" i="5"/>
  <c r="P416" i="5"/>
  <c r="O410" i="5"/>
  <c r="P410" i="5"/>
  <c r="O406" i="5"/>
  <c r="P406" i="5"/>
  <c r="N398" i="5"/>
  <c r="O396" i="5"/>
  <c r="N396" i="5"/>
  <c r="P388" i="5"/>
  <c r="P370" i="5"/>
  <c r="P338" i="5"/>
  <c r="P322" i="5"/>
  <c r="O316" i="5"/>
  <c r="N316" i="5"/>
  <c r="P316" i="5"/>
  <c r="O302" i="5"/>
  <c r="P302" i="5"/>
  <c r="O301" i="5"/>
  <c r="O284" i="5"/>
  <c r="N284" i="5"/>
  <c r="P284" i="5"/>
  <c r="N278" i="5"/>
  <c r="O278" i="5"/>
  <c r="P278" i="5"/>
  <c r="O268" i="5"/>
  <c r="N268" i="5"/>
  <c r="P268" i="5"/>
  <c r="P257" i="5"/>
  <c r="O257" i="5"/>
  <c r="O215" i="5"/>
  <c r="P215" i="5"/>
  <c r="N215" i="5"/>
  <c r="P211" i="5"/>
  <c r="N211" i="5"/>
  <c r="O70" i="5"/>
  <c r="P70" i="5"/>
  <c r="N70" i="5"/>
  <c r="O40" i="5"/>
  <c r="N40" i="5"/>
  <c r="O421" i="5"/>
  <c r="P421" i="5"/>
  <c r="O390" i="5"/>
  <c r="N390" i="5"/>
  <c r="P390" i="5"/>
  <c r="O384" i="5"/>
  <c r="N384" i="5"/>
  <c r="P384" i="5"/>
  <c r="O318" i="5"/>
  <c r="P318" i="5"/>
  <c r="O300" i="5"/>
  <c r="N300" i="5"/>
  <c r="P300" i="5"/>
  <c r="O286" i="5"/>
  <c r="P286" i="5"/>
  <c r="P65" i="5"/>
  <c r="N65" i="5"/>
  <c r="O65" i="5"/>
  <c r="O429" i="5"/>
  <c r="P429" i="5"/>
  <c r="O428" i="5"/>
  <c r="N418" i="5"/>
  <c r="P409" i="5"/>
  <c r="N409" i="5"/>
  <c r="N354" i="5"/>
  <c r="O354" i="5"/>
  <c r="O294" i="5"/>
  <c r="P294" i="5"/>
  <c r="O293" i="5"/>
  <c r="N286" i="5"/>
  <c r="O229" i="5"/>
  <c r="N229" i="5"/>
  <c r="P229" i="5"/>
  <c r="P222" i="5"/>
  <c r="O222" i="5"/>
  <c r="P105" i="5"/>
  <c r="O105" i="5"/>
  <c r="O427" i="5"/>
  <c r="N427" i="5"/>
  <c r="P427" i="5"/>
  <c r="N414" i="5"/>
  <c r="O414" i="5"/>
  <c r="O404" i="5"/>
  <c r="N404" i="5"/>
  <c r="N378" i="5"/>
  <c r="O378" i="5"/>
  <c r="N362" i="5"/>
  <c r="O362" i="5"/>
  <c r="N346" i="5"/>
  <c r="O346" i="5"/>
  <c r="N330" i="5"/>
  <c r="O330" i="5"/>
  <c r="O310" i="5"/>
  <c r="P310" i="5"/>
  <c r="O292" i="5"/>
  <c r="N292" i="5"/>
  <c r="P292" i="5"/>
  <c r="N262" i="5"/>
  <c r="O262" i="5"/>
  <c r="P262" i="5"/>
  <c r="O221" i="5"/>
  <c r="N221" i="5"/>
  <c r="P221" i="5"/>
  <c r="N176" i="5"/>
  <c r="O176" i="5"/>
  <c r="P176" i="5"/>
  <c r="N165" i="5"/>
  <c r="O165" i="5"/>
  <c r="N152" i="5"/>
  <c r="O152" i="5"/>
  <c r="N146" i="5"/>
  <c r="P146" i="5"/>
  <c r="N133" i="5"/>
  <c r="O133" i="5"/>
  <c r="P120" i="5"/>
  <c r="N120" i="5"/>
  <c r="N114" i="5"/>
  <c r="O114" i="5"/>
  <c r="P114" i="5"/>
  <c r="O280" i="5"/>
  <c r="P280" i="5"/>
  <c r="P265" i="5"/>
  <c r="O265" i="5"/>
  <c r="P249" i="5"/>
  <c r="O249" i="5"/>
  <c r="O223" i="5"/>
  <c r="P223" i="5"/>
  <c r="N205" i="5"/>
  <c r="O205" i="5"/>
  <c r="P205" i="5"/>
  <c r="N197" i="5"/>
  <c r="P197" i="5"/>
  <c r="P165" i="5"/>
  <c r="P152" i="5"/>
  <c r="P133" i="5"/>
  <c r="O120" i="5"/>
  <c r="O8" i="5"/>
  <c r="N8" i="5"/>
  <c r="N189" i="5"/>
  <c r="P189" i="5"/>
  <c r="P180" i="5"/>
  <c r="N180" i="5"/>
  <c r="N177" i="5"/>
  <c r="P177" i="5"/>
  <c r="O424" i="5"/>
  <c r="P408" i="5"/>
  <c r="P386" i="5"/>
  <c r="P380" i="5"/>
  <c r="P372" i="5"/>
  <c r="P364" i="5"/>
  <c r="P356" i="5"/>
  <c r="P348" i="5"/>
  <c r="P340" i="5"/>
  <c r="P332" i="5"/>
  <c r="P324" i="5"/>
  <c r="O313" i="5"/>
  <c r="O305" i="5"/>
  <c r="O297" i="5"/>
  <c r="O289" i="5"/>
  <c r="O281" i="5"/>
  <c r="N280" i="5"/>
  <c r="P276" i="5"/>
  <c r="O274" i="5"/>
  <c r="O272" i="5"/>
  <c r="P272" i="5"/>
  <c r="P270" i="5"/>
  <c r="O260" i="5"/>
  <c r="N260" i="5"/>
  <c r="N254" i="5"/>
  <c r="O254" i="5"/>
  <c r="O244" i="5"/>
  <c r="N244" i="5"/>
  <c r="N238" i="5"/>
  <c r="O238" i="5"/>
  <c r="O231" i="5"/>
  <c r="P231" i="5"/>
  <c r="O230" i="5"/>
  <c r="N223" i="5"/>
  <c r="N213" i="5"/>
  <c r="P213" i="5"/>
  <c r="P190" i="5"/>
  <c r="N168" i="5"/>
  <c r="O168" i="5"/>
  <c r="N162" i="5"/>
  <c r="P162" i="5"/>
  <c r="N149" i="5"/>
  <c r="O149" i="5"/>
  <c r="N136" i="5"/>
  <c r="O136" i="5"/>
  <c r="N130" i="5"/>
  <c r="P130" i="5"/>
  <c r="O112" i="5"/>
  <c r="P112" i="5"/>
  <c r="P97" i="5"/>
  <c r="O97" i="5"/>
  <c r="O32" i="5"/>
  <c r="N32" i="5"/>
  <c r="N173" i="5"/>
  <c r="O173" i="5"/>
  <c r="N160" i="5"/>
  <c r="O160" i="5"/>
  <c r="N157" i="5"/>
  <c r="O157" i="5"/>
  <c r="N144" i="5"/>
  <c r="O144" i="5"/>
  <c r="N141" i="5"/>
  <c r="O141" i="5"/>
  <c r="N128" i="5"/>
  <c r="O128" i="5"/>
  <c r="N125" i="5"/>
  <c r="O125" i="5"/>
  <c r="N107" i="5"/>
  <c r="O107" i="5"/>
  <c r="N94" i="5"/>
  <c r="O94" i="5"/>
  <c r="P94" i="5"/>
  <c r="O50" i="5"/>
  <c r="N50" i="5"/>
  <c r="P50" i="5"/>
  <c r="P264" i="5"/>
  <c r="P256" i="5"/>
  <c r="P248" i="5"/>
  <c r="P240" i="5"/>
  <c r="O234" i="5"/>
  <c r="O226" i="5"/>
  <c r="O218" i="5"/>
  <c r="O209" i="5"/>
  <c r="O207" i="5"/>
  <c r="N202" i="5"/>
  <c r="O199" i="5"/>
  <c r="O193" i="5"/>
  <c r="O191" i="5"/>
  <c r="P173" i="5"/>
  <c r="P160" i="5"/>
  <c r="P157" i="5"/>
  <c r="N154" i="5"/>
  <c r="P154" i="5"/>
  <c r="P144" i="5"/>
  <c r="P141" i="5"/>
  <c r="N138" i="5"/>
  <c r="P138" i="5"/>
  <c r="P128" i="5"/>
  <c r="P125" i="5"/>
  <c r="N122" i="5"/>
  <c r="P122" i="5"/>
  <c r="P107" i="5"/>
  <c r="P85" i="5"/>
  <c r="N85" i="5"/>
  <c r="O85" i="5"/>
  <c r="P81" i="5"/>
  <c r="N81" i="5"/>
  <c r="O81" i="5"/>
  <c r="N78" i="5"/>
  <c r="O78" i="5"/>
  <c r="P69" i="5"/>
  <c r="N69" i="5"/>
  <c r="O86" i="5"/>
  <c r="P86" i="5"/>
  <c r="P61" i="5"/>
  <c r="N61" i="5"/>
  <c r="P57" i="5"/>
  <c r="N57" i="5"/>
  <c r="O57" i="5"/>
  <c r="P33" i="5"/>
  <c r="N33" i="5"/>
  <c r="N2" i="5"/>
  <c r="O2" i="5"/>
  <c r="P2" i="5"/>
  <c r="P169" i="5"/>
  <c r="P161" i="5"/>
  <c r="P153" i="5"/>
  <c r="P145" i="5"/>
  <c r="P137" i="5"/>
  <c r="P129" i="5"/>
  <c r="P121" i="5"/>
  <c r="P118" i="5"/>
  <c r="O116" i="5"/>
  <c r="O111" i="5"/>
  <c r="O109" i="5"/>
  <c r="N104" i="5"/>
  <c r="O100" i="5"/>
  <c r="N100" i="5"/>
  <c r="N86" i="5"/>
  <c r="O61" i="5"/>
  <c r="O58" i="5"/>
  <c r="N58" i="5"/>
  <c r="P37" i="5"/>
  <c r="O37" i="5"/>
  <c r="N36" i="5"/>
  <c r="O33" i="5"/>
  <c r="P29" i="5"/>
  <c r="N29" i="5"/>
  <c r="O29" i="5"/>
  <c r="N26" i="5"/>
  <c r="O26" i="5"/>
  <c r="P21" i="5"/>
  <c r="N21" i="5"/>
  <c r="O21" i="5"/>
  <c r="O56" i="5"/>
  <c r="N56" i="5"/>
  <c r="P53" i="5"/>
  <c r="O53" i="5"/>
  <c r="O16" i="5"/>
  <c r="N16" i="5"/>
  <c r="N10" i="5"/>
  <c r="O10" i="5"/>
  <c r="P5" i="5"/>
  <c r="N5" i="5"/>
  <c r="O5" i="5"/>
  <c r="O48" i="5"/>
  <c r="N48" i="5"/>
  <c r="P45" i="5"/>
  <c r="O45" i="5"/>
  <c r="O24" i="5"/>
  <c r="N24" i="5"/>
  <c r="N18" i="5"/>
  <c r="O18" i="5"/>
  <c r="P13" i="5"/>
  <c r="N13" i="5"/>
  <c r="O13" i="5"/>
  <c r="P405" i="5"/>
  <c r="N405" i="5"/>
  <c r="P369" i="5"/>
  <c r="N369" i="5"/>
  <c r="N339" i="5"/>
  <c r="P339" i="5"/>
  <c r="P430" i="5"/>
  <c r="N428" i="5"/>
  <c r="P426" i="5"/>
  <c r="N424" i="5"/>
  <c r="P422" i="5"/>
  <c r="P419" i="5"/>
  <c r="P412" i="5"/>
  <c r="O405" i="5"/>
  <c r="N395" i="5"/>
  <c r="P395" i="5"/>
  <c r="P393" i="5"/>
  <c r="N393" i="5"/>
  <c r="P385" i="5"/>
  <c r="N385" i="5"/>
  <c r="N375" i="5"/>
  <c r="P375" i="5"/>
  <c r="P373" i="5"/>
  <c r="N373" i="5"/>
  <c r="O369" i="5"/>
  <c r="N359" i="5"/>
  <c r="P359" i="5"/>
  <c r="P357" i="5"/>
  <c r="N357" i="5"/>
  <c r="N343" i="5"/>
  <c r="P343" i="5"/>
  <c r="P341" i="5"/>
  <c r="N341" i="5"/>
  <c r="O339" i="5"/>
  <c r="N327" i="5"/>
  <c r="P327" i="5"/>
  <c r="P325" i="5"/>
  <c r="N325" i="5"/>
  <c r="N315" i="5"/>
  <c r="O315" i="5"/>
  <c r="P315" i="5"/>
  <c r="N307" i="5"/>
  <c r="O307" i="5"/>
  <c r="P307" i="5"/>
  <c r="N299" i="5"/>
  <c r="O299" i="5"/>
  <c r="P299" i="5"/>
  <c r="N291" i="5"/>
  <c r="O291" i="5"/>
  <c r="P291" i="5"/>
  <c r="N283" i="5"/>
  <c r="O283" i="5"/>
  <c r="P283" i="5"/>
  <c r="N275" i="5"/>
  <c r="O275" i="5"/>
  <c r="P275" i="5"/>
  <c r="N267" i="5"/>
  <c r="O267" i="5"/>
  <c r="P267" i="5"/>
  <c r="N259" i="5"/>
  <c r="O259" i="5"/>
  <c r="P259" i="5"/>
  <c r="N251" i="5"/>
  <c r="O251" i="5"/>
  <c r="P251" i="5"/>
  <c r="N243" i="5"/>
  <c r="O243" i="5"/>
  <c r="P243" i="5"/>
  <c r="O210" i="5"/>
  <c r="N210" i="5"/>
  <c r="P210" i="5"/>
  <c r="P203" i="5"/>
  <c r="N203" i="5"/>
  <c r="O203" i="5"/>
  <c r="O194" i="5"/>
  <c r="N194" i="5"/>
  <c r="P194" i="5"/>
  <c r="P187" i="5"/>
  <c r="N187" i="5"/>
  <c r="O187" i="5"/>
  <c r="N391" i="5"/>
  <c r="P391" i="5"/>
  <c r="N383" i="5"/>
  <c r="P383" i="5"/>
  <c r="N355" i="5"/>
  <c r="P355" i="5"/>
  <c r="P337" i="5"/>
  <c r="N337" i="5"/>
  <c r="N323" i="5"/>
  <c r="P323" i="5"/>
  <c r="P321" i="5"/>
  <c r="N321" i="5"/>
  <c r="N232" i="5"/>
  <c r="O232" i="5"/>
  <c r="P232" i="5"/>
  <c r="N224" i="5"/>
  <c r="O224" i="5"/>
  <c r="P224" i="5"/>
  <c r="N216" i="5"/>
  <c r="O216" i="5"/>
  <c r="P216" i="5"/>
  <c r="O434" i="5"/>
  <c r="O419" i="5"/>
  <c r="N412" i="5"/>
  <c r="N379" i="5"/>
  <c r="P379" i="5"/>
  <c r="N363" i="5"/>
  <c r="P363" i="5"/>
  <c r="N347" i="5"/>
  <c r="P347" i="5"/>
  <c r="N331" i="5"/>
  <c r="P331" i="5"/>
  <c r="P329" i="5"/>
  <c r="N329" i="5"/>
  <c r="N236" i="5"/>
  <c r="O236" i="5"/>
  <c r="P236" i="5"/>
  <c r="N228" i="5"/>
  <c r="O228" i="5"/>
  <c r="P228" i="5"/>
  <c r="N220" i="5"/>
  <c r="O220" i="5"/>
  <c r="P220" i="5"/>
  <c r="N201" i="5"/>
  <c r="O201" i="5"/>
  <c r="P201" i="5"/>
  <c r="N185" i="5"/>
  <c r="O185" i="5"/>
  <c r="P185" i="5"/>
  <c r="N371" i="5"/>
  <c r="P371" i="5"/>
  <c r="P353" i="5"/>
  <c r="N353" i="5"/>
  <c r="P438" i="5"/>
  <c r="P434" i="5"/>
  <c r="O438" i="5"/>
  <c r="P435" i="5"/>
  <c r="O430" i="5"/>
  <c r="O426" i="5"/>
  <c r="O422" i="5"/>
  <c r="N399" i="5"/>
  <c r="P399" i="5"/>
  <c r="P397" i="5"/>
  <c r="N397" i="5"/>
  <c r="N387" i="5"/>
  <c r="P387" i="5"/>
  <c r="P377" i="5"/>
  <c r="N377" i="5"/>
  <c r="P361" i="5"/>
  <c r="N361" i="5"/>
  <c r="P345" i="5"/>
  <c r="N345" i="5"/>
  <c r="P420" i="5"/>
  <c r="N417" i="5"/>
  <c r="O415" i="5"/>
  <c r="O413" i="5"/>
  <c r="P411" i="5"/>
  <c r="N408" i="5"/>
  <c r="N403" i="5"/>
  <c r="P403" i="5"/>
  <c r="P401" i="5"/>
  <c r="N401" i="5"/>
  <c r="O399" i="5"/>
  <c r="O397" i="5"/>
  <c r="P389" i="5"/>
  <c r="N389" i="5"/>
  <c r="O387" i="5"/>
  <c r="P381" i="5"/>
  <c r="N381" i="5"/>
  <c r="O379" i="5"/>
  <c r="O377" i="5"/>
  <c r="N367" i="5"/>
  <c r="P367" i="5"/>
  <c r="P365" i="5"/>
  <c r="N365" i="5"/>
  <c r="O363" i="5"/>
  <c r="O361" i="5"/>
  <c r="N351" i="5"/>
  <c r="P351" i="5"/>
  <c r="P349" i="5"/>
  <c r="N349" i="5"/>
  <c r="O347" i="5"/>
  <c r="O345" i="5"/>
  <c r="N335" i="5"/>
  <c r="P335" i="5"/>
  <c r="P333" i="5"/>
  <c r="N333" i="5"/>
  <c r="O331" i="5"/>
  <c r="O329" i="5"/>
  <c r="N319" i="5"/>
  <c r="O319" i="5"/>
  <c r="P319" i="5"/>
  <c r="N311" i="5"/>
  <c r="O311" i="5"/>
  <c r="P311" i="5"/>
  <c r="N303" i="5"/>
  <c r="O303" i="5"/>
  <c r="P303" i="5"/>
  <c r="N295" i="5"/>
  <c r="O295" i="5"/>
  <c r="P295" i="5"/>
  <c r="N287" i="5"/>
  <c r="O287" i="5"/>
  <c r="P287" i="5"/>
  <c r="N279" i="5"/>
  <c r="O279" i="5"/>
  <c r="P279" i="5"/>
  <c r="N271" i="5"/>
  <c r="O271" i="5"/>
  <c r="P271" i="5"/>
  <c r="N263" i="5"/>
  <c r="O263" i="5"/>
  <c r="P263" i="5"/>
  <c r="N255" i="5"/>
  <c r="O255" i="5"/>
  <c r="P255" i="5"/>
  <c r="N247" i="5"/>
  <c r="O247" i="5"/>
  <c r="P247" i="5"/>
  <c r="N239" i="5"/>
  <c r="O239" i="5"/>
  <c r="P239" i="5"/>
  <c r="O179" i="5"/>
  <c r="P179" i="5"/>
  <c r="N179" i="5"/>
  <c r="N174" i="5"/>
  <c r="O174" i="5"/>
  <c r="N317" i="5"/>
  <c r="N313" i="5"/>
  <c r="N309" i="5"/>
  <c r="N305" i="5"/>
  <c r="N301" i="5"/>
  <c r="N297" i="5"/>
  <c r="N293" i="5"/>
  <c r="N289" i="5"/>
  <c r="N285" i="5"/>
  <c r="N281" i="5"/>
  <c r="N277" i="5"/>
  <c r="N273" i="5"/>
  <c r="N269" i="5"/>
  <c r="N265" i="5"/>
  <c r="N261" i="5"/>
  <c r="N257" i="5"/>
  <c r="N253" i="5"/>
  <c r="N249" i="5"/>
  <c r="N245" i="5"/>
  <c r="N241" i="5"/>
  <c r="N237" i="5"/>
  <c r="N234" i="5"/>
  <c r="N230" i="5"/>
  <c r="N226" i="5"/>
  <c r="N222" i="5"/>
  <c r="N218" i="5"/>
  <c r="N214" i="5"/>
  <c r="O183" i="5"/>
  <c r="P183" i="5"/>
  <c r="N178" i="5"/>
  <c r="O178" i="5"/>
  <c r="P174" i="5"/>
  <c r="N167" i="5"/>
  <c r="O167" i="5"/>
  <c r="P167" i="5"/>
  <c r="N159" i="5"/>
  <c r="O159" i="5"/>
  <c r="P159" i="5"/>
  <c r="N151" i="5"/>
  <c r="O151" i="5"/>
  <c r="P151" i="5"/>
  <c r="N143" i="5"/>
  <c r="O143" i="5"/>
  <c r="P143" i="5"/>
  <c r="N135" i="5"/>
  <c r="O135" i="5"/>
  <c r="P135" i="5"/>
  <c r="N127" i="5"/>
  <c r="O127" i="5"/>
  <c r="P127" i="5"/>
  <c r="N182" i="5"/>
  <c r="O182" i="5"/>
  <c r="O171" i="5"/>
  <c r="P171" i="5"/>
  <c r="O213" i="5"/>
  <c r="O211" i="5"/>
  <c r="P209" i="5"/>
  <c r="N206" i="5"/>
  <c r="P202" i="5"/>
  <c r="N199" i="5"/>
  <c r="O197" i="5"/>
  <c r="O195" i="5"/>
  <c r="P193" i="5"/>
  <c r="N190" i="5"/>
  <c r="P186" i="5"/>
  <c r="P182" i="5"/>
  <c r="O175" i="5"/>
  <c r="P175" i="5"/>
  <c r="N171" i="5"/>
  <c r="N170" i="5"/>
  <c r="O170" i="5"/>
  <c r="N163" i="5"/>
  <c r="O163" i="5"/>
  <c r="P163" i="5"/>
  <c r="N155" i="5"/>
  <c r="O155" i="5"/>
  <c r="P155" i="5"/>
  <c r="N147" i="5"/>
  <c r="O147" i="5"/>
  <c r="P147" i="5"/>
  <c r="N139" i="5"/>
  <c r="O139" i="5"/>
  <c r="P139" i="5"/>
  <c r="N131" i="5"/>
  <c r="O131" i="5"/>
  <c r="P131" i="5"/>
  <c r="N95" i="5"/>
  <c r="O95" i="5"/>
  <c r="O84" i="5"/>
  <c r="P84" i="5"/>
  <c r="N79" i="5"/>
  <c r="O79" i="5"/>
  <c r="O68" i="5"/>
  <c r="P68" i="5"/>
  <c r="N63" i="5"/>
  <c r="O63" i="5"/>
  <c r="N51" i="5"/>
  <c r="O51" i="5"/>
  <c r="P51" i="5"/>
  <c r="N43" i="5"/>
  <c r="O43" i="5"/>
  <c r="P43" i="5"/>
  <c r="N35" i="5"/>
  <c r="O35" i="5"/>
  <c r="P35" i="5"/>
  <c r="N27" i="5"/>
  <c r="O27" i="5"/>
  <c r="P27" i="5"/>
  <c r="N19" i="5"/>
  <c r="O19" i="5"/>
  <c r="P19" i="5"/>
  <c r="N11" i="5"/>
  <c r="O11" i="5"/>
  <c r="P11" i="5"/>
  <c r="N3" i="5"/>
  <c r="O3" i="5"/>
  <c r="P3" i="5"/>
  <c r="O166" i="5"/>
  <c r="O162" i="5"/>
  <c r="O158" i="5"/>
  <c r="O154" i="5"/>
  <c r="O150" i="5"/>
  <c r="O146" i="5"/>
  <c r="O142" i="5"/>
  <c r="O138" i="5"/>
  <c r="O134" i="5"/>
  <c r="O130" i="5"/>
  <c r="O126" i="5"/>
  <c r="P123" i="5"/>
  <c r="O122" i="5"/>
  <c r="P119" i="5"/>
  <c r="O118" i="5"/>
  <c r="P115" i="5"/>
  <c r="N112" i="5"/>
  <c r="P108" i="5"/>
  <c r="N105" i="5"/>
  <c r="O103" i="5"/>
  <c r="O101" i="5"/>
  <c r="P99" i="5"/>
  <c r="P95" i="5"/>
  <c r="O88" i="5"/>
  <c r="P88" i="5"/>
  <c r="N84" i="5"/>
  <c r="N83" i="5"/>
  <c r="O83" i="5"/>
  <c r="P79" i="5"/>
  <c r="O72" i="5"/>
  <c r="P72" i="5"/>
  <c r="N68" i="5"/>
  <c r="N67" i="5"/>
  <c r="O67" i="5"/>
  <c r="P63" i="5"/>
  <c r="O123" i="5"/>
  <c r="O119" i="5"/>
  <c r="O115" i="5"/>
  <c r="P111" i="5"/>
  <c r="N108" i="5"/>
  <c r="P104" i="5"/>
  <c r="N101" i="5"/>
  <c r="O99" i="5"/>
  <c r="O92" i="5"/>
  <c r="P92" i="5"/>
  <c r="N88" i="5"/>
  <c r="N87" i="5"/>
  <c r="O87" i="5"/>
  <c r="P83" i="5"/>
  <c r="O76" i="5"/>
  <c r="P76" i="5"/>
  <c r="N72" i="5"/>
  <c r="N71" i="5"/>
  <c r="O71" i="5"/>
  <c r="P67" i="5"/>
  <c r="O60" i="5"/>
  <c r="P60" i="5"/>
  <c r="N55" i="5"/>
  <c r="O55" i="5"/>
  <c r="P55" i="5"/>
  <c r="N47" i="5"/>
  <c r="O47" i="5"/>
  <c r="P47" i="5"/>
  <c r="N39" i="5"/>
  <c r="O39" i="5"/>
  <c r="P39" i="5"/>
  <c r="N31" i="5"/>
  <c r="O31" i="5"/>
  <c r="P31" i="5"/>
  <c r="N23" i="5"/>
  <c r="O23" i="5"/>
  <c r="P23" i="5"/>
  <c r="N15" i="5"/>
  <c r="O15" i="5"/>
  <c r="P15" i="5"/>
  <c r="N7" i="5"/>
  <c r="O7" i="5"/>
  <c r="P7" i="5"/>
  <c r="O96" i="5"/>
  <c r="P96" i="5"/>
  <c r="N91" i="5"/>
  <c r="O91" i="5"/>
  <c r="O80" i="5"/>
  <c r="P80" i="5"/>
  <c r="N75" i="5"/>
  <c r="O75" i="5"/>
  <c r="O64" i="5"/>
  <c r="P64" i="5"/>
  <c r="N59" i="5"/>
  <c r="O59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I63" i="19" l="1"/>
  <c r="L63" i="19" s="1"/>
  <c r="H63" i="19"/>
  <c r="K63" i="19" s="1"/>
  <c r="G63" i="19"/>
  <c r="J63" i="19" s="1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E492" i="16" l="1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C396" i="16"/>
  <c r="AB396" i="16" s="1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W396" i="16" s="1"/>
  <c r="V396" i="16" s="1"/>
  <c r="T394" i="16"/>
  <c r="S394" i="16" s="1"/>
  <c r="Q394" i="16"/>
  <c r="Q396" i="16" s="1"/>
  <c r="P396" i="16" s="1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/>
  <c r="N376" i="16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V361" i="16"/>
  <c r="U361" i="16"/>
  <c r="T361" i="16"/>
  <c r="R361" i="16"/>
  <c r="Q361" i="16"/>
  <c r="Q398" i="16" s="1"/>
  <c r="O361" i="16"/>
  <c r="P361" i="16" s="1"/>
  <c r="N361" i="16"/>
  <c r="M361" i="16"/>
  <c r="L361" i="16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D301" i="16"/>
  <c r="C301" i="16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Q299" i="16"/>
  <c r="O299" i="16"/>
  <c r="N299" i="16"/>
  <c r="L299" i="16"/>
  <c r="K299" i="16"/>
  <c r="I299" i="16"/>
  <c r="H299" i="16"/>
  <c r="F299" i="16"/>
  <c r="G299" i="16" s="1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Y297" i="16" s="1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G297" i="16" s="1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Y296" i="16" s="1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E249" i="16" s="1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E246" i="16" s="1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Y104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I478" i="16" s="1"/>
  <c r="AF85" i="16"/>
  <c r="AC85" i="16"/>
  <c r="Z85" i="16"/>
  <c r="W85" i="16"/>
  <c r="T85" i="16"/>
  <c r="Q85" i="16"/>
  <c r="N85" i="16"/>
  <c r="K85" i="16"/>
  <c r="K478" i="16" s="1"/>
  <c r="H85" i="16"/>
  <c r="H478" i="16" s="1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S299" i="16" l="1"/>
  <c r="T478" i="16"/>
  <c r="AF478" i="16"/>
  <c r="V10" i="16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Y413" i="16" s="1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M27" i="16" s="1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97" i="16"/>
  <c r="K107" i="16"/>
  <c r="AI107" i="16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H27" i="16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J10" i="16"/>
  <c r="AF16" i="16"/>
  <c r="AF30" i="16" s="1"/>
  <c r="S18" i="16"/>
  <c r="AE18" i="16"/>
  <c r="S20" i="16"/>
  <c r="Z408" i="16"/>
  <c r="Y408" i="16" s="1"/>
  <c r="N409" i="16"/>
  <c r="AL409" i="16"/>
  <c r="Z410" i="16"/>
  <c r="N411" i="16"/>
  <c r="M411" i="16" s="1"/>
  <c r="AL411" i="16"/>
  <c r="AK411" i="16" s="1"/>
  <c r="Z412" i="16"/>
  <c r="N413" i="16"/>
  <c r="AL413" i="16"/>
  <c r="AK413" i="16" s="1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AN137" i="16" s="1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Z187" i="16"/>
  <c r="AD187" i="16"/>
  <c r="AH187" i="16"/>
  <c r="AH196" i="16" s="1"/>
  <c r="AL187" i="16"/>
  <c r="N175" i="16"/>
  <c r="E215" i="16"/>
  <c r="Q243" i="16"/>
  <c r="N267" i="16"/>
  <c r="Z267" i="16"/>
  <c r="AL267" i="16"/>
  <c r="K267" i="16"/>
  <c r="J267" i="16" s="1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S267" i="16" s="1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D9" i="16"/>
  <c r="AH25" i="16"/>
  <c r="AH16" i="16"/>
  <c r="AG30" i="16"/>
  <c r="AH26" i="16"/>
  <c r="AH24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F35" i="16"/>
  <c r="H8" i="16"/>
  <c r="E8" i="16" s="1"/>
  <c r="V25" i="16"/>
  <c r="U30" i="16"/>
  <c r="V26" i="16"/>
  <c r="V24" i="16"/>
  <c r="AO30" i="16"/>
  <c r="V124" i="16"/>
  <c r="AG27" i="16"/>
  <c r="AH36" i="16" s="1"/>
  <c r="L27" i="16"/>
  <c r="M36" i="16" s="1"/>
  <c r="X27" i="16"/>
  <c r="Y34" i="16" s="1"/>
  <c r="AJ27" i="16"/>
  <c r="AK38" i="16" s="1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22" i="16"/>
  <c r="AK119" i="16"/>
  <c r="AK117" i="16"/>
  <c r="AK115" i="16"/>
  <c r="AK105" i="16"/>
  <c r="AK123" i="16"/>
  <c r="AK121" i="16"/>
  <c r="AK120" i="16"/>
  <c r="AK118" i="16"/>
  <c r="AK116" i="16"/>
  <c r="AK114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G10" i="16"/>
  <c r="S10" i="16"/>
  <c r="AE10" i="16"/>
  <c r="I16" i="16"/>
  <c r="J413" i="16" s="1"/>
  <c r="J18" i="16"/>
  <c r="V18" i="16"/>
  <c r="AH18" i="16"/>
  <c r="C20" i="16"/>
  <c r="M25" i="16"/>
  <c r="Y25" i="16"/>
  <c r="AK25" i="16"/>
  <c r="AA34" i="16"/>
  <c r="H409" i="16"/>
  <c r="T409" i="16"/>
  <c r="AF40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AB97" i="16"/>
  <c r="G98" i="16"/>
  <c r="C98" i="16"/>
  <c r="K99" i="16"/>
  <c r="K110" i="16" s="1"/>
  <c r="AA99" i="16"/>
  <c r="J105" i="16"/>
  <c r="M106" i="16"/>
  <c r="AK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N99" i="16"/>
  <c r="N110" i="16" s="1"/>
  <c r="Y122" i="16"/>
  <c r="Y119" i="16"/>
  <c r="Y117" i="16"/>
  <c r="Y115" i="16"/>
  <c r="Y105" i="16"/>
  <c r="Y99" i="16"/>
  <c r="Y123" i="16"/>
  <c r="Y121" i="16"/>
  <c r="Y120" i="16"/>
  <c r="Y118" i="16"/>
  <c r="Y116" i="16"/>
  <c r="Y114" i="16"/>
  <c r="X107" i="16"/>
  <c r="AG99" i="16"/>
  <c r="AH410" i="16" s="1"/>
  <c r="AH97" i="16"/>
  <c r="AL99" i="16"/>
  <c r="AL110" i="16" s="1"/>
  <c r="E98" i="16"/>
  <c r="M98" i="16"/>
  <c r="AK98" i="16"/>
  <c r="AE99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W188" i="16"/>
  <c r="W196" i="16"/>
  <c r="V230" i="16" s="1"/>
  <c r="AE188" i="16"/>
  <c r="AI196" i="16"/>
  <c r="AH267" i="16"/>
  <c r="AK408" i="16"/>
  <c r="V410" i="16"/>
  <c r="AN410" i="16"/>
  <c r="V412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M34" i="16"/>
  <c r="Q418" i="16"/>
  <c r="AC418" i="16"/>
  <c r="AN408" i="16"/>
  <c r="M409" i="16"/>
  <c r="V35" i="16"/>
  <c r="Y409" i="16"/>
  <c r="AH35" i="16"/>
  <c r="AK409" i="16"/>
  <c r="V36" i="16"/>
  <c r="M37" i="16"/>
  <c r="AK37" i="16"/>
  <c r="V38" i="16"/>
  <c r="M39" i="16"/>
  <c r="Y39" i="16"/>
  <c r="V40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S330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1" i="16" s="1"/>
  <c r="E186" i="16"/>
  <c r="N230" i="16"/>
  <c r="Z230" i="16"/>
  <c r="Z232" i="16" s="1"/>
  <c r="AL230" i="16"/>
  <c r="M267" i="16"/>
  <c r="Y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479" i="16" s="1"/>
  <c r="Q165" i="16"/>
  <c r="AC472" i="16"/>
  <c r="AC479" i="16" s="1"/>
  <c r="AC165" i="16"/>
  <c r="AO472" i="16"/>
  <c r="AO479" i="16" s="1"/>
  <c r="AO165" i="16"/>
  <c r="F187" i="16"/>
  <c r="C174" i="16"/>
  <c r="J187" i="16"/>
  <c r="K188" i="16" s="1"/>
  <c r="D174" i="16"/>
  <c r="Z196" i="16"/>
  <c r="AL196" i="16"/>
  <c r="AK212" i="16" s="1"/>
  <c r="M176" i="16"/>
  <c r="N178" i="16"/>
  <c r="AL178" i="16"/>
  <c r="G185" i="16"/>
  <c r="D183" i="16"/>
  <c r="E190" i="16"/>
  <c r="K191" i="16"/>
  <c r="V196" i="16"/>
  <c r="E202" i="16"/>
  <c r="E203" i="16"/>
  <c r="E210" i="16"/>
  <c r="H230" i="16"/>
  <c r="T230" i="16"/>
  <c r="AF230" i="16"/>
  <c r="E214" i="16"/>
  <c r="E255" i="16"/>
  <c r="H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P330" i="16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U309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S348" i="16" s="1"/>
  <c r="AF348" i="16"/>
  <c r="G376" i="16"/>
  <c r="H396" i="16"/>
  <c r="AE376" i="16"/>
  <c r="AF396" i="16"/>
  <c r="AE396" i="16" s="1"/>
  <c r="E318" i="16"/>
  <c r="K348" i="16"/>
  <c r="K350" i="16" s="1"/>
  <c r="J350" i="16" s="1"/>
  <c r="W348" i="16"/>
  <c r="V348" i="16" s="1"/>
  <c r="AI348" i="16"/>
  <c r="E341" i="16"/>
  <c r="K398" i="16"/>
  <c r="V394" i="16"/>
  <c r="M295" i="16"/>
  <c r="Y295" i="16"/>
  <c r="AK295" i="16"/>
  <c r="C307" i="16"/>
  <c r="E376" i="16"/>
  <c r="P394" i="16"/>
  <c r="AN394" i="16"/>
  <c r="E419" i="16"/>
  <c r="Q348" i="16"/>
  <c r="P348" i="16" s="1"/>
  <c r="AC348" i="16"/>
  <c r="AO348" i="16"/>
  <c r="E451" i="16"/>
  <c r="K464" i="16"/>
  <c r="N464" i="16"/>
  <c r="Z464" i="16"/>
  <c r="AL464" i="16"/>
  <c r="E470" i="16"/>
  <c r="AN27" i="16" l="1"/>
  <c r="AN35" i="16"/>
  <c r="AN36" i="16"/>
  <c r="AN38" i="16"/>
  <c r="AN34" i="16"/>
  <c r="AN37" i="16"/>
  <c r="AN39" i="16"/>
  <c r="AN40" i="16"/>
  <c r="Y107" i="16"/>
  <c r="AD34" i="16"/>
  <c r="E464" i="16"/>
  <c r="AK34" i="16"/>
  <c r="AH188" i="16"/>
  <c r="AK39" i="16"/>
  <c r="AI188" i="16"/>
  <c r="S188" i="16"/>
  <c r="G117" i="16"/>
  <c r="S413" i="16"/>
  <c r="D10" i="16"/>
  <c r="AE348" i="16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V232" i="16" s="1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G30" i="16" s="1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AE30" i="16" s="1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G35" i="16" s="1"/>
  <c r="O107" i="16"/>
  <c r="P107" i="16" s="1"/>
  <c r="P123" i="16"/>
  <c r="Z450" i="16"/>
  <c r="N450" i="16"/>
  <c r="AB412" i="16"/>
  <c r="P414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AB137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Q466" i="16" s="1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AB155" i="16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S36" i="16"/>
  <c r="G34" i="16"/>
  <c r="AC157" i="16"/>
  <c r="E449" i="16"/>
  <c r="AI450" i="16"/>
  <c r="J57" i="16"/>
  <c r="Y16" i="16"/>
  <c r="AO188" i="16"/>
  <c r="AO196" i="16"/>
  <c r="AN232" i="16" s="1"/>
  <c r="T252" i="16"/>
  <c r="E431" i="16"/>
  <c r="AL77" i="16"/>
  <c r="N77" i="16"/>
  <c r="AO77" i="16"/>
  <c r="AN77" i="16" s="1"/>
  <c r="AN44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D57" i="16" s="1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406" i="16" s="1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D75" i="16" s="1"/>
  <c r="AI77" i="16"/>
  <c r="AH77" i="16" s="1"/>
  <c r="AH44" i="16"/>
  <c r="AI197" i="16"/>
  <c r="AI234" i="16"/>
  <c r="W197" i="16"/>
  <c r="K234" i="16"/>
  <c r="T157" i="16"/>
  <c r="G155" i="16"/>
  <c r="AL157" i="16"/>
  <c r="AK157" i="16" s="1"/>
  <c r="AK124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G157" i="16" s="1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G230" i="16"/>
  <c r="AL188" i="16"/>
  <c r="Z234" i="16"/>
  <c r="D176" i="16"/>
  <c r="D187" i="16"/>
  <c r="Z350" i="16"/>
  <c r="Y350" i="16" s="1"/>
  <c r="M304" i="16"/>
  <c r="H232" i="16"/>
  <c r="G232" i="16" s="1"/>
  <c r="G21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D117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AN57" i="16"/>
  <c r="Z77" i="16"/>
  <c r="S412" i="16"/>
  <c r="H418" i="16"/>
  <c r="Q77" i="16"/>
  <c r="J414" i="16"/>
  <c r="AK110" i="16"/>
  <c r="E99" i="16"/>
  <c r="AN75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F167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C35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AE27" i="16"/>
  <c r="AE40" i="16"/>
  <c r="AE35" i="16"/>
  <c r="G27" i="16"/>
  <c r="W157" i="16"/>
  <c r="K406" i="16"/>
  <c r="AH30" i="16"/>
  <c r="C16" i="16"/>
  <c r="E479" i="16" l="1"/>
  <c r="AC466" i="16"/>
  <c r="W234" i="16"/>
  <c r="G40" i="16"/>
  <c r="AB110" i="16"/>
  <c r="Q88" i="16"/>
  <c r="D104" i="16"/>
  <c r="D116" i="16"/>
  <c r="G110" i="16"/>
  <c r="N289" i="16"/>
  <c r="AL234" i="16"/>
  <c r="E418" i="16"/>
  <c r="W466" i="16"/>
  <c r="K466" i="16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I466" i="16"/>
  <c r="S77" i="16"/>
  <c r="T88" i="16"/>
  <c r="E232" i="16"/>
  <c r="V314" i="16"/>
  <c r="W405" i="16"/>
  <c r="E110" i="16"/>
  <c r="D110" i="16" s="1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I481" i="16"/>
  <c r="AG464" i="16"/>
  <c r="W481" i="16"/>
  <c r="U464" i="16"/>
  <c r="AB287" i="16"/>
  <c r="AC289" i="16"/>
  <c r="AJ314" i="16"/>
  <c r="AK309" i="16"/>
  <c r="M77" i="16"/>
  <c r="N88" i="16"/>
  <c r="F479" i="16"/>
  <c r="F450" i="16"/>
  <c r="Z405" i="16"/>
  <c r="Y314" i="16"/>
  <c r="AC234" i="16"/>
  <c r="AC197" i="16"/>
  <c r="AB212" i="16"/>
  <c r="AC406" i="16"/>
  <c r="AA466" i="16" s="1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L466" i="16" l="1"/>
  <c r="L464" i="16"/>
  <c r="R466" i="16"/>
  <c r="L432" i="16"/>
  <c r="E466" i="16"/>
  <c r="AO481" i="16"/>
  <c r="J481" i="16"/>
  <c r="AJ450" i="16"/>
  <c r="Z481" i="16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C466" i="16" s="1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Y481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N481" i="16" s="1"/>
  <c r="AK314" i="16"/>
  <c r="AL405" i="16"/>
  <c r="AK481" i="16" s="1"/>
  <c r="D77" i="16"/>
  <c r="E88" i="16"/>
  <c r="AO487" i="16"/>
  <c r="K496" i="16"/>
  <c r="J496" i="16" s="1"/>
  <c r="J487" i="16"/>
  <c r="D418" i="16"/>
  <c r="E289" i="16"/>
  <c r="P314" i="16"/>
  <c r="Q405" i="16"/>
  <c r="AD466" i="16"/>
  <c r="D232" i="16"/>
  <c r="H481" i="16"/>
  <c r="E405" i="16" l="1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L697" i="5" l="1"/>
  <c r="X697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K436" i="15" s="1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Q420" i="15" l="1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M212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AL30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AJ107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AK75" i="15" s="1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P188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B137" i="15" l="1"/>
  <c r="E27" i="15"/>
  <c r="AI232" i="15"/>
  <c r="K398" i="15"/>
  <c r="AK348" i="15"/>
  <c r="AO398" i="15"/>
  <c r="AD30" i="15"/>
  <c r="AL232" i="15"/>
  <c r="AK232" i="15" s="1"/>
  <c r="AF157" i="15"/>
  <c r="M348" i="15"/>
  <c r="AK230" i="15"/>
  <c r="E409" i="15"/>
  <c r="AK107" i="15"/>
  <c r="N188" i="15"/>
  <c r="AB414" i="15"/>
  <c r="AB75" i="15"/>
  <c r="AI398" i="15"/>
  <c r="AE350" i="15"/>
  <c r="H479" i="15"/>
  <c r="AO157" i="15"/>
  <c r="V124" i="15"/>
  <c r="E427" i="15"/>
  <c r="E420" i="15"/>
  <c r="E421" i="15"/>
  <c r="AC418" i="15"/>
  <c r="P107" i="15"/>
  <c r="K350" i="15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AN30" i="15" s="1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AE157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E30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AE27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E472" i="15"/>
  <c r="AF167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C35" i="15"/>
  <c r="D9" i="15"/>
  <c r="S155" i="15" l="1"/>
  <c r="AI352" i="15"/>
  <c r="AH232" i="15"/>
  <c r="S157" i="15"/>
  <c r="AC406" i="15"/>
  <c r="AA450" i="15" s="1"/>
  <c r="S110" i="15"/>
  <c r="Y34" i="15"/>
  <c r="T88" i="15"/>
  <c r="M77" i="15"/>
  <c r="AC466" i="15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D412" i="15"/>
  <c r="AD432" i="15"/>
  <c r="D196" i="15"/>
  <c r="D188" i="15"/>
  <c r="D413" i="15"/>
  <c r="S287" i="15"/>
  <c r="T289" i="15"/>
  <c r="E77" i="15"/>
  <c r="D44" i="15"/>
  <c r="L450" i="15"/>
  <c r="AA466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37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AA479" i="15" l="1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U418" i="15"/>
  <c r="X466" i="15"/>
  <c r="X432" i="15"/>
  <c r="X479" i="15"/>
  <c r="AF481" i="15"/>
  <c r="AF487" i="15" s="1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D28" i="19" s="1"/>
  <c r="A111" i="3"/>
  <c r="I111" i="3" s="1"/>
  <c r="D24" i="19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E24" i="19" s="1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E28" i="19" s="1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E59" i="19" s="1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E44" i="19" s="1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E47" i="19" s="1"/>
  <c r="F277" i="3"/>
  <c r="F268" i="3"/>
  <c r="F260" i="3"/>
  <c r="F334" i="3"/>
  <c r="F326" i="3"/>
  <c r="F369" i="3"/>
  <c r="F377" i="3"/>
  <c r="F385" i="3"/>
  <c r="F393" i="3"/>
  <c r="F306" i="3"/>
  <c r="D306" i="3"/>
  <c r="E54" i="19" s="1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E53" i="19" s="1"/>
  <c r="F299" i="3"/>
  <c r="F307" i="3"/>
  <c r="D307" i="3"/>
  <c r="D298" i="3"/>
  <c r="F298" i="3"/>
  <c r="F243" i="3"/>
  <c r="D243" i="3"/>
  <c r="E243" i="3"/>
  <c r="E240" i="3"/>
  <c r="D240" i="3"/>
  <c r="F240" i="3"/>
  <c r="F183" i="3"/>
  <c r="E42" i="19" s="1"/>
  <c r="F190" i="3"/>
  <c r="E190" i="3"/>
  <c r="F180" i="3"/>
  <c r="E180" i="3"/>
  <c r="D180" i="3"/>
  <c r="F93" i="3"/>
  <c r="D101" i="3"/>
  <c r="F101" i="3"/>
  <c r="E171" i="3"/>
  <c r="E40" i="19" s="1"/>
  <c r="D171" i="3"/>
  <c r="F171" i="3"/>
  <c r="F94" i="3"/>
  <c r="D94" i="3"/>
  <c r="F102" i="3"/>
  <c r="D102" i="3"/>
  <c r="F174" i="3"/>
  <c r="E174" i="3"/>
  <c r="E41" i="19" s="1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E45" i="19" l="1"/>
  <c r="D41" i="19"/>
  <c r="E52" i="19"/>
  <c r="E58" i="19"/>
  <c r="E57" i="19"/>
  <c r="E51" i="19"/>
  <c r="D51" i="19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D22" i="19" s="1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D26" i="19" s="1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D23" i="19" l="1"/>
  <c r="D25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17" i="17" l="1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I329" i="17"/>
  <c r="AC444" i="17"/>
  <c r="H9" i="17"/>
  <c r="AC472" i="17"/>
  <c r="G96" i="17"/>
  <c r="H120" i="17" s="1"/>
  <c r="H95" i="17"/>
  <c r="AC447" i="17"/>
  <c r="AC440" i="17"/>
  <c r="I162" i="17"/>
  <c r="AC473" i="17"/>
  <c r="I121" i="17"/>
  <c r="H7" i="17"/>
  <c r="I107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D55" i="19" l="1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AB414" i="17"/>
  <c r="AB409" i="17"/>
  <c r="AC480" i="17"/>
  <c r="AC432" i="17"/>
  <c r="H152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F175" i="17" l="1"/>
  <c r="P767" i="14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6" i="17" l="1"/>
  <c r="O300" i="3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95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275" i="17"/>
  <c r="Q144" i="17"/>
  <c r="Q32" i="17"/>
  <c r="Q266" i="17"/>
  <c r="Q136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F53" i="19" s="1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F54" i="19" s="1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F59" i="19" s="1"/>
  <c r="Q275" i="3"/>
  <c r="Q266" i="3"/>
  <c r="Q257" i="3"/>
  <c r="Q243" i="3"/>
  <c r="Q215" i="3"/>
  <c r="Q206" i="3"/>
  <c r="Q198" i="3"/>
  <c r="O180" i="3"/>
  <c r="Q144" i="3"/>
  <c r="Q136" i="3"/>
  <c r="Q124" i="3"/>
  <c r="Q112" i="3"/>
  <c r="F28" i="19" s="1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F24" i="19" s="1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F47" i="19" s="1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F42" i="19" s="1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F44" i="19" l="1"/>
  <c r="F41" i="19"/>
  <c r="F40" i="19"/>
  <c r="F58" i="19"/>
  <c r="F52" i="19"/>
  <c r="F51" i="19"/>
  <c r="F57" i="19"/>
  <c r="F45" i="19"/>
  <c r="AL479" i="17"/>
  <c r="AL414" i="17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AL435" i="17"/>
  <c r="P94" i="17"/>
  <c r="O96" i="17"/>
  <c r="AL446" i="17"/>
  <c r="P297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F56" i="19" s="1"/>
  <c r="P294" i="3"/>
  <c r="P299" i="3"/>
  <c r="Q104" i="3"/>
  <c r="F26" i="19" s="1"/>
  <c r="F27" i="19" s="1"/>
  <c r="Q265" i="3"/>
  <c r="Q394" i="3"/>
  <c r="P394" i="3" s="1"/>
  <c r="Q96" i="3"/>
  <c r="F22" i="19" s="1"/>
  <c r="Q249" i="3"/>
  <c r="P265" i="3"/>
  <c r="P306" i="3"/>
  <c r="O96" i="3"/>
  <c r="F21" i="19" s="1"/>
  <c r="P94" i="3"/>
  <c r="Q134" i="3"/>
  <c r="Q121" i="3"/>
  <c r="F30" i="19" s="1"/>
  <c r="F31" i="19" s="1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F38" i="19" s="1"/>
  <c r="P307" i="3"/>
  <c r="Q241" i="3"/>
  <c r="Q209" i="3"/>
  <c r="F43" i="19" s="1"/>
  <c r="F46" i="19" s="1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F29" i="19" l="1"/>
  <c r="F23" i="19"/>
  <c r="F25" i="19"/>
  <c r="E313" i="17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F39" i="19" s="1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6" i="17" l="1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154" i="17"/>
  <c r="Q194" i="17"/>
  <c r="Q232" i="17"/>
  <c r="P134" i="3"/>
  <c r="P107" i="3"/>
  <c r="P154" i="3"/>
  <c r="P121" i="3"/>
  <c r="P230" i="3"/>
  <c r="P308" i="3"/>
  <c r="O313" i="3"/>
  <c r="F50" i="19" s="1"/>
  <c r="F55" i="19" s="1"/>
  <c r="Q162" i="3"/>
  <c r="F32" i="19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21" i="19" s="1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P725" i="5" s="1"/>
  <c r="M725" i="5"/>
  <c r="L725" i="5"/>
  <c r="X725" i="5" s="1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S721" i="5"/>
  <c r="R721" i="5"/>
  <c r="Q721" i="5"/>
  <c r="P721" i="5" s="1"/>
  <c r="M721" i="5"/>
  <c r="L721" i="5"/>
  <c r="X721" i="5" s="1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S717" i="5"/>
  <c r="R717" i="5"/>
  <c r="Q717" i="5"/>
  <c r="M717" i="5"/>
  <c r="L717" i="5"/>
  <c r="S716" i="5"/>
  <c r="R716" i="5"/>
  <c r="Q716" i="5"/>
  <c r="M716" i="5"/>
  <c r="L716" i="5"/>
  <c r="S715" i="5"/>
  <c r="R715" i="5"/>
  <c r="Q715" i="5"/>
  <c r="P715" i="5" s="1"/>
  <c r="M715" i="5"/>
  <c r="L715" i="5"/>
  <c r="S714" i="5"/>
  <c r="R714" i="5"/>
  <c r="Q714" i="5"/>
  <c r="N714" i="5" s="1"/>
  <c r="M714" i="5"/>
  <c r="L714" i="5"/>
  <c r="S713" i="5"/>
  <c r="R713" i="5"/>
  <c r="Q713" i="5"/>
  <c r="P713" i="5" s="1"/>
  <c r="M713" i="5"/>
  <c r="L713" i="5"/>
  <c r="S712" i="5"/>
  <c r="R712" i="5"/>
  <c r="Q712" i="5"/>
  <c r="M712" i="5"/>
  <c r="L712" i="5"/>
  <c r="S711" i="5"/>
  <c r="R711" i="5"/>
  <c r="Q711" i="5"/>
  <c r="P711" i="5" s="1"/>
  <c r="M711" i="5"/>
  <c r="L711" i="5"/>
  <c r="X711" i="5" s="1"/>
  <c r="S710" i="5"/>
  <c r="R710" i="5"/>
  <c r="Q710" i="5"/>
  <c r="N710" i="5" s="1"/>
  <c r="M710" i="5"/>
  <c r="L710" i="5"/>
  <c r="S709" i="5"/>
  <c r="R709" i="5"/>
  <c r="Q709" i="5"/>
  <c r="P709" i="5" s="1"/>
  <c r="M709" i="5"/>
  <c r="L709" i="5"/>
  <c r="X709" i="5" s="1"/>
  <c r="S708" i="5"/>
  <c r="R708" i="5"/>
  <c r="Q708" i="5"/>
  <c r="N708" i="5" s="1"/>
  <c r="M708" i="5"/>
  <c r="L708" i="5"/>
  <c r="S707" i="5"/>
  <c r="R707" i="5"/>
  <c r="Q707" i="5"/>
  <c r="M707" i="5"/>
  <c r="L707" i="5"/>
  <c r="X707" i="5" s="1"/>
  <c r="S706" i="5"/>
  <c r="R706" i="5"/>
  <c r="Q706" i="5"/>
  <c r="N706" i="5" s="1"/>
  <c r="M706" i="5"/>
  <c r="L706" i="5"/>
  <c r="S705" i="5"/>
  <c r="R705" i="5"/>
  <c r="Q705" i="5"/>
  <c r="P705" i="5" s="1"/>
  <c r="M705" i="5"/>
  <c r="L705" i="5"/>
  <c r="X705" i="5" s="1"/>
  <c r="S704" i="5"/>
  <c r="R704" i="5"/>
  <c r="Q704" i="5"/>
  <c r="M704" i="5"/>
  <c r="L704" i="5"/>
  <c r="S703" i="5"/>
  <c r="R703" i="5"/>
  <c r="Q703" i="5"/>
  <c r="P703" i="5" s="1"/>
  <c r="M703" i="5"/>
  <c r="L703" i="5"/>
  <c r="X703" i="5" s="1"/>
  <c r="S702" i="5"/>
  <c r="R702" i="5"/>
  <c r="Q702" i="5"/>
  <c r="N702" i="5" s="1"/>
  <c r="M702" i="5"/>
  <c r="L702" i="5"/>
  <c r="S701" i="5"/>
  <c r="R701" i="5"/>
  <c r="Q701" i="5"/>
  <c r="P701" i="5" s="1"/>
  <c r="M701" i="5"/>
  <c r="L701" i="5"/>
  <c r="S700" i="5"/>
  <c r="R700" i="5"/>
  <c r="Q700" i="5"/>
  <c r="N700" i="5" s="1"/>
  <c r="M700" i="5"/>
  <c r="L700" i="5"/>
  <c r="S699" i="5"/>
  <c r="R699" i="5"/>
  <c r="Q699" i="5"/>
  <c r="P699" i="5" s="1"/>
  <c r="M699" i="5"/>
  <c r="L699" i="5"/>
  <c r="S698" i="5"/>
  <c r="R698" i="5"/>
  <c r="Q698" i="5"/>
  <c r="M698" i="5"/>
  <c r="L698" i="5"/>
  <c r="X698" i="5" s="1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L259" i="5"/>
  <c r="L5" i="5"/>
  <c r="L266" i="5"/>
  <c r="L256" i="5"/>
  <c r="L262" i="5"/>
  <c r="L276" i="5"/>
  <c r="L75" i="5"/>
  <c r="L253" i="5"/>
  <c r="L250" i="5"/>
  <c r="L247" i="5"/>
  <c r="L260" i="5"/>
  <c r="L258" i="5"/>
  <c r="L13" i="5"/>
  <c r="L293" i="5"/>
  <c r="L267" i="5"/>
  <c r="L277" i="5"/>
  <c r="L274" i="5"/>
  <c r="L23" i="5"/>
  <c r="L26" i="5"/>
  <c r="L18" i="5"/>
  <c r="L305" i="5"/>
  <c r="L84" i="5"/>
  <c r="L304" i="5"/>
  <c r="L295" i="5"/>
  <c r="L81" i="5"/>
  <c r="L296" i="5"/>
  <c r="L392" i="5"/>
  <c r="L310" i="5"/>
  <c r="L291" i="5"/>
  <c r="L34" i="5"/>
  <c r="L391" i="5"/>
  <c r="L315" i="5"/>
  <c r="L52" i="5"/>
  <c r="L319" i="5"/>
  <c r="L311" i="5"/>
  <c r="L284" i="5"/>
  <c r="L403" i="5"/>
  <c r="S465" i="5"/>
  <c r="R465" i="5"/>
  <c r="Q465" i="5"/>
  <c r="P465" i="5" s="1"/>
  <c r="M465" i="5"/>
  <c r="L465" i="5"/>
  <c r="X465" i="5" s="1"/>
  <c r="L290" i="5"/>
  <c r="L80" i="5"/>
  <c r="L303" i="5"/>
  <c r="L393" i="5"/>
  <c r="L279" i="5"/>
  <c r="L287" i="5"/>
  <c r="L301" i="5"/>
  <c r="L314" i="5"/>
  <c r="L45" i="5"/>
  <c r="L15" i="5"/>
  <c r="L324" i="5"/>
  <c r="S510" i="5"/>
  <c r="R510" i="5"/>
  <c r="Q510" i="5"/>
  <c r="O510" i="5" s="1"/>
  <c r="M510" i="5"/>
  <c r="L510" i="5"/>
  <c r="L347" i="5"/>
  <c r="L395" i="5"/>
  <c r="L330" i="5"/>
  <c r="L280" i="5"/>
  <c r="L360" i="5"/>
  <c r="L322" i="5"/>
  <c r="S481" i="5"/>
  <c r="R481" i="5"/>
  <c r="Q481" i="5"/>
  <c r="O481" i="5" s="1"/>
  <c r="M481" i="5"/>
  <c r="L481" i="5"/>
  <c r="L338" i="5"/>
  <c r="L354" i="5"/>
  <c r="L86" i="5"/>
  <c r="L389" i="5"/>
  <c r="L342" i="5"/>
  <c r="L321" i="5"/>
  <c r="L348" i="5"/>
  <c r="L292" i="5"/>
  <c r="L390" i="5"/>
  <c r="L333" i="5"/>
  <c r="L313" i="5"/>
  <c r="S463" i="5"/>
  <c r="R463" i="5"/>
  <c r="Q463" i="5"/>
  <c r="O463" i="5" s="1"/>
  <c r="M463" i="5"/>
  <c r="L463" i="5"/>
  <c r="L29" i="5"/>
  <c r="L22" i="5"/>
  <c r="S486" i="5"/>
  <c r="R486" i="5"/>
  <c r="Q486" i="5"/>
  <c r="P486" i="5" s="1"/>
  <c r="M486" i="5"/>
  <c r="L486" i="5"/>
  <c r="X486" i="5" s="1"/>
  <c r="L350" i="5"/>
  <c r="L325" i="5"/>
  <c r="L415" i="5"/>
  <c r="L300" i="5"/>
  <c r="L73" i="5"/>
  <c r="L349" i="5"/>
  <c r="L98" i="5"/>
  <c r="L358" i="5"/>
  <c r="L87" i="5"/>
  <c r="L405" i="5"/>
  <c r="S470" i="5"/>
  <c r="R470" i="5"/>
  <c r="Q470" i="5"/>
  <c r="M470" i="5"/>
  <c r="L470" i="5"/>
  <c r="L385" i="5"/>
  <c r="L320" i="5"/>
  <c r="L397" i="5"/>
  <c r="L27" i="5"/>
  <c r="S476" i="5"/>
  <c r="R476" i="5"/>
  <c r="Q476" i="5"/>
  <c r="N476" i="5" s="1"/>
  <c r="M476" i="5"/>
  <c r="L476" i="5"/>
  <c r="L12" i="5"/>
  <c r="L410" i="5"/>
  <c r="L427" i="5"/>
  <c r="S468" i="5"/>
  <c r="R468" i="5"/>
  <c r="Q468" i="5"/>
  <c r="O468" i="5" s="1"/>
  <c r="M468" i="5"/>
  <c r="L468" i="5"/>
  <c r="L394" i="5"/>
  <c r="L316" i="5"/>
  <c r="S464" i="5"/>
  <c r="R464" i="5"/>
  <c r="Q464" i="5"/>
  <c r="N464" i="5" s="1"/>
  <c r="M464" i="5"/>
  <c r="L464" i="5"/>
  <c r="L306" i="5"/>
  <c r="L298" i="5"/>
  <c r="L282" i="5"/>
  <c r="L380" i="5"/>
  <c r="L339" i="5"/>
  <c r="L371" i="5"/>
  <c r="L318" i="5"/>
  <c r="L323" i="5"/>
  <c r="S466" i="5"/>
  <c r="R466" i="5"/>
  <c r="Q466" i="5"/>
  <c r="O466" i="5" s="1"/>
  <c r="M466" i="5"/>
  <c r="L466" i="5"/>
  <c r="L428" i="5"/>
  <c r="L364" i="5"/>
  <c r="S482" i="5"/>
  <c r="R482" i="5"/>
  <c r="Q482" i="5"/>
  <c r="P482" i="5" s="1"/>
  <c r="M482" i="5"/>
  <c r="L482" i="5"/>
  <c r="X482" i="5" s="1"/>
  <c r="L363" i="5"/>
  <c r="L411" i="5"/>
  <c r="L336" i="5"/>
  <c r="L346" i="5"/>
  <c r="S462" i="5"/>
  <c r="R462" i="5"/>
  <c r="Q462" i="5"/>
  <c r="P462" i="5" s="1"/>
  <c r="M462" i="5"/>
  <c r="L462" i="5"/>
  <c r="L337" i="5"/>
  <c r="L387" i="5"/>
  <c r="L285" i="5"/>
  <c r="L361" i="5"/>
  <c r="L388" i="5"/>
  <c r="L95" i="5"/>
  <c r="S450" i="5"/>
  <c r="R450" i="5"/>
  <c r="Q450" i="5"/>
  <c r="O450" i="5" s="1"/>
  <c r="M450" i="5"/>
  <c r="L450" i="5"/>
  <c r="L359" i="5"/>
  <c r="L312" i="5"/>
  <c r="L329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L408" i="5"/>
  <c r="L419" i="5"/>
  <c r="L344" i="5"/>
  <c r="L376" i="5"/>
  <c r="L362" i="5"/>
  <c r="L352" i="5"/>
  <c r="L432" i="5"/>
  <c r="L31" i="5"/>
  <c r="L118" i="5"/>
  <c r="L286" i="5"/>
  <c r="L341" i="5"/>
  <c r="S488" i="5"/>
  <c r="R488" i="5"/>
  <c r="Q488" i="5"/>
  <c r="O488" i="5" s="1"/>
  <c r="M488" i="5"/>
  <c r="L488" i="5"/>
  <c r="X488" i="5" s="1"/>
  <c r="L431" i="5"/>
  <c r="L44" i="5"/>
  <c r="L417" i="5"/>
  <c r="L377" i="5"/>
  <c r="L426" i="5"/>
  <c r="L345" i="5"/>
  <c r="L386" i="5"/>
  <c r="L375" i="5"/>
  <c r="S461" i="5"/>
  <c r="R461" i="5"/>
  <c r="Q461" i="5"/>
  <c r="O461" i="5" s="1"/>
  <c r="M461" i="5"/>
  <c r="L461" i="5"/>
  <c r="L357" i="5"/>
  <c r="L275" i="5"/>
  <c r="S485" i="5"/>
  <c r="R485" i="5"/>
  <c r="Q485" i="5"/>
  <c r="O485" i="5" s="1"/>
  <c r="M485" i="5"/>
  <c r="L485" i="5"/>
  <c r="L343" i="5"/>
  <c r="L414" i="5"/>
  <c r="L302" i="5"/>
  <c r="S467" i="5"/>
  <c r="R467" i="5"/>
  <c r="Q467" i="5"/>
  <c r="O467" i="5" s="1"/>
  <c r="M467" i="5"/>
  <c r="L467" i="5"/>
  <c r="X467" i="5" s="1"/>
  <c r="L374" i="5"/>
  <c r="S489" i="5"/>
  <c r="R489" i="5"/>
  <c r="Q489" i="5"/>
  <c r="O489" i="5" s="1"/>
  <c r="M489" i="5"/>
  <c r="L489" i="5"/>
  <c r="L384" i="5"/>
  <c r="L418" i="5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L297" i="5"/>
  <c r="L334" i="5"/>
  <c r="L416" i="5"/>
  <c r="L409" i="5"/>
  <c r="L400" i="5"/>
  <c r="L437" i="5"/>
  <c r="S446" i="5"/>
  <c r="R446" i="5"/>
  <c r="Q446" i="5"/>
  <c r="M446" i="5"/>
  <c r="L446" i="5"/>
  <c r="L328" i="5"/>
  <c r="L335" i="5"/>
  <c r="L382" i="5"/>
  <c r="S507" i="5"/>
  <c r="R507" i="5"/>
  <c r="Q507" i="5"/>
  <c r="O507" i="5" s="1"/>
  <c r="M507" i="5"/>
  <c r="L507" i="5"/>
  <c r="X507" i="5" s="1"/>
  <c r="L369" i="5"/>
  <c r="L424" i="5"/>
  <c r="S477" i="5"/>
  <c r="R477" i="5"/>
  <c r="Q477" i="5"/>
  <c r="M477" i="5"/>
  <c r="L477" i="5"/>
  <c r="L407" i="5"/>
  <c r="L406" i="5"/>
  <c r="L36" i="5"/>
  <c r="L429" i="5"/>
  <c r="L413" i="5"/>
  <c r="S443" i="5"/>
  <c r="R443" i="5"/>
  <c r="Q443" i="5"/>
  <c r="M443" i="5"/>
  <c r="L443" i="5"/>
  <c r="S454" i="5"/>
  <c r="R454" i="5"/>
  <c r="Q454" i="5"/>
  <c r="O454" i="5" s="1"/>
  <c r="M454" i="5"/>
  <c r="L454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L204" i="5"/>
  <c r="L420" i="5"/>
  <c r="L425" i="5"/>
  <c r="L17" i="5"/>
  <c r="L383" i="5"/>
  <c r="L269" i="5"/>
  <c r="L83" i="5"/>
  <c r="L381" i="5"/>
  <c r="S452" i="5"/>
  <c r="R452" i="5"/>
  <c r="Q452" i="5"/>
  <c r="O452" i="5" s="1"/>
  <c r="M452" i="5"/>
  <c r="L452" i="5"/>
  <c r="L351" i="5"/>
  <c r="S475" i="5"/>
  <c r="R475" i="5"/>
  <c r="Q475" i="5"/>
  <c r="M475" i="5"/>
  <c r="L475" i="5"/>
  <c r="L404" i="5"/>
  <c r="L331" i="5"/>
  <c r="L396" i="5"/>
  <c r="L412" i="5"/>
  <c r="L40" i="5"/>
  <c r="S449" i="5"/>
  <c r="R449" i="5"/>
  <c r="Q449" i="5"/>
  <c r="N449" i="5" s="1"/>
  <c r="M449" i="5"/>
  <c r="L449" i="5"/>
  <c r="L372" i="5"/>
  <c r="L108" i="5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L373" i="5"/>
  <c r="S451" i="5"/>
  <c r="R451" i="5"/>
  <c r="Q451" i="5"/>
  <c r="M451" i="5"/>
  <c r="L451" i="5"/>
  <c r="S442" i="5"/>
  <c r="R442" i="5"/>
  <c r="Q442" i="5"/>
  <c r="N442" i="5" s="1"/>
  <c r="M442" i="5"/>
  <c r="L442" i="5"/>
  <c r="L28" i="5"/>
  <c r="S441" i="5"/>
  <c r="R441" i="5"/>
  <c r="Q441" i="5"/>
  <c r="N441" i="5" s="1"/>
  <c r="M441" i="5"/>
  <c r="L441" i="5"/>
  <c r="L430" i="5"/>
  <c r="L370" i="5"/>
  <c r="L99" i="5"/>
  <c r="L438" i="5"/>
  <c r="S469" i="5"/>
  <c r="R469" i="5"/>
  <c r="Q469" i="5"/>
  <c r="N469" i="5" s="1"/>
  <c r="M469" i="5"/>
  <c r="L469" i="5"/>
  <c r="X469" i="5" s="1"/>
  <c r="L54" i="5"/>
  <c r="L327" i="5"/>
  <c r="L55" i="5"/>
  <c r="S473" i="5"/>
  <c r="R473" i="5"/>
  <c r="Q473" i="5"/>
  <c r="N473" i="5" s="1"/>
  <c r="M473" i="5"/>
  <c r="L473" i="5"/>
  <c r="L402" i="5"/>
  <c r="L63" i="5"/>
  <c r="L68" i="5"/>
  <c r="L278" i="5"/>
  <c r="L366" i="5"/>
  <c r="L368" i="5"/>
  <c r="L434" i="5"/>
  <c r="L436" i="5"/>
  <c r="L422" i="5"/>
  <c r="L243" i="5"/>
  <c r="L241" i="5"/>
  <c r="L239" i="5"/>
  <c r="L237" i="5"/>
  <c r="L235" i="5"/>
  <c r="L233" i="5"/>
  <c r="L231" i="5"/>
  <c r="L229" i="5"/>
  <c r="L226" i="5"/>
  <c r="L224" i="5"/>
  <c r="L221" i="5"/>
  <c r="L219" i="5"/>
  <c r="L217" i="5"/>
  <c r="L215" i="5"/>
  <c r="L213" i="5"/>
  <c r="L211" i="5"/>
  <c r="L209" i="5"/>
  <c r="L207" i="5"/>
  <c r="L205" i="5"/>
  <c r="L203" i="5"/>
  <c r="L201" i="5"/>
  <c r="L199" i="5"/>
  <c r="L197" i="5"/>
  <c r="L193" i="5"/>
  <c r="L190" i="5"/>
  <c r="L181" i="5"/>
  <c r="L178" i="5"/>
  <c r="L176" i="5"/>
  <c r="L174" i="5"/>
  <c r="L172" i="5"/>
  <c r="L170" i="5"/>
  <c r="L168" i="5"/>
  <c r="L166" i="5"/>
  <c r="L164" i="5"/>
  <c r="L162" i="5"/>
  <c r="L160" i="5"/>
  <c r="L157" i="5"/>
  <c r="L155" i="5"/>
  <c r="L153" i="5"/>
  <c r="L151" i="5"/>
  <c r="L149" i="5"/>
  <c r="L24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L435" i="5"/>
  <c r="L399" i="5"/>
  <c r="L378" i="5"/>
  <c r="L367" i="5"/>
  <c r="L340" i="5"/>
  <c r="L307" i="5"/>
  <c r="L299" i="5"/>
  <c r="L270" i="5"/>
  <c r="L261" i="5"/>
  <c r="L255" i="5"/>
  <c r="L254" i="5"/>
  <c r="L251" i="5"/>
  <c r="L249" i="5"/>
  <c r="L248" i="5"/>
  <c r="L230" i="5"/>
  <c r="L180" i="5"/>
  <c r="L173" i="5"/>
  <c r="L163" i="5"/>
  <c r="L161" i="5"/>
  <c r="L156" i="5"/>
  <c r="L152" i="5"/>
  <c r="L150" i="5"/>
  <c r="L132" i="5"/>
  <c r="L124" i="5"/>
  <c r="L123" i="5"/>
  <c r="L122" i="5"/>
  <c r="L111" i="5"/>
  <c r="L92" i="5"/>
  <c r="L77" i="5"/>
  <c r="L72" i="5"/>
  <c r="L70" i="5"/>
  <c r="L67" i="5"/>
  <c r="L66" i="5"/>
  <c r="L64" i="5"/>
  <c r="L62" i="5"/>
  <c r="L60" i="5"/>
  <c r="L58" i="5"/>
  <c r="L56" i="5"/>
  <c r="L43" i="5"/>
  <c r="L38" i="5"/>
  <c r="L35" i="5"/>
  <c r="L7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L433" i="5"/>
  <c r="L423" i="5"/>
  <c r="L421" i="5"/>
  <c r="L398" i="5"/>
  <c r="L365" i="5"/>
  <c r="L356" i="5"/>
  <c r="L353" i="5"/>
  <c r="L332" i="5"/>
  <c r="L326" i="5"/>
  <c r="L289" i="5"/>
  <c r="L288" i="5"/>
  <c r="L283" i="5"/>
  <c r="L281" i="5"/>
  <c r="L273" i="5"/>
  <c r="L272" i="5"/>
  <c r="L271" i="5"/>
  <c r="L268" i="5"/>
  <c r="L265" i="5"/>
  <c r="L264" i="5"/>
  <c r="L263" i="5"/>
  <c r="L257" i="5"/>
  <c r="L252" i="5"/>
  <c r="L246" i="5"/>
  <c r="L195" i="5"/>
  <c r="L194" i="5"/>
  <c r="L191" i="5"/>
  <c r="L188" i="5"/>
  <c r="L187" i="5"/>
  <c r="L186" i="5"/>
  <c r="L185" i="5"/>
  <c r="L184" i="5"/>
  <c r="L183" i="5"/>
  <c r="L182" i="5"/>
  <c r="L179" i="5"/>
  <c r="L158" i="5"/>
  <c r="L147" i="5"/>
  <c r="L146" i="5"/>
  <c r="L145" i="5"/>
  <c r="L144" i="5"/>
  <c r="L143" i="5"/>
  <c r="L142" i="5"/>
  <c r="L141" i="5"/>
  <c r="L140" i="5"/>
  <c r="L139" i="5"/>
  <c r="L138" i="5"/>
  <c r="L136" i="5"/>
  <c r="L135" i="5"/>
  <c r="L134" i="5"/>
  <c r="L133" i="5"/>
  <c r="L131" i="5"/>
  <c r="L130" i="5"/>
  <c r="L129" i="5"/>
  <c r="L128" i="5"/>
  <c r="L127" i="5"/>
  <c r="L126" i="5"/>
  <c r="L125" i="5"/>
  <c r="L121" i="5"/>
  <c r="L117" i="5"/>
  <c r="L116" i="5"/>
  <c r="L115" i="5"/>
  <c r="L114" i="5"/>
  <c r="L107" i="5"/>
  <c r="L106" i="5"/>
  <c r="L105" i="5"/>
  <c r="L104" i="5"/>
  <c r="L102" i="5"/>
  <c r="L101" i="5"/>
  <c r="L97" i="5"/>
  <c r="L94" i="5"/>
  <c r="L88" i="5"/>
  <c r="L4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L309" i="5"/>
  <c r="L245" i="5"/>
  <c r="L137" i="5"/>
  <c r="L120" i="5"/>
  <c r="L74" i="5"/>
  <c r="L2" i="5"/>
  <c r="L78" i="5"/>
  <c r="L46" i="5"/>
  <c r="L42" i="5"/>
  <c r="L61" i="5"/>
  <c r="L71" i="5"/>
  <c r="L103" i="5"/>
  <c r="L198" i="5"/>
  <c r="L119" i="5"/>
  <c r="L113" i="5"/>
  <c r="L47" i="5"/>
  <c r="L100" i="5"/>
  <c r="L8" i="5"/>
  <c r="L41" i="5"/>
  <c r="S500" i="5"/>
  <c r="R500" i="5"/>
  <c r="Q500" i="5"/>
  <c r="N500" i="5" s="1"/>
  <c r="M500" i="5"/>
  <c r="L500" i="5"/>
  <c r="L51" i="5"/>
  <c r="S508" i="5"/>
  <c r="R508" i="5"/>
  <c r="Q508" i="5"/>
  <c r="P508" i="5" s="1"/>
  <c r="M508" i="5"/>
  <c r="L508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L227" i="5"/>
  <c r="L210" i="5"/>
  <c r="L236" i="5"/>
  <c r="L65" i="5"/>
  <c r="L96" i="5"/>
  <c r="L401" i="5"/>
  <c r="L57" i="5"/>
  <c r="L69" i="5"/>
  <c r="L37" i="5"/>
  <c r="L222" i="5"/>
  <c r="L355" i="5"/>
  <c r="L93" i="5"/>
  <c r="L208" i="5"/>
  <c r="L50" i="5"/>
  <c r="L30" i="5"/>
  <c r="S495" i="5"/>
  <c r="R495" i="5"/>
  <c r="Q495" i="5"/>
  <c r="P495" i="5" s="1"/>
  <c r="M495" i="5"/>
  <c r="L495" i="5"/>
  <c r="L308" i="5"/>
  <c r="L91" i="5"/>
  <c r="L33" i="5"/>
  <c r="L53" i="5"/>
  <c r="L59" i="5"/>
  <c r="L39" i="5"/>
  <c r="L48" i="5"/>
  <c r="L244" i="5"/>
  <c r="L21" i="5"/>
  <c r="L49" i="5"/>
  <c r="L228" i="5"/>
  <c r="L317" i="5"/>
  <c r="L19" i="5"/>
  <c r="L232" i="5"/>
  <c r="L32" i="5"/>
  <c r="L11" i="5"/>
  <c r="L218" i="5"/>
  <c r="L110" i="5"/>
  <c r="S504" i="5"/>
  <c r="R504" i="5"/>
  <c r="Q504" i="5"/>
  <c r="N504" i="5" s="1"/>
  <c r="M504" i="5"/>
  <c r="L504" i="5"/>
  <c r="X504" i="5" s="1"/>
  <c r="L112" i="5"/>
  <c r="S501" i="5"/>
  <c r="R501" i="5"/>
  <c r="Q501" i="5"/>
  <c r="P501" i="5" s="1"/>
  <c r="M501" i="5"/>
  <c r="L501" i="5"/>
  <c r="X501" i="5" s="1"/>
  <c r="L234" i="5"/>
  <c r="S503" i="5"/>
  <c r="R503" i="5"/>
  <c r="Q503" i="5"/>
  <c r="N503" i="5" s="1"/>
  <c r="M503" i="5"/>
  <c r="L503" i="5"/>
  <c r="X503" i="5" s="1"/>
  <c r="L212" i="5"/>
  <c r="S498" i="5"/>
  <c r="R498" i="5"/>
  <c r="Q498" i="5"/>
  <c r="O498" i="5" s="1"/>
  <c r="M498" i="5"/>
  <c r="L498" i="5"/>
  <c r="L238" i="5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L206" i="5"/>
  <c r="L214" i="5"/>
  <c r="L216" i="5"/>
  <c r="L82" i="5"/>
  <c r="S506" i="5"/>
  <c r="R506" i="5"/>
  <c r="Q506" i="5"/>
  <c r="N506" i="5" s="1"/>
  <c r="M506" i="5"/>
  <c r="L506" i="5"/>
  <c r="X506" i="5" s="1"/>
  <c r="L14" i="5"/>
  <c r="L109" i="5"/>
  <c r="L79" i="5"/>
  <c r="S494" i="5"/>
  <c r="R494" i="5"/>
  <c r="Q494" i="5"/>
  <c r="N494" i="5" s="1"/>
  <c r="M494" i="5"/>
  <c r="L494" i="5"/>
  <c r="X494" i="5" s="1"/>
  <c r="L202" i="5"/>
  <c r="L90" i="5"/>
  <c r="L225" i="5"/>
  <c r="L240" i="5"/>
  <c r="L223" i="5"/>
  <c r="L200" i="5"/>
  <c r="L189" i="5"/>
  <c r="L76" i="5"/>
  <c r="L242" i="5"/>
  <c r="L25" i="5"/>
  <c r="L167" i="5"/>
  <c r="L171" i="5"/>
  <c r="L9" i="5"/>
  <c r="L148" i="5"/>
  <c r="L220" i="5"/>
  <c r="L16" i="5"/>
  <c r="L154" i="5"/>
  <c r="L10" i="5"/>
  <c r="L159" i="5"/>
  <c r="L196" i="5"/>
  <c r="L89" i="5"/>
  <c r="L192" i="5"/>
  <c r="L175" i="5"/>
  <c r="L165" i="5"/>
  <c r="L177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U175" i="5" l="1"/>
  <c r="T175" i="5"/>
  <c r="W175" i="5"/>
  <c r="V175" i="5"/>
  <c r="U159" i="5"/>
  <c r="V159" i="5"/>
  <c r="T159" i="5"/>
  <c r="W159" i="5"/>
  <c r="U220" i="5"/>
  <c r="V220" i="5"/>
  <c r="T220" i="5"/>
  <c r="W220" i="5"/>
  <c r="X167" i="5"/>
  <c r="U167" i="5"/>
  <c r="V167" i="5"/>
  <c r="W167" i="5"/>
  <c r="T167" i="5"/>
  <c r="T189" i="5"/>
  <c r="W189" i="5"/>
  <c r="U189" i="5"/>
  <c r="V189" i="5"/>
  <c r="U225" i="5"/>
  <c r="V225" i="5"/>
  <c r="T225" i="5"/>
  <c r="W225" i="5"/>
  <c r="V79" i="5"/>
  <c r="W79" i="5"/>
  <c r="T79" i="5"/>
  <c r="U79" i="5"/>
  <c r="X82" i="5"/>
  <c r="T82" i="5"/>
  <c r="U82" i="5"/>
  <c r="W82" i="5"/>
  <c r="V82" i="5"/>
  <c r="X218" i="5"/>
  <c r="T218" i="5"/>
  <c r="U218" i="5"/>
  <c r="V218" i="5"/>
  <c r="W218" i="5"/>
  <c r="V19" i="5"/>
  <c r="W19" i="5"/>
  <c r="T19" i="5"/>
  <c r="U19" i="5"/>
  <c r="W21" i="5"/>
  <c r="T21" i="5"/>
  <c r="V21" i="5"/>
  <c r="U21" i="5"/>
  <c r="V59" i="5"/>
  <c r="W59" i="5"/>
  <c r="T59" i="5"/>
  <c r="U59" i="5"/>
  <c r="X308" i="5"/>
  <c r="W308" i="5"/>
  <c r="T308" i="5"/>
  <c r="V308" i="5"/>
  <c r="U308" i="5"/>
  <c r="U208" i="5"/>
  <c r="V208" i="5"/>
  <c r="W208" i="5"/>
  <c r="T208" i="5"/>
  <c r="T37" i="5"/>
  <c r="W37" i="5"/>
  <c r="V37" i="5"/>
  <c r="U37" i="5"/>
  <c r="V96" i="5"/>
  <c r="W96" i="5"/>
  <c r="U96" i="5"/>
  <c r="T96" i="5"/>
  <c r="X227" i="5"/>
  <c r="U227" i="5"/>
  <c r="V227" i="5"/>
  <c r="T227" i="5"/>
  <c r="W227" i="5"/>
  <c r="W8" i="5"/>
  <c r="T8" i="5"/>
  <c r="U8" i="5"/>
  <c r="V8" i="5"/>
  <c r="T119" i="5"/>
  <c r="U119" i="5"/>
  <c r="W119" i="5"/>
  <c r="V119" i="5"/>
  <c r="X61" i="5"/>
  <c r="W61" i="5"/>
  <c r="V61" i="5"/>
  <c r="T61" i="5"/>
  <c r="U61" i="5"/>
  <c r="V2" i="5"/>
  <c r="W2" i="5"/>
  <c r="T2" i="5"/>
  <c r="U2" i="5"/>
  <c r="X245" i="5"/>
  <c r="U245" i="5"/>
  <c r="V245" i="5"/>
  <c r="W245" i="5"/>
  <c r="T245" i="5"/>
  <c r="X94" i="5"/>
  <c r="V94" i="5"/>
  <c r="W94" i="5"/>
  <c r="T94" i="5"/>
  <c r="U94" i="5"/>
  <c r="T104" i="5"/>
  <c r="U104" i="5"/>
  <c r="W104" i="5"/>
  <c r="V104" i="5"/>
  <c r="V114" i="5"/>
  <c r="W114" i="5"/>
  <c r="T114" i="5"/>
  <c r="U114" i="5"/>
  <c r="T121" i="5"/>
  <c r="U121" i="5"/>
  <c r="V121" i="5"/>
  <c r="W121" i="5"/>
  <c r="V128" i="5"/>
  <c r="W128" i="5"/>
  <c r="T128" i="5"/>
  <c r="U128" i="5"/>
  <c r="V133" i="5"/>
  <c r="W133" i="5"/>
  <c r="U133" i="5"/>
  <c r="T133" i="5"/>
  <c r="W138" i="5"/>
  <c r="T138" i="5"/>
  <c r="V138" i="5"/>
  <c r="U138" i="5"/>
  <c r="U142" i="5"/>
  <c r="V142" i="5"/>
  <c r="W142" i="5"/>
  <c r="T142" i="5"/>
  <c r="W146" i="5"/>
  <c r="T146" i="5"/>
  <c r="U146" i="5"/>
  <c r="V146" i="5"/>
  <c r="V182" i="5"/>
  <c r="W182" i="5"/>
  <c r="T182" i="5"/>
  <c r="U182" i="5"/>
  <c r="U186" i="5"/>
  <c r="W186" i="5"/>
  <c r="V186" i="5"/>
  <c r="T186" i="5"/>
  <c r="X194" i="5"/>
  <c r="T194" i="5"/>
  <c r="U194" i="5"/>
  <c r="V194" i="5"/>
  <c r="W194" i="5"/>
  <c r="W257" i="5"/>
  <c r="T257" i="5"/>
  <c r="U257" i="5"/>
  <c r="V257" i="5"/>
  <c r="V268" i="5"/>
  <c r="W268" i="5"/>
  <c r="T268" i="5"/>
  <c r="U268" i="5"/>
  <c r="W281" i="5"/>
  <c r="T281" i="5"/>
  <c r="U281" i="5"/>
  <c r="V281" i="5"/>
  <c r="T326" i="5"/>
  <c r="U326" i="5"/>
  <c r="V326" i="5"/>
  <c r="W326" i="5"/>
  <c r="W365" i="5"/>
  <c r="T365" i="5"/>
  <c r="V365" i="5"/>
  <c r="U365" i="5"/>
  <c r="T433" i="5"/>
  <c r="U433" i="5"/>
  <c r="V433" i="5"/>
  <c r="W433" i="5"/>
  <c r="X7" i="5"/>
  <c r="T7" i="5"/>
  <c r="U7" i="5"/>
  <c r="W7" i="5"/>
  <c r="V7" i="5"/>
  <c r="X56" i="5"/>
  <c r="T56" i="5"/>
  <c r="U56" i="5"/>
  <c r="V56" i="5"/>
  <c r="W56" i="5"/>
  <c r="U64" i="5"/>
  <c r="V64" i="5"/>
  <c r="T64" i="5"/>
  <c r="W64" i="5"/>
  <c r="X72" i="5"/>
  <c r="V72" i="5"/>
  <c r="W72" i="5"/>
  <c r="T72" i="5"/>
  <c r="U72" i="5"/>
  <c r="X122" i="5"/>
  <c r="W122" i="5"/>
  <c r="T122" i="5"/>
  <c r="V122" i="5"/>
  <c r="U122" i="5"/>
  <c r="X150" i="5"/>
  <c r="U150" i="5"/>
  <c r="V150" i="5"/>
  <c r="T150" i="5"/>
  <c r="W150" i="5"/>
  <c r="W163" i="5"/>
  <c r="T163" i="5"/>
  <c r="V163" i="5"/>
  <c r="U163" i="5"/>
  <c r="T248" i="5"/>
  <c r="U248" i="5"/>
  <c r="V248" i="5"/>
  <c r="W248" i="5"/>
  <c r="V255" i="5"/>
  <c r="W255" i="5"/>
  <c r="T255" i="5"/>
  <c r="U255" i="5"/>
  <c r="X307" i="5"/>
  <c r="U307" i="5"/>
  <c r="V307" i="5"/>
  <c r="W307" i="5"/>
  <c r="T307" i="5"/>
  <c r="W399" i="5"/>
  <c r="T399" i="5"/>
  <c r="V399" i="5"/>
  <c r="U399" i="5"/>
  <c r="U151" i="5"/>
  <c r="V151" i="5"/>
  <c r="W151" i="5"/>
  <c r="T151" i="5"/>
  <c r="V160" i="5"/>
  <c r="W160" i="5"/>
  <c r="T160" i="5"/>
  <c r="U160" i="5"/>
  <c r="V168" i="5"/>
  <c r="W168" i="5"/>
  <c r="U168" i="5"/>
  <c r="T168" i="5"/>
  <c r="V176" i="5"/>
  <c r="W176" i="5"/>
  <c r="T176" i="5"/>
  <c r="U176" i="5"/>
  <c r="T193" i="5"/>
  <c r="U193" i="5"/>
  <c r="V193" i="5"/>
  <c r="W193" i="5"/>
  <c r="T203" i="5"/>
  <c r="U203" i="5"/>
  <c r="V203" i="5"/>
  <c r="W203" i="5"/>
  <c r="W211" i="5"/>
  <c r="T211" i="5"/>
  <c r="U211" i="5"/>
  <c r="V211" i="5"/>
  <c r="X219" i="5"/>
  <c r="U219" i="5"/>
  <c r="V219" i="5"/>
  <c r="W219" i="5"/>
  <c r="T219" i="5"/>
  <c r="X229" i="5"/>
  <c r="W229" i="5"/>
  <c r="T229" i="5"/>
  <c r="U229" i="5"/>
  <c r="V229" i="5"/>
  <c r="X237" i="5"/>
  <c r="U237" i="5"/>
  <c r="V237" i="5"/>
  <c r="T237" i="5"/>
  <c r="W237" i="5"/>
  <c r="W422" i="5"/>
  <c r="T422" i="5"/>
  <c r="U422" i="5"/>
  <c r="V422" i="5"/>
  <c r="X366" i="5"/>
  <c r="T366" i="5"/>
  <c r="U366" i="5"/>
  <c r="W366" i="5"/>
  <c r="V366" i="5"/>
  <c r="U402" i="5"/>
  <c r="V402" i="5"/>
  <c r="T402" i="5"/>
  <c r="W402" i="5"/>
  <c r="X54" i="5"/>
  <c r="U54" i="5"/>
  <c r="W54" i="5"/>
  <c r="V54" i="5"/>
  <c r="T54" i="5"/>
  <c r="X370" i="5"/>
  <c r="V370" i="5"/>
  <c r="W370" i="5"/>
  <c r="U370" i="5"/>
  <c r="T370" i="5"/>
  <c r="V331" i="5"/>
  <c r="W331" i="5"/>
  <c r="T331" i="5"/>
  <c r="U331" i="5"/>
  <c r="X383" i="5"/>
  <c r="U383" i="5"/>
  <c r="V383" i="5"/>
  <c r="T383" i="5"/>
  <c r="W383" i="5"/>
  <c r="U204" i="5"/>
  <c r="V204" i="5"/>
  <c r="T204" i="5"/>
  <c r="W204" i="5"/>
  <c r="V36" i="5"/>
  <c r="W36" i="5"/>
  <c r="T36" i="5"/>
  <c r="U36" i="5"/>
  <c r="X424" i="5"/>
  <c r="T424" i="5"/>
  <c r="U424" i="5"/>
  <c r="V424" i="5"/>
  <c r="W424" i="5"/>
  <c r="W335" i="5"/>
  <c r="T335" i="5"/>
  <c r="U335" i="5"/>
  <c r="V335" i="5"/>
  <c r="U400" i="5"/>
  <c r="V400" i="5"/>
  <c r="W400" i="5"/>
  <c r="T400" i="5"/>
  <c r="T297" i="5"/>
  <c r="U297" i="5"/>
  <c r="W297" i="5"/>
  <c r="V297" i="5"/>
  <c r="X384" i="5"/>
  <c r="W384" i="5"/>
  <c r="T384" i="5"/>
  <c r="V384" i="5"/>
  <c r="U384" i="5"/>
  <c r="W302" i="5"/>
  <c r="T302" i="5"/>
  <c r="U302" i="5"/>
  <c r="V302" i="5"/>
  <c r="T275" i="5"/>
  <c r="V275" i="5"/>
  <c r="W275" i="5"/>
  <c r="U275" i="5"/>
  <c r="T386" i="5"/>
  <c r="U386" i="5"/>
  <c r="V386" i="5"/>
  <c r="W386" i="5"/>
  <c r="X417" i="5"/>
  <c r="V417" i="5"/>
  <c r="W417" i="5"/>
  <c r="U417" i="5"/>
  <c r="T417" i="5"/>
  <c r="X341" i="5"/>
  <c r="W341" i="5"/>
  <c r="T341" i="5"/>
  <c r="U341" i="5"/>
  <c r="V341" i="5"/>
  <c r="W432" i="5"/>
  <c r="T432" i="5"/>
  <c r="U432" i="5"/>
  <c r="V432" i="5"/>
  <c r="X344" i="5"/>
  <c r="U344" i="5"/>
  <c r="V344" i="5"/>
  <c r="T344" i="5"/>
  <c r="W344" i="5"/>
  <c r="U312" i="5"/>
  <c r="V312" i="5"/>
  <c r="W312" i="5"/>
  <c r="T312" i="5"/>
  <c r="V388" i="5"/>
  <c r="W388" i="5"/>
  <c r="U388" i="5"/>
  <c r="T388" i="5"/>
  <c r="U337" i="5"/>
  <c r="V337" i="5"/>
  <c r="T337" i="5"/>
  <c r="W337" i="5"/>
  <c r="X411" i="5"/>
  <c r="V411" i="5"/>
  <c r="W411" i="5"/>
  <c r="U411" i="5"/>
  <c r="T411" i="5"/>
  <c r="V428" i="5"/>
  <c r="W428" i="5"/>
  <c r="U428" i="5"/>
  <c r="T428" i="5"/>
  <c r="V371" i="5"/>
  <c r="W371" i="5"/>
  <c r="U371" i="5"/>
  <c r="T371" i="5"/>
  <c r="X298" i="5"/>
  <c r="U298" i="5"/>
  <c r="V298" i="5"/>
  <c r="W298" i="5"/>
  <c r="T298" i="5"/>
  <c r="U394" i="5"/>
  <c r="V394" i="5"/>
  <c r="W394" i="5"/>
  <c r="T394" i="5"/>
  <c r="U12" i="5"/>
  <c r="V12" i="5"/>
  <c r="T12" i="5"/>
  <c r="W12" i="5"/>
  <c r="X320" i="5"/>
  <c r="U320" i="5"/>
  <c r="V320" i="5"/>
  <c r="T320" i="5"/>
  <c r="W320" i="5"/>
  <c r="X87" i="5"/>
  <c r="V87" i="5"/>
  <c r="W87" i="5"/>
  <c r="U87" i="5"/>
  <c r="T87" i="5"/>
  <c r="X73" i="5"/>
  <c r="T73" i="5"/>
  <c r="U73" i="5"/>
  <c r="V73" i="5"/>
  <c r="W73" i="5"/>
  <c r="T350" i="5"/>
  <c r="U350" i="5"/>
  <c r="V350" i="5"/>
  <c r="W350" i="5"/>
  <c r="X292" i="5"/>
  <c r="W292" i="5"/>
  <c r="T292" i="5"/>
  <c r="V292" i="5"/>
  <c r="U292" i="5"/>
  <c r="U389" i="5"/>
  <c r="V389" i="5"/>
  <c r="T389" i="5"/>
  <c r="W389" i="5"/>
  <c r="V330" i="5"/>
  <c r="W330" i="5"/>
  <c r="U330" i="5"/>
  <c r="T330" i="5"/>
  <c r="T324" i="5"/>
  <c r="U324" i="5"/>
  <c r="V324" i="5"/>
  <c r="W324" i="5"/>
  <c r="V301" i="5"/>
  <c r="W301" i="5"/>
  <c r="U301" i="5"/>
  <c r="T301" i="5"/>
  <c r="W303" i="5"/>
  <c r="T303" i="5"/>
  <c r="U303" i="5"/>
  <c r="V303" i="5"/>
  <c r="X403" i="5"/>
  <c r="T403" i="5"/>
  <c r="U403" i="5"/>
  <c r="V403" i="5"/>
  <c r="W403" i="5"/>
  <c r="V52" i="5"/>
  <c r="T52" i="5"/>
  <c r="U52" i="5"/>
  <c r="W52" i="5"/>
  <c r="U291" i="5"/>
  <c r="V291" i="5"/>
  <c r="W291" i="5"/>
  <c r="T291" i="5"/>
  <c r="W81" i="5"/>
  <c r="T81" i="5"/>
  <c r="U81" i="5"/>
  <c r="V81" i="5"/>
  <c r="T305" i="5"/>
  <c r="U305" i="5"/>
  <c r="V305" i="5"/>
  <c r="W305" i="5"/>
  <c r="T274" i="5"/>
  <c r="U274" i="5"/>
  <c r="V274" i="5"/>
  <c r="W274" i="5"/>
  <c r="W13" i="5"/>
  <c r="T13" i="5"/>
  <c r="V13" i="5"/>
  <c r="U13" i="5"/>
  <c r="T250" i="5"/>
  <c r="U250" i="5"/>
  <c r="V250" i="5"/>
  <c r="W250" i="5"/>
  <c r="V262" i="5"/>
  <c r="W262" i="5"/>
  <c r="T262" i="5"/>
  <c r="U262" i="5"/>
  <c r="T259" i="5"/>
  <c r="U259" i="5"/>
  <c r="V259" i="5"/>
  <c r="W259" i="5"/>
  <c r="T169" i="5"/>
  <c r="U169" i="5"/>
  <c r="V169" i="5"/>
  <c r="W169" i="5"/>
  <c r="X192" i="5"/>
  <c r="U192" i="5"/>
  <c r="V192" i="5"/>
  <c r="T192" i="5"/>
  <c r="W192" i="5"/>
  <c r="X10" i="5"/>
  <c r="V10" i="5"/>
  <c r="W10" i="5"/>
  <c r="T10" i="5"/>
  <c r="U10" i="5"/>
  <c r="T148" i="5"/>
  <c r="U148" i="5"/>
  <c r="W148" i="5"/>
  <c r="V148" i="5"/>
  <c r="X25" i="5"/>
  <c r="U25" i="5"/>
  <c r="V25" i="5"/>
  <c r="W25" i="5"/>
  <c r="T25" i="5"/>
  <c r="X200" i="5"/>
  <c r="U200" i="5"/>
  <c r="V200" i="5"/>
  <c r="W200" i="5"/>
  <c r="T200" i="5"/>
  <c r="U90" i="5"/>
  <c r="V90" i="5"/>
  <c r="T90" i="5"/>
  <c r="W90" i="5"/>
  <c r="T109" i="5"/>
  <c r="U109" i="5"/>
  <c r="V109" i="5"/>
  <c r="W109" i="5"/>
  <c r="W216" i="5"/>
  <c r="T216" i="5"/>
  <c r="V216" i="5"/>
  <c r="U216" i="5"/>
  <c r="X212" i="5"/>
  <c r="T212" i="5"/>
  <c r="U212" i="5"/>
  <c r="V212" i="5"/>
  <c r="W212" i="5"/>
  <c r="X112" i="5"/>
  <c r="W112" i="5"/>
  <c r="T112" i="5"/>
  <c r="V112" i="5"/>
  <c r="U112" i="5"/>
  <c r="X11" i="5"/>
  <c r="V11" i="5"/>
  <c r="W11" i="5"/>
  <c r="U11" i="5"/>
  <c r="T11" i="5"/>
  <c r="X317" i="5"/>
  <c r="V317" i="5"/>
  <c r="W317" i="5"/>
  <c r="U317" i="5"/>
  <c r="T317" i="5"/>
  <c r="V244" i="5"/>
  <c r="W244" i="5"/>
  <c r="U244" i="5"/>
  <c r="T244" i="5"/>
  <c r="T53" i="5"/>
  <c r="U53" i="5"/>
  <c r="V53" i="5"/>
  <c r="W53" i="5"/>
  <c r="X93" i="5"/>
  <c r="U93" i="5"/>
  <c r="V93" i="5"/>
  <c r="T93" i="5"/>
  <c r="W93" i="5"/>
  <c r="V69" i="5"/>
  <c r="W69" i="5"/>
  <c r="U69" i="5"/>
  <c r="T69" i="5"/>
  <c r="X65" i="5"/>
  <c r="W65" i="5"/>
  <c r="T65" i="5"/>
  <c r="U65" i="5"/>
  <c r="V65" i="5"/>
  <c r="X51" i="5"/>
  <c r="W51" i="5"/>
  <c r="T51" i="5"/>
  <c r="U51" i="5"/>
  <c r="V51" i="5"/>
  <c r="W100" i="5"/>
  <c r="U100" i="5"/>
  <c r="V100" i="5"/>
  <c r="T100" i="5"/>
  <c r="U198" i="5"/>
  <c r="V198" i="5"/>
  <c r="T198" i="5"/>
  <c r="W198" i="5"/>
  <c r="W42" i="5"/>
  <c r="T42" i="5"/>
  <c r="U42" i="5"/>
  <c r="V42" i="5"/>
  <c r="U74" i="5"/>
  <c r="V74" i="5"/>
  <c r="T74" i="5"/>
  <c r="W74" i="5"/>
  <c r="V309" i="5"/>
  <c r="W309" i="5"/>
  <c r="T309" i="5"/>
  <c r="U309" i="5"/>
  <c r="V3" i="5"/>
  <c r="W3" i="5"/>
  <c r="U3" i="5"/>
  <c r="T3" i="5"/>
  <c r="T97" i="5"/>
  <c r="W97" i="5"/>
  <c r="V97" i="5"/>
  <c r="U97" i="5"/>
  <c r="X105" i="5"/>
  <c r="W105" i="5"/>
  <c r="T105" i="5"/>
  <c r="U105" i="5"/>
  <c r="V105" i="5"/>
  <c r="V115" i="5"/>
  <c r="W115" i="5"/>
  <c r="U115" i="5"/>
  <c r="T115" i="5"/>
  <c r="V125" i="5"/>
  <c r="W125" i="5"/>
  <c r="T125" i="5"/>
  <c r="U125" i="5"/>
  <c r="T129" i="5"/>
  <c r="U129" i="5"/>
  <c r="W129" i="5"/>
  <c r="V129" i="5"/>
  <c r="U134" i="5"/>
  <c r="V134" i="5"/>
  <c r="T134" i="5"/>
  <c r="W134" i="5"/>
  <c r="W139" i="5"/>
  <c r="T139" i="5"/>
  <c r="U139" i="5"/>
  <c r="V139" i="5"/>
  <c r="U143" i="5"/>
  <c r="V143" i="5"/>
  <c r="T143" i="5"/>
  <c r="W143" i="5"/>
  <c r="X147" i="5"/>
  <c r="W147" i="5"/>
  <c r="T147" i="5"/>
  <c r="V147" i="5"/>
  <c r="U147" i="5"/>
  <c r="U183" i="5"/>
  <c r="W183" i="5"/>
  <c r="V183" i="5"/>
  <c r="T183" i="5"/>
  <c r="U187" i="5"/>
  <c r="T187" i="5"/>
  <c r="W187" i="5"/>
  <c r="V187" i="5"/>
  <c r="W195" i="5"/>
  <c r="T195" i="5"/>
  <c r="U195" i="5"/>
  <c r="V195" i="5"/>
  <c r="V263" i="5"/>
  <c r="W263" i="5"/>
  <c r="U263" i="5"/>
  <c r="T263" i="5"/>
  <c r="V271" i="5"/>
  <c r="U271" i="5"/>
  <c r="W271" i="5"/>
  <c r="T271" i="5"/>
  <c r="X283" i="5"/>
  <c r="T283" i="5"/>
  <c r="U283" i="5"/>
  <c r="V283" i="5"/>
  <c r="W283" i="5"/>
  <c r="X332" i="5"/>
  <c r="T332" i="5"/>
  <c r="U332" i="5"/>
  <c r="V332" i="5"/>
  <c r="W332" i="5"/>
  <c r="W398" i="5"/>
  <c r="T398" i="5"/>
  <c r="V398" i="5"/>
  <c r="U398" i="5"/>
  <c r="X35" i="5"/>
  <c r="W35" i="5"/>
  <c r="V35" i="5"/>
  <c r="T35" i="5"/>
  <c r="U35" i="5"/>
  <c r="X58" i="5"/>
  <c r="W58" i="5"/>
  <c r="V58" i="5"/>
  <c r="U58" i="5"/>
  <c r="T58" i="5"/>
  <c r="T66" i="5"/>
  <c r="U66" i="5"/>
  <c r="W66" i="5"/>
  <c r="V66" i="5"/>
  <c r="U77" i="5"/>
  <c r="V77" i="5"/>
  <c r="W77" i="5"/>
  <c r="T77" i="5"/>
  <c r="W123" i="5"/>
  <c r="T123" i="5"/>
  <c r="U123" i="5"/>
  <c r="V123" i="5"/>
  <c r="X152" i="5"/>
  <c r="V152" i="5"/>
  <c r="W152" i="5"/>
  <c r="U152" i="5"/>
  <c r="T152" i="5"/>
  <c r="V173" i="5"/>
  <c r="W173" i="5"/>
  <c r="T173" i="5"/>
  <c r="U173" i="5"/>
  <c r="W249" i="5"/>
  <c r="T249" i="5"/>
  <c r="U249" i="5"/>
  <c r="V249" i="5"/>
  <c r="U261" i="5"/>
  <c r="V261" i="5"/>
  <c r="W261" i="5"/>
  <c r="T261" i="5"/>
  <c r="T340" i="5"/>
  <c r="U340" i="5"/>
  <c r="V340" i="5"/>
  <c r="W340" i="5"/>
  <c r="W435" i="5"/>
  <c r="T435" i="5"/>
  <c r="U435" i="5"/>
  <c r="V435" i="5"/>
  <c r="U20" i="5"/>
  <c r="V20" i="5"/>
  <c r="T20" i="5"/>
  <c r="W20" i="5"/>
  <c r="T153" i="5"/>
  <c r="U153" i="5"/>
  <c r="V153" i="5"/>
  <c r="W153" i="5"/>
  <c r="W162" i="5"/>
  <c r="T162" i="5"/>
  <c r="U162" i="5"/>
  <c r="V162" i="5"/>
  <c r="W170" i="5"/>
  <c r="T170" i="5"/>
  <c r="V170" i="5"/>
  <c r="U170" i="5"/>
  <c r="W178" i="5"/>
  <c r="V178" i="5"/>
  <c r="T178" i="5"/>
  <c r="U178" i="5"/>
  <c r="W197" i="5"/>
  <c r="T197" i="5"/>
  <c r="U197" i="5"/>
  <c r="V197" i="5"/>
  <c r="W205" i="5"/>
  <c r="T205" i="5"/>
  <c r="U205" i="5"/>
  <c r="V205" i="5"/>
  <c r="W213" i="5"/>
  <c r="T213" i="5"/>
  <c r="V213" i="5"/>
  <c r="U213" i="5"/>
  <c r="X221" i="5"/>
  <c r="W221" i="5"/>
  <c r="T221" i="5"/>
  <c r="V221" i="5"/>
  <c r="U221" i="5"/>
  <c r="X231" i="5"/>
  <c r="W231" i="5"/>
  <c r="T231" i="5"/>
  <c r="V231" i="5"/>
  <c r="U231" i="5"/>
  <c r="X239" i="5"/>
  <c r="V239" i="5"/>
  <c r="W239" i="5"/>
  <c r="T239" i="5"/>
  <c r="U239" i="5"/>
  <c r="U436" i="5"/>
  <c r="V436" i="5"/>
  <c r="T436" i="5"/>
  <c r="W436" i="5"/>
  <c r="V278" i="5"/>
  <c r="T278" i="5"/>
  <c r="U278" i="5"/>
  <c r="W278" i="5"/>
  <c r="W430" i="5"/>
  <c r="T430" i="5"/>
  <c r="V430" i="5"/>
  <c r="U430" i="5"/>
  <c r="T40" i="5"/>
  <c r="W40" i="5"/>
  <c r="U40" i="5"/>
  <c r="V40" i="5"/>
  <c r="V404" i="5"/>
  <c r="W404" i="5"/>
  <c r="U404" i="5"/>
  <c r="T404" i="5"/>
  <c r="W381" i="5"/>
  <c r="T381" i="5"/>
  <c r="V381" i="5"/>
  <c r="U381" i="5"/>
  <c r="X17" i="5"/>
  <c r="U17" i="5"/>
  <c r="V17" i="5"/>
  <c r="T17" i="5"/>
  <c r="W17" i="5"/>
  <c r="X406" i="5"/>
  <c r="W406" i="5"/>
  <c r="T406" i="5"/>
  <c r="U406" i="5"/>
  <c r="V406" i="5"/>
  <c r="U369" i="5"/>
  <c r="V369" i="5"/>
  <c r="T369" i="5"/>
  <c r="W369" i="5"/>
  <c r="U328" i="5"/>
  <c r="V328" i="5"/>
  <c r="T328" i="5"/>
  <c r="W328" i="5"/>
  <c r="V409" i="5"/>
  <c r="W409" i="5"/>
  <c r="T409" i="5"/>
  <c r="U409" i="5"/>
  <c r="V414" i="5"/>
  <c r="W414" i="5"/>
  <c r="U414" i="5"/>
  <c r="T414" i="5"/>
  <c r="W357" i="5"/>
  <c r="T357" i="5"/>
  <c r="U357" i="5"/>
  <c r="V357" i="5"/>
  <c r="U345" i="5"/>
  <c r="V345" i="5"/>
  <c r="T345" i="5"/>
  <c r="W345" i="5"/>
  <c r="V44" i="5"/>
  <c r="U44" i="5"/>
  <c r="W44" i="5"/>
  <c r="T44" i="5"/>
  <c r="W286" i="5"/>
  <c r="T286" i="5"/>
  <c r="V286" i="5"/>
  <c r="U286" i="5"/>
  <c r="U352" i="5"/>
  <c r="V352" i="5"/>
  <c r="T352" i="5"/>
  <c r="W352" i="5"/>
  <c r="W419" i="5"/>
  <c r="T419" i="5"/>
  <c r="U419" i="5"/>
  <c r="V419" i="5"/>
  <c r="W359" i="5"/>
  <c r="T359" i="5"/>
  <c r="U359" i="5"/>
  <c r="V359" i="5"/>
  <c r="U361" i="5"/>
  <c r="V361" i="5"/>
  <c r="T361" i="5"/>
  <c r="W361" i="5"/>
  <c r="V363" i="5"/>
  <c r="W363" i="5"/>
  <c r="T363" i="5"/>
  <c r="U363" i="5"/>
  <c r="V339" i="5"/>
  <c r="W339" i="5"/>
  <c r="U339" i="5"/>
  <c r="T339" i="5"/>
  <c r="U306" i="5"/>
  <c r="V306" i="5"/>
  <c r="W306" i="5"/>
  <c r="T306" i="5"/>
  <c r="X385" i="5"/>
  <c r="V385" i="5"/>
  <c r="W385" i="5"/>
  <c r="U385" i="5"/>
  <c r="T385" i="5"/>
  <c r="X358" i="5"/>
  <c r="T358" i="5"/>
  <c r="U358" i="5"/>
  <c r="V358" i="5"/>
  <c r="W358" i="5"/>
  <c r="X300" i="5"/>
  <c r="W300" i="5"/>
  <c r="T300" i="5"/>
  <c r="U300" i="5"/>
  <c r="V300" i="5"/>
  <c r="T313" i="5"/>
  <c r="U313" i="5"/>
  <c r="W313" i="5"/>
  <c r="V313" i="5"/>
  <c r="T348" i="5"/>
  <c r="U348" i="5"/>
  <c r="V348" i="5"/>
  <c r="W348" i="5"/>
  <c r="W86" i="5"/>
  <c r="T86" i="5"/>
  <c r="U86" i="5"/>
  <c r="V86" i="5"/>
  <c r="V322" i="5"/>
  <c r="W322" i="5"/>
  <c r="U322" i="5"/>
  <c r="T322" i="5"/>
  <c r="T395" i="5"/>
  <c r="U395" i="5"/>
  <c r="W395" i="5"/>
  <c r="V395" i="5"/>
  <c r="T15" i="5"/>
  <c r="U15" i="5"/>
  <c r="W15" i="5"/>
  <c r="V15" i="5"/>
  <c r="W287" i="5"/>
  <c r="T287" i="5"/>
  <c r="U287" i="5"/>
  <c r="V287" i="5"/>
  <c r="U80" i="5"/>
  <c r="V80" i="5"/>
  <c r="W80" i="5"/>
  <c r="T80" i="5"/>
  <c r="W284" i="5"/>
  <c r="T284" i="5"/>
  <c r="U284" i="5"/>
  <c r="V284" i="5"/>
  <c r="U315" i="5"/>
  <c r="V315" i="5"/>
  <c r="T315" i="5"/>
  <c r="W315" i="5"/>
  <c r="W310" i="5"/>
  <c r="T310" i="5"/>
  <c r="V310" i="5"/>
  <c r="U310" i="5"/>
  <c r="W295" i="5"/>
  <c r="T295" i="5"/>
  <c r="V295" i="5"/>
  <c r="U295" i="5"/>
  <c r="V18" i="5"/>
  <c r="W18" i="5"/>
  <c r="U18" i="5"/>
  <c r="T18" i="5"/>
  <c r="U277" i="5"/>
  <c r="T277" i="5"/>
  <c r="V277" i="5"/>
  <c r="W277" i="5"/>
  <c r="T258" i="5"/>
  <c r="U258" i="5"/>
  <c r="V258" i="5"/>
  <c r="W258" i="5"/>
  <c r="U253" i="5"/>
  <c r="V253" i="5"/>
  <c r="T253" i="5"/>
  <c r="W253" i="5"/>
  <c r="T256" i="5"/>
  <c r="U256" i="5"/>
  <c r="V256" i="5"/>
  <c r="W256" i="5"/>
  <c r="T177" i="5"/>
  <c r="W177" i="5"/>
  <c r="U177" i="5"/>
  <c r="V177" i="5"/>
  <c r="T89" i="5"/>
  <c r="U89" i="5"/>
  <c r="V89" i="5"/>
  <c r="W89" i="5"/>
  <c r="W154" i="5"/>
  <c r="T154" i="5"/>
  <c r="V154" i="5"/>
  <c r="U154" i="5"/>
  <c r="X9" i="5"/>
  <c r="U9" i="5"/>
  <c r="V9" i="5"/>
  <c r="T9" i="5"/>
  <c r="W9" i="5"/>
  <c r="T242" i="5"/>
  <c r="U242" i="5"/>
  <c r="V242" i="5"/>
  <c r="W242" i="5"/>
  <c r="W223" i="5"/>
  <c r="T223" i="5"/>
  <c r="U223" i="5"/>
  <c r="V223" i="5"/>
  <c r="T202" i="5"/>
  <c r="U202" i="5"/>
  <c r="W202" i="5"/>
  <c r="V202" i="5"/>
  <c r="T14" i="5"/>
  <c r="U14" i="5"/>
  <c r="V14" i="5"/>
  <c r="W14" i="5"/>
  <c r="V214" i="5"/>
  <c r="W214" i="5"/>
  <c r="T214" i="5"/>
  <c r="U214" i="5"/>
  <c r="X32" i="5"/>
  <c r="W32" i="5"/>
  <c r="T32" i="5"/>
  <c r="U32" i="5"/>
  <c r="V32" i="5"/>
  <c r="U228" i="5"/>
  <c r="V228" i="5"/>
  <c r="W228" i="5"/>
  <c r="T228" i="5"/>
  <c r="T48" i="5"/>
  <c r="V48" i="5"/>
  <c r="W48" i="5"/>
  <c r="U48" i="5"/>
  <c r="V33" i="5"/>
  <c r="W33" i="5"/>
  <c r="T33" i="5"/>
  <c r="U33" i="5"/>
  <c r="T30" i="5"/>
  <c r="U30" i="5"/>
  <c r="W30" i="5"/>
  <c r="V30" i="5"/>
  <c r="V355" i="5"/>
  <c r="W355" i="5"/>
  <c r="U355" i="5"/>
  <c r="T355" i="5"/>
  <c r="V57" i="5"/>
  <c r="T57" i="5"/>
  <c r="U57" i="5"/>
  <c r="W57" i="5"/>
  <c r="V236" i="5"/>
  <c r="W236" i="5"/>
  <c r="U236" i="5"/>
  <c r="X47" i="5"/>
  <c r="U47" i="5"/>
  <c r="T47" i="5"/>
  <c r="V47" i="5"/>
  <c r="W47" i="5"/>
  <c r="U103" i="5"/>
  <c r="V103" i="5"/>
  <c r="T103" i="5"/>
  <c r="W103" i="5"/>
  <c r="U46" i="5"/>
  <c r="T46" i="5"/>
  <c r="V46" i="5"/>
  <c r="W46" i="5"/>
  <c r="V120" i="5"/>
  <c r="W120" i="5"/>
  <c r="U120" i="5"/>
  <c r="T120" i="5"/>
  <c r="U4" i="5"/>
  <c r="V4" i="5"/>
  <c r="W4" i="5"/>
  <c r="T4" i="5"/>
  <c r="W101" i="5"/>
  <c r="V101" i="5"/>
  <c r="U101" i="5"/>
  <c r="T101" i="5"/>
  <c r="T106" i="5"/>
  <c r="U106" i="5"/>
  <c r="V106" i="5"/>
  <c r="W106" i="5"/>
  <c r="T116" i="5"/>
  <c r="U116" i="5"/>
  <c r="V116" i="5"/>
  <c r="W116" i="5"/>
  <c r="X126" i="5"/>
  <c r="U126" i="5"/>
  <c r="V126" i="5"/>
  <c r="W126" i="5"/>
  <c r="T126" i="5"/>
  <c r="X130" i="5"/>
  <c r="W130" i="5"/>
  <c r="T130" i="5"/>
  <c r="U130" i="5"/>
  <c r="V130" i="5"/>
  <c r="U135" i="5"/>
  <c r="V135" i="5"/>
  <c r="W135" i="5"/>
  <c r="T135" i="5"/>
  <c r="T140" i="5"/>
  <c r="U140" i="5"/>
  <c r="V140" i="5"/>
  <c r="W140" i="5"/>
  <c r="V144" i="5"/>
  <c r="W144" i="5"/>
  <c r="T144" i="5"/>
  <c r="U144" i="5"/>
  <c r="U158" i="5"/>
  <c r="V158" i="5"/>
  <c r="W158" i="5"/>
  <c r="T158" i="5"/>
  <c r="V184" i="5"/>
  <c r="U184" i="5"/>
  <c r="W184" i="5"/>
  <c r="T184" i="5"/>
  <c r="V188" i="5"/>
  <c r="W188" i="5"/>
  <c r="T188" i="5"/>
  <c r="U188" i="5"/>
  <c r="V246" i="5"/>
  <c r="W246" i="5"/>
  <c r="T246" i="5"/>
  <c r="U246" i="5"/>
  <c r="X264" i="5"/>
  <c r="T264" i="5"/>
  <c r="U264" i="5"/>
  <c r="V264" i="5"/>
  <c r="W264" i="5"/>
  <c r="T272" i="5"/>
  <c r="V272" i="5"/>
  <c r="W272" i="5"/>
  <c r="U272" i="5"/>
  <c r="X288" i="5"/>
  <c r="U288" i="5"/>
  <c r="V288" i="5"/>
  <c r="T288" i="5"/>
  <c r="W288" i="5"/>
  <c r="U353" i="5"/>
  <c r="V353" i="5"/>
  <c r="T353" i="5"/>
  <c r="W353" i="5"/>
  <c r="W421" i="5"/>
  <c r="T421" i="5"/>
  <c r="V421" i="5"/>
  <c r="U421" i="5"/>
  <c r="U38" i="5"/>
  <c r="T38" i="5"/>
  <c r="V38" i="5"/>
  <c r="W38" i="5"/>
  <c r="U60" i="5"/>
  <c r="W60" i="5"/>
  <c r="T60" i="5"/>
  <c r="V60" i="5"/>
  <c r="T67" i="5"/>
  <c r="U67" i="5"/>
  <c r="V67" i="5"/>
  <c r="W67" i="5"/>
  <c r="X92" i="5"/>
  <c r="W92" i="5"/>
  <c r="T92" i="5"/>
  <c r="U92" i="5"/>
  <c r="V92" i="5"/>
  <c r="T124" i="5"/>
  <c r="U124" i="5"/>
  <c r="V124" i="5"/>
  <c r="W124" i="5"/>
  <c r="T156" i="5"/>
  <c r="U156" i="5"/>
  <c r="V156" i="5"/>
  <c r="W156" i="5"/>
  <c r="T180" i="5"/>
  <c r="W180" i="5"/>
  <c r="U180" i="5"/>
  <c r="V180" i="5"/>
  <c r="T251" i="5"/>
  <c r="U251" i="5"/>
  <c r="V251" i="5"/>
  <c r="W251" i="5"/>
  <c r="V270" i="5"/>
  <c r="T270" i="5"/>
  <c r="U270" i="5"/>
  <c r="W270" i="5"/>
  <c r="W367" i="5"/>
  <c r="T367" i="5"/>
  <c r="U367" i="5"/>
  <c r="V367" i="5"/>
  <c r="W24" i="5"/>
  <c r="T24" i="5"/>
  <c r="V24" i="5"/>
  <c r="U24" i="5"/>
  <c r="W155" i="5"/>
  <c r="T155" i="5"/>
  <c r="U155" i="5"/>
  <c r="V155" i="5"/>
  <c r="T164" i="5"/>
  <c r="U164" i="5"/>
  <c r="W164" i="5"/>
  <c r="V164" i="5"/>
  <c r="X172" i="5"/>
  <c r="T172" i="5"/>
  <c r="U172" i="5"/>
  <c r="V172" i="5"/>
  <c r="W172" i="5"/>
  <c r="X181" i="5"/>
  <c r="V181" i="5"/>
  <c r="U181" i="5"/>
  <c r="W181" i="5"/>
  <c r="T181" i="5"/>
  <c r="T199" i="5"/>
  <c r="U199" i="5"/>
  <c r="V199" i="5"/>
  <c r="W199" i="5"/>
  <c r="T207" i="5"/>
  <c r="U207" i="5"/>
  <c r="V207" i="5"/>
  <c r="W207" i="5"/>
  <c r="W215" i="5"/>
  <c r="T215" i="5"/>
  <c r="U215" i="5"/>
  <c r="V215" i="5"/>
  <c r="X224" i="5"/>
  <c r="W224" i="5"/>
  <c r="T224" i="5"/>
  <c r="U224" i="5"/>
  <c r="V224" i="5"/>
  <c r="X233" i="5"/>
  <c r="U233" i="5"/>
  <c r="V233" i="5"/>
  <c r="T233" i="5"/>
  <c r="W233" i="5"/>
  <c r="X241" i="5"/>
  <c r="W241" i="5"/>
  <c r="T241" i="5"/>
  <c r="V241" i="5"/>
  <c r="U241" i="5"/>
  <c r="T434" i="5"/>
  <c r="U434" i="5"/>
  <c r="W434" i="5"/>
  <c r="V434" i="5"/>
  <c r="T68" i="5"/>
  <c r="U68" i="5"/>
  <c r="W68" i="5"/>
  <c r="V68" i="5"/>
  <c r="U55" i="5"/>
  <c r="T55" i="5"/>
  <c r="V55" i="5"/>
  <c r="W55" i="5"/>
  <c r="X438" i="5"/>
  <c r="V438" i="5"/>
  <c r="W438" i="5"/>
  <c r="T438" i="5"/>
  <c r="U438" i="5"/>
  <c r="X373" i="5"/>
  <c r="W373" i="5"/>
  <c r="T373" i="5"/>
  <c r="U373" i="5"/>
  <c r="V373" i="5"/>
  <c r="X108" i="5"/>
  <c r="V108" i="5"/>
  <c r="W108" i="5"/>
  <c r="T108" i="5"/>
  <c r="U108" i="5"/>
  <c r="V412" i="5"/>
  <c r="W412" i="5"/>
  <c r="U412" i="5"/>
  <c r="T412" i="5"/>
  <c r="T83" i="5"/>
  <c r="U83" i="5"/>
  <c r="V83" i="5"/>
  <c r="W83" i="5"/>
  <c r="U425" i="5"/>
  <c r="V425" i="5"/>
  <c r="W425" i="5"/>
  <c r="T425" i="5"/>
  <c r="X413" i="5"/>
  <c r="U413" i="5"/>
  <c r="V413" i="5"/>
  <c r="T413" i="5"/>
  <c r="W413" i="5"/>
  <c r="X407" i="5"/>
  <c r="U407" i="5"/>
  <c r="V407" i="5"/>
  <c r="T407" i="5"/>
  <c r="W407" i="5"/>
  <c r="W416" i="5"/>
  <c r="T416" i="5"/>
  <c r="U416" i="5"/>
  <c r="V416" i="5"/>
  <c r="T374" i="5"/>
  <c r="U374" i="5"/>
  <c r="V374" i="5"/>
  <c r="W374" i="5"/>
  <c r="X343" i="5"/>
  <c r="W343" i="5"/>
  <c r="T343" i="5"/>
  <c r="U343" i="5"/>
  <c r="V343" i="5"/>
  <c r="U426" i="5"/>
  <c r="V426" i="5"/>
  <c r="W426" i="5"/>
  <c r="T426" i="5"/>
  <c r="U431" i="5"/>
  <c r="V431" i="5"/>
  <c r="W431" i="5"/>
  <c r="T431" i="5"/>
  <c r="T118" i="5"/>
  <c r="U118" i="5"/>
  <c r="V118" i="5"/>
  <c r="W118" i="5"/>
  <c r="V362" i="5"/>
  <c r="W362" i="5"/>
  <c r="U362" i="5"/>
  <c r="T362" i="5"/>
  <c r="X408" i="5"/>
  <c r="T408" i="5"/>
  <c r="U408" i="5"/>
  <c r="V408" i="5"/>
  <c r="W408" i="5"/>
  <c r="W294" i="5"/>
  <c r="T294" i="5"/>
  <c r="U294" i="5"/>
  <c r="V294" i="5"/>
  <c r="V285" i="5"/>
  <c r="W285" i="5"/>
  <c r="U285" i="5"/>
  <c r="T285" i="5"/>
  <c r="X346" i="5"/>
  <c r="V346" i="5"/>
  <c r="W346" i="5"/>
  <c r="U346" i="5"/>
  <c r="T346" i="5"/>
  <c r="V323" i="5"/>
  <c r="W323" i="5"/>
  <c r="U323" i="5"/>
  <c r="T323" i="5"/>
  <c r="T380" i="5"/>
  <c r="U380" i="5"/>
  <c r="V380" i="5"/>
  <c r="W380" i="5"/>
  <c r="X427" i="5"/>
  <c r="W427" i="5"/>
  <c r="T427" i="5"/>
  <c r="V427" i="5"/>
  <c r="U427" i="5"/>
  <c r="V27" i="5"/>
  <c r="W27" i="5"/>
  <c r="T27" i="5"/>
  <c r="U27" i="5"/>
  <c r="X98" i="5"/>
  <c r="U98" i="5"/>
  <c r="T98" i="5"/>
  <c r="V98" i="5"/>
  <c r="W98" i="5"/>
  <c r="U415" i="5"/>
  <c r="V415" i="5"/>
  <c r="W415" i="5"/>
  <c r="T415" i="5"/>
  <c r="T22" i="5"/>
  <c r="U22" i="5"/>
  <c r="W22" i="5"/>
  <c r="V22" i="5"/>
  <c r="W333" i="5"/>
  <c r="T333" i="5"/>
  <c r="V333" i="5"/>
  <c r="U333" i="5"/>
  <c r="X321" i="5"/>
  <c r="U321" i="5"/>
  <c r="V321" i="5"/>
  <c r="W321" i="5"/>
  <c r="T321" i="5"/>
  <c r="X354" i="5"/>
  <c r="V354" i="5"/>
  <c r="W354" i="5"/>
  <c r="T354" i="5"/>
  <c r="U354" i="5"/>
  <c r="U360" i="5"/>
  <c r="V360" i="5"/>
  <c r="T360" i="5"/>
  <c r="W360" i="5"/>
  <c r="V347" i="5"/>
  <c r="W347" i="5"/>
  <c r="U347" i="5"/>
  <c r="T347" i="5"/>
  <c r="T45" i="5"/>
  <c r="V45" i="5"/>
  <c r="W45" i="5"/>
  <c r="U45" i="5"/>
  <c r="V279" i="5"/>
  <c r="T279" i="5"/>
  <c r="U279" i="5"/>
  <c r="W279" i="5"/>
  <c r="U290" i="5"/>
  <c r="V290" i="5"/>
  <c r="W290" i="5"/>
  <c r="T290" i="5"/>
  <c r="W311" i="5"/>
  <c r="T311" i="5"/>
  <c r="V311" i="5"/>
  <c r="U311" i="5"/>
  <c r="W391" i="5"/>
  <c r="T391" i="5"/>
  <c r="U391" i="5"/>
  <c r="V391" i="5"/>
  <c r="U392" i="5"/>
  <c r="V392" i="5"/>
  <c r="T392" i="5"/>
  <c r="W392" i="5"/>
  <c r="U304" i="5"/>
  <c r="V304" i="5"/>
  <c r="T304" i="5"/>
  <c r="W304" i="5"/>
  <c r="X26" i="5"/>
  <c r="V26" i="5"/>
  <c r="W26" i="5"/>
  <c r="U26" i="5"/>
  <c r="T26" i="5"/>
  <c r="T267" i="5"/>
  <c r="U267" i="5"/>
  <c r="V267" i="5"/>
  <c r="W267" i="5"/>
  <c r="V260" i="5"/>
  <c r="W260" i="5"/>
  <c r="U260" i="5"/>
  <c r="T260" i="5"/>
  <c r="T75" i="5"/>
  <c r="U75" i="5"/>
  <c r="V75" i="5"/>
  <c r="W75" i="5"/>
  <c r="X266" i="5"/>
  <c r="T266" i="5"/>
  <c r="U266" i="5"/>
  <c r="V266" i="5"/>
  <c r="W266" i="5"/>
  <c r="V165" i="5"/>
  <c r="W165" i="5"/>
  <c r="U165" i="5"/>
  <c r="T165" i="5"/>
  <c r="T196" i="5"/>
  <c r="U196" i="5"/>
  <c r="V196" i="5"/>
  <c r="W196" i="5"/>
  <c r="W16" i="5"/>
  <c r="T16" i="5"/>
  <c r="U16" i="5"/>
  <c r="V16" i="5"/>
  <c r="W171" i="5"/>
  <c r="T171" i="5"/>
  <c r="U171" i="5"/>
  <c r="V171" i="5"/>
  <c r="W76" i="5"/>
  <c r="T76" i="5"/>
  <c r="V76" i="5"/>
  <c r="U76" i="5"/>
  <c r="X240" i="5"/>
  <c r="T240" i="5"/>
  <c r="U240" i="5"/>
  <c r="V240" i="5"/>
  <c r="W240" i="5"/>
  <c r="V206" i="5"/>
  <c r="W206" i="5"/>
  <c r="U206" i="5"/>
  <c r="T206" i="5"/>
  <c r="X238" i="5"/>
  <c r="V238" i="5"/>
  <c r="W238" i="5"/>
  <c r="U238" i="5"/>
  <c r="T238" i="5"/>
  <c r="X234" i="5"/>
  <c r="T234" i="5"/>
  <c r="U234" i="5"/>
  <c r="W234" i="5"/>
  <c r="V234" i="5"/>
  <c r="U110" i="5"/>
  <c r="V110" i="5"/>
  <c r="T110" i="5"/>
  <c r="W110" i="5"/>
  <c r="W232" i="5"/>
  <c r="T232" i="5"/>
  <c r="U232" i="5"/>
  <c r="V232" i="5"/>
  <c r="V49" i="5"/>
  <c r="T49" i="5"/>
  <c r="U49" i="5"/>
  <c r="W49" i="5"/>
  <c r="U39" i="5"/>
  <c r="V39" i="5"/>
  <c r="W39" i="5"/>
  <c r="T39" i="5"/>
  <c r="T91" i="5"/>
  <c r="U91" i="5"/>
  <c r="V91" i="5"/>
  <c r="W91" i="5"/>
  <c r="W50" i="5"/>
  <c r="T50" i="5"/>
  <c r="U50" i="5"/>
  <c r="V50" i="5"/>
  <c r="V222" i="5"/>
  <c r="W222" i="5"/>
  <c r="T222" i="5"/>
  <c r="U222" i="5"/>
  <c r="T401" i="5"/>
  <c r="U401" i="5"/>
  <c r="W401" i="5"/>
  <c r="V401" i="5"/>
  <c r="T210" i="5"/>
  <c r="U210" i="5"/>
  <c r="W210" i="5"/>
  <c r="V210" i="5"/>
  <c r="V85" i="5"/>
  <c r="W85" i="5"/>
  <c r="T85" i="5"/>
  <c r="U85" i="5"/>
  <c r="V41" i="5"/>
  <c r="U41" i="5"/>
  <c r="W41" i="5"/>
  <c r="T41" i="5"/>
  <c r="U113" i="5"/>
  <c r="V113" i="5"/>
  <c r="W113" i="5"/>
  <c r="T113" i="5"/>
  <c r="V71" i="5"/>
  <c r="W71" i="5"/>
  <c r="T71" i="5"/>
  <c r="U71" i="5"/>
  <c r="V78" i="5"/>
  <c r="W78" i="5"/>
  <c r="U78" i="5"/>
  <c r="T78" i="5"/>
  <c r="T137" i="5"/>
  <c r="U137" i="5"/>
  <c r="V137" i="5"/>
  <c r="W137" i="5"/>
  <c r="V88" i="5"/>
  <c r="W88" i="5"/>
  <c r="T88" i="5"/>
  <c r="U88" i="5"/>
  <c r="T102" i="5"/>
  <c r="V102" i="5"/>
  <c r="W102" i="5"/>
  <c r="U102" i="5"/>
  <c r="V107" i="5"/>
  <c r="W107" i="5"/>
  <c r="T107" i="5"/>
  <c r="U107" i="5"/>
  <c r="U117" i="5"/>
  <c r="V117" i="5"/>
  <c r="W117" i="5"/>
  <c r="T117" i="5"/>
  <c r="X127" i="5"/>
  <c r="U127" i="5"/>
  <c r="V127" i="5"/>
  <c r="T127" i="5"/>
  <c r="W127" i="5"/>
  <c r="X131" i="5"/>
  <c r="W131" i="5"/>
  <c r="T131" i="5"/>
  <c r="V131" i="5"/>
  <c r="U131" i="5"/>
  <c r="V136" i="5"/>
  <c r="W136" i="5"/>
  <c r="U136" i="5"/>
  <c r="T136" i="5"/>
  <c r="V141" i="5"/>
  <c r="W141" i="5"/>
  <c r="T141" i="5"/>
  <c r="U141" i="5"/>
  <c r="T145" i="5"/>
  <c r="U145" i="5"/>
  <c r="W145" i="5"/>
  <c r="V145" i="5"/>
  <c r="W179" i="5"/>
  <c r="T179" i="5"/>
  <c r="U179" i="5"/>
  <c r="V179" i="5"/>
  <c r="V185" i="5"/>
  <c r="W185" i="5"/>
  <c r="T185" i="5"/>
  <c r="U185" i="5"/>
  <c r="T191" i="5"/>
  <c r="U191" i="5"/>
  <c r="W191" i="5"/>
  <c r="V191" i="5"/>
  <c r="V252" i="5"/>
  <c r="W252" i="5"/>
  <c r="T252" i="5"/>
  <c r="U252" i="5"/>
  <c r="X265" i="5"/>
  <c r="W265" i="5"/>
  <c r="T265" i="5"/>
  <c r="U265" i="5"/>
  <c r="V265" i="5"/>
  <c r="W273" i="5"/>
  <c r="U273" i="5"/>
  <c r="V273" i="5"/>
  <c r="T273" i="5"/>
  <c r="X289" i="5"/>
  <c r="T289" i="5"/>
  <c r="U289" i="5"/>
  <c r="V289" i="5"/>
  <c r="W289" i="5"/>
  <c r="T356" i="5"/>
  <c r="U356" i="5"/>
  <c r="V356" i="5"/>
  <c r="W356" i="5"/>
  <c r="U423" i="5"/>
  <c r="V423" i="5"/>
  <c r="T423" i="5"/>
  <c r="W423" i="5"/>
  <c r="T6" i="5"/>
  <c r="U6" i="5"/>
  <c r="V6" i="5"/>
  <c r="W6" i="5"/>
  <c r="W43" i="5"/>
  <c r="U43" i="5"/>
  <c r="V43" i="5"/>
  <c r="T43" i="5"/>
  <c r="T62" i="5"/>
  <c r="V62" i="5"/>
  <c r="W62" i="5"/>
  <c r="U62" i="5"/>
  <c r="W70" i="5"/>
  <c r="T70" i="5"/>
  <c r="U70" i="5"/>
  <c r="V70" i="5"/>
  <c r="T111" i="5"/>
  <c r="U111" i="5"/>
  <c r="V111" i="5"/>
  <c r="W111" i="5"/>
  <c r="T132" i="5"/>
  <c r="U132" i="5"/>
  <c r="W132" i="5"/>
  <c r="V132" i="5"/>
  <c r="T161" i="5"/>
  <c r="U161" i="5"/>
  <c r="W161" i="5"/>
  <c r="V161" i="5"/>
  <c r="V230" i="5"/>
  <c r="W230" i="5"/>
  <c r="T230" i="5"/>
  <c r="U230" i="5"/>
  <c r="V254" i="5"/>
  <c r="W254" i="5"/>
  <c r="U254" i="5"/>
  <c r="T254" i="5"/>
  <c r="X299" i="5"/>
  <c r="U299" i="5"/>
  <c r="V299" i="5"/>
  <c r="T299" i="5"/>
  <c r="W299" i="5"/>
  <c r="X378" i="5"/>
  <c r="V378" i="5"/>
  <c r="W378" i="5"/>
  <c r="U378" i="5"/>
  <c r="T378" i="5"/>
  <c r="V149" i="5"/>
  <c r="W149" i="5"/>
  <c r="U149" i="5"/>
  <c r="T149" i="5"/>
  <c r="V157" i="5"/>
  <c r="W157" i="5"/>
  <c r="T157" i="5"/>
  <c r="U157" i="5"/>
  <c r="U166" i="5"/>
  <c r="V166" i="5"/>
  <c r="T166" i="5"/>
  <c r="W166" i="5"/>
  <c r="V174" i="5"/>
  <c r="W174" i="5"/>
  <c r="T174" i="5"/>
  <c r="U174" i="5"/>
  <c r="V190" i="5"/>
  <c r="W190" i="5"/>
  <c r="T190" i="5"/>
  <c r="U190" i="5"/>
  <c r="X201" i="5"/>
  <c r="U201" i="5"/>
  <c r="V201" i="5"/>
  <c r="T201" i="5"/>
  <c r="W201" i="5"/>
  <c r="T209" i="5"/>
  <c r="U209" i="5"/>
  <c r="V209" i="5"/>
  <c r="W209" i="5"/>
  <c r="U217" i="5"/>
  <c r="V217" i="5"/>
  <c r="W217" i="5"/>
  <c r="T217" i="5"/>
  <c r="X226" i="5"/>
  <c r="T226" i="5"/>
  <c r="U226" i="5"/>
  <c r="V226" i="5"/>
  <c r="W226" i="5"/>
  <c r="X235" i="5"/>
  <c r="U235" i="5"/>
  <c r="V235" i="5"/>
  <c r="T235" i="5"/>
  <c r="W235" i="5"/>
  <c r="T243" i="5"/>
  <c r="U243" i="5"/>
  <c r="V243" i="5"/>
  <c r="W243" i="5"/>
  <c r="U368" i="5"/>
  <c r="V368" i="5"/>
  <c r="T368" i="5"/>
  <c r="W368" i="5"/>
  <c r="V63" i="5"/>
  <c r="W63" i="5"/>
  <c r="T63" i="5"/>
  <c r="U63" i="5"/>
  <c r="X327" i="5"/>
  <c r="W327" i="5"/>
  <c r="T327" i="5"/>
  <c r="U327" i="5"/>
  <c r="V327" i="5"/>
  <c r="X99" i="5"/>
  <c r="U99" i="5"/>
  <c r="V99" i="5"/>
  <c r="W99" i="5"/>
  <c r="T99" i="5"/>
  <c r="U28" i="5"/>
  <c r="V28" i="5"/>
  <c r="W28" i="5"/>
  <c r="T28" i="5"/>
  <c r="X372" i="5"/>
  <c r="T372" i="5"/>
  <c r="U372" i="5"/>
  <c r="V372" i="5"/>
  <c r="W372" i="5"/>
  <c r="X396" i="5"/>
  <c r="V396" i="5"/>
  <c r="W396" i="5"/>
  <c r="T396" i="5"/>
  <c r="U396" i="5"/>
  <c r="W351" i="5"/>
  <c r="T351" i="5"/>
  <c r="U351" i="5"/>
  <c r="V351" i="5"/>
  <c r="U269" i="5"/>
  <c r="V269" i="5"/>
  <c r="T269" i="5"/>
  <c r="W269" i="5"/>
  <c r="V420" i="5"/>
  <c r="W420" i="5"/>
  <c r="U420" i="5"/>
  <c r="T420" i="5"/>
  <c r="V379" i="5"/>
  <c r="W379" i="5"/>
  <c r="U379" i="5"/>
  <c r="T379" i="5"/>
  <c r="W429" i="5"/>
  <c r="T429" i="5"/>
  <c r="U429" i="5"/>
  <c r="V429" i="5"/>
  <c r="X382" i="5"/>
  <c r="U382" i="5"/>
  <c r="V382" i="5"/>
  <c r="W382" i="5"/>
  <c r="T382" i="5"/>
  <c r="V437" i="5"/>
  <c r="W437" i="5"/>
  <c r="T437" i="5"/>
  <c r="U437" i="5"/>
  <c r="X334" i="5"/>
  <c r="T334" i="5"/>
  <c r="U334" i="5"/>
  <c r="V334" i="5"/>
  <c r="W334" i="5"/>
  <c r="W418" i="5"/>
  <c r="T418" i="5"/>
  <c r="U418" i="5"/>
  <c r="V418" i="5"/>
  <c r="X375" i="5"/>
  <c r="W375" i="5"/>
  <c r="T375" i="5"/>
  <c r="U375" i="5"/>
  <c r="V375" i="5"/>
  <c r="U377" i="5"/>
  <c r="V377" i="5"/>
  <c r="T377" i="5"/>
  <c r="W377" i="5"/>
  <c r="X31" i="5"/>
  <c r="T31" i="5"/>
  <c r="U31" i="5"/>
  <c r="V31" i="5"/>
  <c r="W31" i="5"/>
  <c r="U376" i="5"/>
  <c r="V376" i="5"/>
  <c r="T376" i="5"/>
  <c r="W376" i="5"/>
  <c r="U329" i="5"/>
  <c r="V329" i="5"/>
  <c r="T329" i="5"/>
  <c r="W329" i="5"/>
  <c r="X95" i="5"/>
  <c r="V95" i="5"/>
  <c r="W95" i="5"/>
  <c r="U95" i="5"/>
  <c r="T95" i="5"/>
  <c r="T387" i="5"/>
  <c r="U387" i="5"/>
  <c r="V387" i="5"/>
  <c r="W387" i="5"/>
  <c r="U336" i="5"/>
  <c r="V336" i="5"/>
  <c r="T336" i="5"/>
  <c r="W336" i="5"/>
  <c r="X364" i="5"/>
  <c r="T364" i="5"/>
  <c r="U364" i="5"/>
  <c r="V364" i="5"/>
  <c r="W364" i="5"/>
  <c r="X318" i="5"/>
  <c r="W318" i="5"/>
  <c r="T318" i="5"/>
  <c r="U318" i="5"/>
  <c r="V318" i="5"/>
  <c r="X282" i="5"/>
  <c r="T282" i="5"/>
  <c r="U282" i="5"/>
  <c r="W282" i="5"/>
  <c r="V282" i="5"/>
  <c r="W316" i="5"/>
  <c r="T316" i="5"/>
  <c r="U316" i="5"/>
  <c r="V316" i="5"/>
  <c r="X410" i="5"/>
  <c r="W410" i="5"/>
  <c r="T410" i="5"/>
  <c r="U410" i="5"/>
  <c r="V410" i="5"/>
  <c r="X397" i="5"/>
  <c r="V397" i="5"/>
  <c r="W397" i="5"/>
  <c r="U397" i="5"/>
  <c r="T397" i="5"/>
  <c r="V405" i="5"/>
  <c r="W405" i="5"/>
  <c r="U405" i="5"/>
  <c r="T405" i="5"/>
  <c r="X349" i="5"/>
  <c r="W349" i="5"/>
  <c r="T349" i="5"/>
  <c r="U349" i="5"/>
  <c r="V349" i="5"/>
  <c r="W325" i="5"/>
  <c r="T325" i="5"/>
  <c r="U325" i="5"/>
  <c r="V325" i="5"/>
  <c r="W29" i="5"/>
  <c r="T29" i="5"/>
  <c r="U29" i="5"/>
  <c r="V29" i="5"/>
  <c r="W390" i="5"/>
  <c r="T390" i="5"/>
  <c r="U390" i="5"/>
  <c r="V390" i="5"/>
  <c r="T342" i="5"/>
  <c r="U342" i="5"/>
  <c r="V342" i="5"/>
  <c r="W342" i="5"/>
  <c r="X338" i="5"/>
  <c r="V338" i="5"/>
  <c r="W338" i="5"/>
  <c r="U338" i="5"/>
  <c r="T338" i="5"/>
  <c r="T280" i="5"/>
  <c r="U280" i="5"/>
  <c r="V280" i="5"/>
  <c r="W280" i="5"/>
  <c r="U314" i="5"/>
  <c r="V314" i="5"/>
  <c r="T314" i="5"/>
  <c r="W314" i="5"/>
  <c r="T393" i="5"/>
  <c r="U393" i="5"/>
  <c r="V393" i="5"/>
  <c r="W393" i="5"/>
  <c r="X319" i="5"/>
  <c r="W319" i="5"/>
  <c r="T319" i="5"/>
  <c r="U319" i="5"/>
  <c r="V319" i="5"/>
  <c r="W34" i="5"/>
  <c r="U34" i="5"/>
  <c r="V34" i="5"/>
  <c r="T34" i="5"/>
  <c r="U296" i="5"/>
  <c r="V296" i="5"/>
  <c r="W296" i="5"/>
  <c r="T296" i="5"/>
  <c r="T84" i="5"/>
  <c r="U84" i="5"/>
  <c r="V84" i="5"/>
  <c r="W84" i="5"/>
  <c r="T23" i="5"/>
  <c r="U23" i="5"/>
  <c r="V23" i="5"/>
  <c r="W23" i="5"/>
  <c r="V293" i="5"/>
  <c r="W293" i="5"/>
  <c r="T293" i="5"/>
  <c r="U293" i="5"/>
  <c r="V247" i="5"/>
  <c r="W247" i="5"/>
  <c r="U247" i="5"/>
  <c r="T247" i="5"/>
  <c r="X276" i="5"/>
  <c r="V276" i="5"/>
  <c r="T276" i="5"/>
  <c r="U276" i="5"/>
  <c r="W276" i="5"/>
  <c r="W5" i="5"/>
  <c r="T5" i="5"/>
  <c r="U5" i="5"/>
  <c r="V5" i="5"/>
  <c r="W700" i="5"/>
  <c r="X700" i="5"/>
  <c r="W704" i="5"/>
  <c r="X704" i="5"/>
  <c r="W708" i="5"/>
  <c r="X708" i="5"/>
  <c r="V712" i="5"/>
  <c r="X712" i="5"/>
  <c r="W716" i="5"/>
  <c r="X716" i="5"/>
  <c r="V728" i="5"/>
  <c r="X728" i="5"/>
  <c r="V732" i="5"/>
  <c r="X732" i="5"/>
  <c r="V736" i="5"/>
  <c r="X736" i="5"/>
  <c r="V740" i="5"/>
  <c r="X740" i="5"/>
  <c r="V744" i="5"/>
  <c r="X744" i="5"/>
  <c r="V752" i="5"/>
  <c r="X752" i="5"/>
  <c r="V756" i="5"/>
  <c r="X756" i="5"/>
  <c r="V764" i="5"/>
  <c r="X764" i="5"/>
  <c r="U768" i="5"/>
  <c r="X768" i="5"/>
  <c r="T776" i="5"/>
  <c r="X776" i="5"/>
  <c r="V780" i="5"/>
  <c r="X780" i="5"/>
  <c r="V788" i="5"/>
  <c r="X788" i="5"/>
  <c r="W792" i="5"/>
  <c r="X792" i="5"/>
  <c r="V796" i="5"/>
  <c r="X796" i="5"/>
  <c r="V800" i="5"/>
  <c r="X800" i="5"/>
  <c r="V808" i="5"/>
  <c r="X808" i="5"/>
  <c r="V812" i="5"/>
  <c r="X812" i="5"/>
  <c r="V828" i="5"/>
  <c r="X828" i="5"/>
  <c r="W832" i="5"/>
  <c r="X832" i="5"/>
  <c r="V836" i="5"/>
  <c r="X836" i="5"/>
  <c r="T844" i="5"/>
  <c r="X844" i="5"/>
  <c r="T852" i="5"/>
  <c r="X852" i="5"/>
  <c r="V856" i="5"/>
  <c r="X856" i="5"/>
  <c r="V864" i="5"/>
  <c r="X864" i="5"/>
  <c r="U868" i="5"/>
  <c r="X868" i="5"/>
  <c r="T872" i="5"/>
  <c r="X872" i="5"/>
  <c r="V876" i="5"/>
  <c r="X876" i="5"/>
  <c r="T880" i="5"/>
  <c r="X880" i="5"/>
  <c r="T884" i="5"/>
  <c r="X884" i="5"/>
  <c r="V892" i="5"/>
  <c r="X892" i="5"/>
  <c r="T896" i="5"/>
  <c r="X896" i="5"/>
  <c r="U900" i="5"/>
  <c r="X900" i="5"/>
  <c r="W904" i="5"/>
  <c r="X904" i="5"/>
  <c r="U908" i="5"/>
  <c r="X908" i="5"/>
  <c r="T912" i="5"/>
  <c r="X912" i="5"/>
  <c r="T916" i="5"/>
  <c r="X916" i="5"/>
  <c r="T932" i="5"/>
  <c r="X932" i="5"/>
  <c r="U936" i="5"/>
  <c r="X936" i="5"/>
  <c r="U940" i="5"/>
  <c r="X940" i="5"/>
  <c r="T948" i="5"/>
  <c r="X948" i="5"/>
  <c r="U952" i="5"/>
  <c r="X952" i="5"/>
  <c r="W956" i="5"/>
  <c r="X956" i="5"/>
  <c r="W960" i="5"/>
  <c r="X960" i="5"/>
  <c r="U964" i="5"/>
  <c r="X964" i="5"/>
  <c r="W968" i="5"/>
  <c r="X968" i="5"/>
  <c r="V972" i="5"/>
  <c r="X972" i="5"/>
  <c r="W976" i="5"/>
  <c r="X976" i="5"/>
  <c r="T980" i="5"/>
  <c r="X980" i="5"/>
  <c r="T984" i="5"/>
  <c r="X984" i="5"/>
  <c r="T988" i="5"/>
  <c r="X988" i="5"/>
  <c r="T992" i="5"/>
  <c r="X992" i="5"/>
  <c r="T996" i="5"/>
  <c r="X996" i="5"/>
  <c r="T1004" i="5"/>
  <c r="X1004" i="5"/>
  <c r="T1012" i="5"/>
  <c r="X1012" i="5"/>
  <c r="T1016" i="5"/>
  <c r="X1016" i="5"/>
  <c r="T1020" i="5"/>
  <c r="X1020" i="5"/>
  <c r="T1024" i="5"/>
  <c r="X1024" i="5"/>
  <c r="T1028" i="5"/>
  <c r="X1028" i="5"/>
  <c r="V1036" i="5"/>
  <c r="X1036" i="5"/>
  <c r="T1040" i="5"/>
  <c r="X1040" i="5"/>
  <c r="T1044" i="5"/>
  <c r="X1044" i="5"/>
  <c r="T1048" i="5"/>
  <c r="X1048" i="5"/>
  <c r="T1052" i="5"/>
  <c r="X1052" i="5"/>
  <c r="U701" i="5"/>
  <c r="X701" i="5"/>
  <c r="U713" i="5"/>
  <c r="X713" i="5"/>
  <c r="U717" i="5"/>
  <c r="X717" i="5"/>
  <c r="U729" i="5"/>
  <c r="X729" i="5"/>
  <c r="U733" i="5"/>
  <c r="X733" i="5"/>
  <c r="T737" i="5"/>
  <c r="X737" i="5"/>
  <c r="T741" i="5"/>
  <c r="X741" i="5"/>
  <c r="W745" i="5"/>
  <c r="X745" i="5"/>
  <c r="W749" i="5"/>
  <c r="X749" i="5"/>
  <c r="T753" i="5"/>
  <c r="X753" i="5"/>
  <c r="W757" i="5"/>
  <c r="X757" i="5"/>
  <c r="W761" i="5"/>
  <c r="X761" i="5"/>
  <c r="W765" i="5"/>
  <c r="X765" i="5"/>
  <c r="U769" i="5"/>
  <c r="X769" i="5"/>
  <c r="T773" i="5"/>
  <c r="X773" i="5"/>
  <c r="U777" i="5"/>
  <c r="X777" i="5"/>
  <c r="U781" i="5"/>
  <c r="X781" i="5"/>
  <c r="U789" i="5"/>
  <c r="X789" i="5"/>
  <c r="T793" i="5"/>
  <c r="X793" i="5"/>
  <c r="T797" i="5"/>
  <c r="X797" i="5"/>
  <c r="U801" i="5"/>
  <c r="X801" i="5"/>
  <c r="W805" i="5"/>
  <c r="X805" i="5"/>
  <c r="T813" i="5"/>
  <c r="X813" i="5"/>
  <c r="V821" i="5"/>
  <c r="X821" i="5"/>
  <c r="V825" i="5"/>
  <c r="X825" i="5"/>
  <c r="W829" i="5"/>
  <c r="X829" i="5"/>
  <c r="T837" i="5"/>
  <c r="X837" i="5"/>
  <c r="W841" i="5"/>
  <c r="X841" i="5"/>
  <c r="V845" i="5"/>
  <c r="X845" i="5"/>
  <c r="V849" i="5"/>
  <c r="X849" i="5"/>
  <c r="V853" i="5"/>
  <c r="X853" i="5"/>
  <c r="V857" i="5"/>
  <c r="X857" i="5"/>
  <c r="V865" i="5"/>
  <c r="X865" i="5"/>
  <c r="T869" i="5"/>
  <c r="X869" i="5"/>
  <c r="V873" i="5"/>
  <c r="X873" i="5"/>
  <c r="T877" i="5"/>
  <c r="X877" i="5"/>
  <c r="W881" i="5"/>
  <c r="X881" i="5"/>
  <c r="V889" i="5"/>
  <c r="X889" i="5"/>
  <c r="U893" i="5"/>
  <c r="X893" i="5"/>
  <c r="U901" i="5"/>
  <c r="X901" i="5"/>
  <c r="V905" i="5"/>
  <c r="X905" i="5"/>
  <c r="U909" i="5"/>
  <c r="X909" i="5"/>
  <c r="V913" i="5"/>
  <c r="X913" i="5"/>
  <c r="V921" i="5"/>
  <c r="X921" i="5"/>
  <c r="V925" i="5"/>
  <c r="X925" i="5"/>
  <c r="W929" i="5"/>
  <c r="X929" i="5"/>
  <c r="V933" i="5"/>
  <c r="X933" i="5"/>
  <c r="V937" i="5"/>
  <c r="X937" i="5"/>
  <c r="V945" i="5"/>
  <c r="X945" i="5"/>
  <c r="V949" i="5"/>
  <c r="X949" i="5"/>
  <c r="V953" i="5"/>
  <c r="X953" i="5"/>
  <c r="W957" i="5"/>
  <c r="X957" i="5"/>
  <c r="U961" i="5"/>
  <c r="X961" i="5"/>
  <c r="U969" i="5"/>
  <c r="X969" i="5"/>
  <c r="W973" i="5"/>
  <c r="X973" i="5"/>
  <c r="V977" i="5"/>
  <c r="X977" i="5"/>
  <c r="T981" i="5"/>
  <c r="X981" i="5"/>
  <c r="V985" i="5"/>
  <c r="X985" i="5"/>
  <c r="V989" i="5"/>
  <c r="X989" i="5"/>
  <c r="W993" i="5"/>
  <c r="X993" i="5"/>
  <c r="W997" i="5"/>
  <c r="X997" i="5"/>
  <c r="W1005" i="5"/>
  <c r="X1005" i="5"/>
  <c r="W1009" i="5"/>
  <c r="X1009" i="5"/>
  <c r="W1013" i="5"/>
  <c r="X1013" i="5"/>
  <c r="W1017" i="5"/>
  <c r="X1017" i="5"/>
  <c r="W1021" i="5"/>
  <c r="X1021" i="5"/>
  <c r="W1033" i="5"/>
  <c r="X1033" i="5"/>
  <c r="W1037" i="5"/>
  <c r="X1037" i="5"/>
  <c r="W1041" i="5"/>
  <c r="X1041" i="5"/>
  <c r="W1045" i="5"/>
  <c r="X1045" i="5"/>
  <c r="W1049" i="5"/>
  <c r="X1049" i="5"/>
  <c r="W1053" i="5"/>
  <c r="X1053" i="5"/>
  <c r="W702" i="5"/>
  <c r="X702" i="5"/>
  <c r="W706" i="5"/>
  <c r="X706" i="5"/>
  <c r="V710" i="5"/>
  <c r="X710" i="5"/>
  <c r="V714" i="5"/>
  <c r="X714" i="5"/>
  <c r="W718" i="5"/>
  <c r="X718" i="5"/>
  <c r="W722" i="5"/>
  <c r="X722" i="5"/>
  <c r="W726" i="5"/>
  <c r="X726" i="5"/>
  <c r="W730" i="5"/>
  <c r="X730" i="5"/>
  <c r="V734" i="5"/>
  <c r="X734" i="5"/>
  <c r="V738" i="5"/>
  <c r="X738" i="5"/>
  <c r="V742" i="5"/>
  <c r="X742" i="5"/>
  <c r="V746" i="5"/>
  <c r="X746" i="5"/>
  <c r="V750" i="5"/>
  <c r="X750" i="5"/>
  <c r="V754" i="5"/>
  <c r="X754" i="5"/>
  <c r="V758" i="5"/>
  <c r="X758" i="5"/>
  <c r="V762" i="5"/>
  <c r="X762" i="5"/>
  <c r="W766" i="5"/>
  <c r="X766" i="5"/>
  <c r="W770" i="5"/>
  <c r="X770" i="5"/>
  <c r="V774" i="5"/>
  <c r="X774" i="5"/>
  <c r="V778" i="5"/>
  <c r="X778" i="5"/>
  <c r="W782" i="5"/>
  <c r="X782" i="5"/>
  <c r="T786" i="5"/>
  <c r="X786" i="5"/>
  <c r="V790" i="5"/>
  <c r="X790" i="5"/>
  <c r="W794" i="5"/>
  <c r="X794" i="5"/>
  <c r="W798" i="5"/>
  <c r="X798" i="5"/>
  <c r="V802" i="5"/>
  <c r="X802" i="5"/>
  <c r="V806" i="5"/>
  <c r="X806" i="5"/>
  <c r="V814" i="5"/>
  <c r="X814" i="5"/>
  <c r="V818" i="5"/>
  <c r="X818" i="5"/>
  <c r="W822" i="5"/>
  <c r="X822" i="5"/>
  <c r="V826" i="5"/>
  <c r="X826" i="5"/>
  <c r="T830" i="5"/>
  <c r="X830" i="5"/>
  <c r="V834" i="5"/>
  <c r="X834" i="5"/>
  <c r="W838" i="5"/>
  <c r="X838" i="5"/>
  <c r="U842" i="5"/>
  <c r="X842" i="5"/>
  <c r="T846" i="5"/>
  <c r="X846" i="5"/>
  <c r="U850" i="5"/>
  <c r="X850" i="5"/>
  <c r="T854" i="5"/>
  <c r="X854" i="5"/>
  <c r="W858" i="5"/>
  <c r="X858" i="5"/>
  <c r="T862" i="5"/>
  <c r="X862" i="5"/>
  <c r="U866" i="5"/>
  <c r="X866" i="5"/>
  <c r="T870" i="5"/>
  <c r="X870" i="5"/>
  <c r="W874" i="5"/>
  <c r="X874" i="5"/>
  <c r="W878" i="5"/>
  <c r="X878" i="5"/>
  <c r="V894" i="5"/>
  <c r="X894" i="5"/>
  <c r="W898" i="5"/>
  <c r="X898" i="5"/>
  <c r="T902" i="5"/>
  <c r="X902" i="5"/>
  <c r="W906" i="5"/>
  <c r="X906" i="5"/>
  <c r="T910" i="5"/>
  <c r="X910" i="5"/>
  <c r="W914" i="5"/>
  <c r="X914" i="5"/>
  <c r="W922" i="5"/>
  <c r="X922" i="5"/>
  <c r="W934" i="5"/>
  <c r="X934" i="5"/>
  <c r="W938" i="5"/>
  <c r="X938" i="5"/>
  <c r="T942" i="5"/>
  <c r="X942" i="5"/>
  <c r="T946" i="5"/>
  <c r="X946" i="5"/>
  <c r="T950" i="5"/>
  <c r="X950" i="5"/>
  <c r="T954" i="5"/>
  <c r="X954" i="5"/>
  <c r="U958" i="5"/>
  <c r="X958" i="5"/>
  <c r="U962" i="5"/>
  <c r="X962" i="5"/>
  <c r="T970" i="5"/>
  <c r="X970" i="5"/>
  <c r="U974" i="5"/>
  <c r="X974" i="5"/>
  <c r="T978" i="5"/>
  <c r="X978" i="5"/>
  <c r="T982" i="5"/>
  <c r="X982" i="5"/>
  <c r="V986" i="5"/>
  <c r="X986" i="5"/>
  <c r="T994" i="5"/>
  <c r="X994" i="5"/>
  <c r="T998" i="5"/>
  <c r="X998" i="5"/>
  <c r="T1006" i="5"/>
  <c r="X1006" i="5"/>
  <c r="T1010" i="5"/>
  <c r="X1010" i="5"/>
  <c r="T1014" i="5"/>
  <c r="X1014" i="5"/>
  <c r="T1018" i="5"/>
  <c r="X1018" i="5"/>
  <c r="T1022" i="5"/>
  <c r="X1022" i="5"/>
  <c r="T1026" i="5"/>
  <c r="X1026" i="5"/>
  <c r="T1038" i="5"/>
  <c r="X1038" i="5"/>
  <c r="T1042" i="5"/>
  <c r="X1042" i="5"/>
  <c r="T1046" i="5"/>
  <c r="X1046" i="5"/>
  <c r="T1050" i="5"/>
  <c r="X1050" i="5"/>
  <c r="T1054" i="5"/>
  <c r="X1054" i="5"/>
  <c r="U699" i="5"/>
  <c r="X699" i="5"/>
  <c r="U715" i="5"/>
  <c r="X715" i="5"/>
  <c r="U727" i="5"/>
  <c r="X727" i="5"/>
  <c r="U731" i="5"/>
  <c r="X731" i="5"/>
  <c r="W743" i="5"/>
  <c r="X743" i="5"/>
  <c r="W747" i="5"/>
  <c r="X747" i="5"/>
  <c r="W751" i="5"/>
  <c r="X751" i="5"/>
  <c r="W755" i="5"/>
  <c r="X755" i="5"/>
  <c r="W759" i="5"/>
  <c r="X759" i="5"/>
  <c r="W763" i="5"/>
  <c r="X763" i="5"/>
  <c r="U767" i="5"/>
  <c r="X767" i="5"/>
  <c r="T771" i="5"/>
  <c r="X771" i="5"/>
  <c r="T775" i="5"/>
  <c r="X775" i="5"/>
  <c r="V787" i="5"/>
  <c r="X787" i="5"/>
  <c r="V799" i="5"/>
  <c r="X799" i="5"/>
  <c r="V803" i="5"/>
  <c r="X803" i="5"/>
  <c r="V807" i="5"/>
  <c r="X807" i="5"/>
  <c r="V811" i="5"/>
  <c r="X811" i="5"/>
  <c r="U815" i="5"/>
  <c r="X815" i="5"/>
  <c r="V819" i="5"/>
  <c r="X819" i="5"/>
  <c r="V827" i="5"/>
  <c r="X827" i="5"/>
  <c r="U831" i="5"/>
  <c r="X831" i="5"/>
  <c r="V835" i="5"/>
  <c r="X835" i="5"/>
  <c r="V839" i="5"/>
  <c r="X839" i="5"/>
  <c r="V843" i="5"/>
  <c r="X843" i="5"/>
  <c r="T847" i="5"/>
  <c r="X847" i="5"/>
  <c r="V851" i="5"/>
  <c r="X851" i="5"/>
  <c r="V855" i="5"/>
  <c r="X855" i="5"/>
  <c r="V863" i="5"/>
  <c r="X863" i="5"/>
  <c r="V867" i="5"/>
  <c r="X867" i="5"/>
  <c r="V875" i="5"/>
  <c r="X875" i="5"/>
  <c r="V879" i="5"/>
  <c r="X879" i="5"/>
  <c r="W883" i="5"/>
  <c r="X883" i="5"/>
  <c r="V895" i="5"/>
  <c r="X895" i="5"/>
  <c r="V899" i="5"/>
  <c r="X899" i="5"/>
  <c r="V903" i="5"/>
  <c r="X903" i="5"/>
  <c r="V907" i="5"/>
  <c r="X907" i="5"/>
  <c r="V911" i="5"/>
  <c r="X911" i="5"/>
  <c r="V915" i="5"/>
  <c r="X915" i="5"/>
  <c r="W919" i="5"/>
  <c r="X919" i="5"/>
  <c r="V923" i="5"/>
  <c r="X923" i="5"/>
  <c r="V935" i="5"/>
  <c r="X935" i="5"/>
  <c r="V943" i="5"/>
  <c r="X943" i="5"/>
  <c r="V947" i="5"/>
  <c r="X947" i="5"/>
  <c r="V951" i="5"/>
  <c r="X951" i="5"/>
  <c r="T955" i="5"/>
  <c r="X955" i="5"/>
  <c r="W959" i="5"/>
  <c r="X959" i="5"/>
  <c r="T963" i="5"/>
  <c r="X963" i="5"/>
  <c r="W967" i="5"/>
  <c r="X967" i="5"/>
  <c r="T971" i="5"/>
  <c r="X971" i="5"/>
  <c r="W975" i="5"/>
  <c r="X975" i="5"/>
  <c r="W979" i="5"/>
  <c r="X979" i="5"/>
  <c r="W983" i="5"/>
  <c r="X983" i="5"/>
  <c r="W987" i="5"/>
  <c r="X987" i="5"/>
  <c r="W991" i="5"/>
  <c r="X991" i="5"/>
  <c r="W999" i="5"/>
  <c r="X999" i="5"/>
  <c r="W1007" i="5"/>
  <c r="X1007" i="5"/>
  <c r="W1011" i="5"/>
  <c r="X1011" i="5"/>
  <c r="W1015" i="5"/>
  <c r="X1015" i="5"/>
  <c r="W1019" i="5"/>
  <c r="X1019" i="5"/>
  <c r="W1023" i="5"/>
  <c r="X1023" i="5"/>
  <c r="W1027" i="5"/>
  <c r="X1027" i="5"/>
  <c r="W1039" i="5"/>
  <c r="X1039" i="5"/>
  <c r="W1043" i="5"/>
  <c r="X1043" i="5"/>
  <c r="W1047" i="5"/>
  <c r="X1047" i="5"/>
  <c r="W1051" i="5"/>
  <c r="X1051" i="5"/>
  <c r="W1055" i="5"/>
  <c r="X1055" i="5"/>
  <c r="G117" i="10"/>
  <c r="G114" i="10"/>
  <c r="G115" i="10"/>
  <c r="G109" i="10"/>
  <c r="G132" i="10"/>
  <c r="G123" i="10"/>
  <c r="X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F7" i="19" s="1"/>
  <c r="A42" i="3"/>
  <c r="Q42" i="3"/>
  <c r="A53" i="3"/>
  <c r="Q53" i="3"/>
  <c r="A61" i="3"/>
  <c r="Q61" i="3"/>
  <c r="A36" i="3"/>
  <c r="Q36" i="3"/>
  <c r="A32" i="3"/>
  <c r="Q32" i="3"/>
  <c r="F11" i="19" s="1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7" i="10"/>
  <c r="G454" i="10"/>
  <c r="G483" i="10"/>
  <c r="G68" i="10"/>
  <c r="G333" i="10"/>
  <c r="G314" i="10"/>
  <c r="G293" i="10"/>
  <c r="G272" i="10"/>
  <c r="G247" i="10"/>
  <c r="G392" i="10"/>
  <c r="G407" i="10"/>
  <c r="G256" i="10"/>
  <c r="G435" i="10"/>
  <c r="G430" i="10"/>
  <c r="G89" i="10"/>
  <c r="G76" i="10"/>
  <c r="G415" i="10"/>
  <c r="G292" i="10"/>
  <c r="G341" i="10"/>
  <c r="G405" i="10"/>
  <c r="G377" i="10"/>
  <c r="G400" i="10"/>
  <c r="G684" i="10"/>
  <c r="G821" i="10"/>
  <c r="G770" i="10"/>
  <c r="G698" i="10"/>
  <c r="G676" i="10"/>
  <c r="G811" i="10"/>
  <c r="G713" i="10"/>
  <c r="G679" i="10"/>
  <c r="G859" i="10"/>
  <c r="G752" i="10"/>
  <c r="G672" i="10"/>
  <c r="G35" i="10"/>
  <c r="G110" i="10"/>
  <c r="G479" i="10"/>
  <c r="G15" i="10"/>
  <c r="G826" i="10"/>
  <c r="G801" i="10"/>
  <c r="G869" i="10"/>
  <c r="G144" i="10"/>
  <c r="G494" i="10"/>
  <c r="G737" i="10"/>
  <c r="G216" i="10"/>
  <c r="G489" i="10"/>
  <c r="G681" i="10"/>
  <c r="G789" i="10"/>
  <c r="G52" i="10"/>
  <c r="G694" i="10"/>
  <c r="G761" i="10"/>
  <c r="G825" i="10"/>
  <c r="G671" i="10"/>
  <c r="G731" i="10"/>
  <c r="G457" i="10"/>
  <c r="G558" i="10"/>
  <c r="G529" i="10"/>
  <c r="G460" i="10"/>
  <c r="G623" i="10"/>
  <c r="G581" i="10"/>
  <c r="G661" i="10"/>
  <c r="G575" i="10"/>
  <c r="G564" i="10"/>
  <c r="G538" i="10"/>
  <c r="G619" i="10"/>
  <c r="G523" i="10"/>
  <c r="G615" i="10"/>
  <c r="G658" i="10"/>
  <c r="G596" i="10"/>
  <c r="G555" i="10"/>
  <c r="G565" i="10"/>
  <c r="G465" i="10"/>
  <c r="G866" i="10"/>
  <c r="G202" i="10"/>
  <c r="G504" i="10"/>
  <c r="G142" i="10"/>
  <c r="G29" i="10"/>
  <c r="G32" i="10"/>
  <c r="G134" i="10"/>
  <c r="G201" i="10"/>
  <c r="G484" i="10"/>
  <c r="G261" i="10"/>
  <c r="G72" i="10"/>
  <c r="G262" i="10"/>
  <c r="G296" i="10"/>
  <c r="G244" i="10"/>
  <c r="G249" i="10"/>
  <c r="G304" i="10"/>
  <c r="G246" i="10"/>
  <c r="G387" i="10"/>
  <c r="G279" i="10"/>
  <c r="G433" i="10"/>
  <c r="G85" i="10"/>
  <c r="G332" i="10"/>
  <c r="G355" i="10"/>
  <c r="G399" i="10"/>
  <c r="G278" i="10"/>
  <c r="G311" i="10"/>
  <c r="G383" i="10"/>
  <c r="G273" i="10"/>
  <c r="G375" i="10"/>
  <c r="G721" i="10"/>
  <c r="G788" i="10"/>
  <c r="G836" i="10"/>
  <c r="G804" i="10"/>
  <c r="G745" i="10"/>
  <c r="G674" i="10"/>
  <c r="G747" i="10"/>
  <c r="G716" i="10"/>
  <c r="G863" i="10"/>
  <c r="G786" i="10"/>
  <c r="G704" i="10"/>
  <c r="G34" i="10"/>
  <c r="G124" i="10"/>
  <c r="G125" i="10"/>
  <c r="G198" i="10"/>
  <c r="G502" i="10"/>
  <c r="G693" i="10"/>
  <c r="G668" i="10"/>
  <c r="G861" i="10"/>
  <c r="G727" i="10"/>
  <c r="G773" i="10"/>
  <c r="G492" i="10"/>
  <c r="G214" i="10"/>
  <c r="G718" i="10"/>
  <c r="G822" i="10"/>
  <c r="G222" i="10"/>
  <c r="G692" i="10"/>
  <c r="G795" i="10"/>
  <c r="G215" i="10"/>
  <c r="G738" i="10"/>
  <c r="G767" i="10"/>
  <c r="G572" i="10"/>
  <c r="G604" i="10"/>
  <c r="G590" i="10"/>
  <c r="G467" i="10"/>
  <c r="G9" i="10"/>
  <c r="G659" i="10"/>
  <c r="G601" i="10"/>
  <c r="G598" i="10"/>
  <c r="G593" i="10"/>
  <c r="G635" i="10"/>
  <c r="G626" i="10"/>
  <c r="G573" i="10"/>
  <c r="G546" i="10"/>
  <c r="G579" i="10"/>
  <c r="G602" i="10"/>
  <c r="G570" i="10"/>
  <c r="G455" i="10"/>
  <c r="G647" i="10"/>
  <c r="G568" i="10"/>
  <c r="G554" i="10"/>
  <c r="G447" i="10"/>
  <c r="G544" i="10"/>
  <c r="G772" i="10"/>
  <c r="G27" i="10"/>
  <c r="G226" i="10"/>
  <c r="G207" i="10"/>
  <c r="G38" i="10"/>
  <c r="G148" i="10"/>
  <c r="G127" i="10"/>
  <c r="G155" i="10"/>
  <c r="G507" i="10"/>
  <c r="G61" i="10"/>
  <c r="G421" i="10"/>
  <c r="G79" i="10"/>
  <c r="G294" i="10"/>
  <c r="G270" i="10"/>
  <c r="G67" i="10"/>
  <c r="G83" i="10"/>
  <c r="G521" i="10"/>
  <c r="G309" i="10"/>
  <c r="G88" i="10"/>
  <c r="G439" i="10"/>
  <c r="G321" i="10"/>
  <c r="G337" i="10"/>
  <c r="G353" i="10"/>
  <c r="G403" i="10"/>
  <c r="G277" i="10"/>
  <c r="G520" i="10"/>
  <c r="G381" i="10"/>
  <c r="G340" i="10"/>
  <c r="G78" i="10"/>
  <c r="G790" i="10"/>
  <c r="G688" i="10"/>
  <c r="G803" i="10"/>
  <c r="G26" i="10"/>
  <c r="G780" i="10"/>
  <c r="G711" i="10"/>
  <c r="G744" i="10"/>
  <c r="G749" i="10"/>
  <c r="G850" i="10"/>
  <c r="G515" i="10"/>
  <c r="G666" i="10"/>
  <c r="G118" i="10"/>
  <c r="G121" i="10"/>
  <c r="G670" i="10"/>
  <c r="G16" i="10"/>
  <c r="G58" i="10"/>
  <c r="G730" i="10"/>
  <c r="G706" i="10"/>
  <c r="G857" i="10"/>
  <c r="G762" i="10"/>
  <c r="G839" i="10"/>
  <c r="G485" i="10"/>
  <c r="G212" i="10"/>
  <c r="G753" i="10"/>
  <c r="G750" i="10"/>
  <c r="G221" i="10"/>
  <c r="G729" i="10"/>
  <c r="G828" i="10"/>
  <c r="G678" i="10"/>
  <c r="G701" i="10"/>
  <c r="G833" i="10"/>
  <c r="G571" i="10"/>
  <c r="G655" i="10"/>
  <c r="G589" i="10"/>
  <c r="G468" i="10"/>
  <c r="G456" i="10"/>
  <c r="G524" i="10"/>
  <c r="G652" i="10"/>
  <c r="G649" i="10"/>
  <c r="G644" i="10"/>
  <c r="G634" i="10"/>
  <c r="G628" i="10"/>
  <c r="G451" i="10"/>
  <c r="G574" i="10"/>
  <c r="G550" i="10"/>
  <c r="G578" i="10"/>
  <c r="G606" i="10"/>
  <c r="G653" i="10"/>
  <c r="G600" i="10"/>
  <c r="G569" i="10"/>
  <c r="G613" i="10"/>
  <c r="G611" i="10"/>
  <c r="G567" i="10"/>
  <c r="G461" i="10"/>
  <c r="G607" i="10"/>
  <c r="G459" i="10"/>
  <c r="G736" i="10"/>
  <c r="G40" i="10"/>
  <c r="G137" i="10"/>
  <c r="G513" i="10"/>
  <c r="G31" i="10"/>
  <c r="G149" i="10"/>
  <c r="G128" i="10"/>
  <c r="G154" i="10"/>
  <c r="G841" i="10"/>
  <c r="G259" i="10"/>
  <c r="G417" i="10"/>
  <c r="G414" i="10"/>
  <c r="G342" i="10"/>
  <c r="G282" i="10"/>
  <c r="G267" i="10"/>
  <c r="G298" i="10"/>
  <c r="G290" i="10"/>
  <c r="G271" i="10"/>
  <c r="G432" i="10"/>
  <c r="G86" i="10"/>
  <c r="G319" i="10"/>
  <c r="G367" i="10"/>
  <c r="G349" i="10"/>
  <c r="G380" i="10"/>
  <c r="G410" i="10"/>
  <c r="G280" i="10"/>
  <c r="G302" i="10"/>
  <c r="G243" i="10"/>
  <c r="G242" i="10"/>
  <c r="G823" i="10"/>
  <c r="G725" i="10"/>
  <c r="G699" i="10"/>
  <c r="G691" i="10"/>
  <c r="G814" i="10"/>
  <c r="G743" i="10"/>
  <c r="G779" i="10"/>
  <c r="G784" i="10"/>
  <c r="G855" i="10"/>
  <c r="G186" i="10"/>
  <c r="G775" i="10"/>
  <c r="G112" i="10"/>
  <c r="G116" i="10"/>
  <c r="G708" i="10"/>
  <c r="G17" i="10"/>
  <c r="G497" i="10"/>
  <c r="G765" i="10"/>
  <c r="G868" i="10"/>
  <c r="G685" i="10"/>
  <c r="G829" i="10"/>
  <c r="G806" i="10"/>
  <c r="G48" i="10"/>
  <c r="G213" i="10"/>
  <c r="G787" i="10"/>
  <c r="G818" i="10"/>
  <c r="G54" i="10"/>
  <c r="G764" i="10"/>
  <c r="G867" i="10"/>
  <c r="G715" i="10"/>
  <c r="G774" i="10"/>
  <c r="G800" i="10"/>
  <c r="G618" i="10"/>
  <c r="G536" i="10"/>
  <c r="G588" i="10"/>
  <c r="G537" i="10"/>
  <c r="G582" i="10"/>
  <c r="G525" i="10"/>
  <c r="G74" i="10"/>
  <c r="G531" i="10"/>
  <c r="G453" i="10"/>
  <c r="G633" i="10"/>
  <c r="G624" i="10"/>
  <c r="G641" i="10"/>
  <c r="G562" i="10"/>
  <c r="G580" i="10"/>
  <c r="G576" i="10"/>
  <c r="G640" i="10"/>
  <c r="G92" i="10"/>
  <c r="G651" i="10"/>
  <c r="G557" i="10"/>
  <c r="G608" i="10"/>
  <c r="G8" i="10"/>
  <c r="G458" i="10"/>
  <c r="G843" i="10"/>
  <c r="G44" i="10"/>
  <c r="G136" i="10"/>
  <c r="G227" i="10"/>
  <c r="G33" i="10"/>
  <c r="G151" i="10"/>
  <c r="G130" i="10"/>
  <c r="G229" i="10"/>
  <c r="G487" i="10"/>
  <c r="G325" i="10"/>
  <c r="G257" i="10"/>
  <c r="G398" i="10"/>
  <c r="G373" i="10"/>
  <c r="G305" i="10"/>
  <c r="G519" i="10"/>
  <c r="G299" i="10"/>
  <c r="G288" i="10"/>
  <c r="G286" i="10"/>
  <c r="G425" i="10"/>
  <c r="G443" i="10"/>
  <c r="G441" i="10"/>
  <c r="G365" i="10"/>
  <c r="G360" i="10"/>
  <c r="G245" i="10"/>
  <c r="G390" i="10"/>
  <c r="G518" i="10"/>
  <c r="G284" i="10"/>
  <c r="G69" i="10"/>
  <c r="G70" i="10"/>
  <c r="G204" i="10"/>
  <c r="G760" i="10"/>
  <c r="G697" i="10"/>
  <c r="G728" i="10"/>
  <c r="G673" i="10"/>
  <c r="G778" i="10"/>
  <c r="G675" i="10"/>
  <c r="G817" i="10"/>
  <c r="G853" i="10"/>
  <c r="G766" i="10"/>
  <c r="G808" i="10"/>
  <c r="G108" i="10"/>
  <c r="G111" i="10"/>
  <c r="G741" i="10"/>
  <c r="G687" i="10"/>
  <c r="G695" i="10"/>
  <c r="G799" i="10"/>
  <c r="G146" i="10"/>
  <c r="G722" i="10"/>
  <c r="G690" i="10"/>
  <c r="G669" i="10"/>
  <c r="G209" i="10"/>
  <c r="G490" i="10"/>
  <c r="G820" i="10"/>
  <c r="G422" i="10"/>
  <c r="G223" i="10"/>
  <c r="G798" i="10"/>
  <c r="G686" i="10"/>
  <c r="G748" i="10"/>
  <c r="G807" i="10"/>
  <c r="G236" i="10"/>
  <c r="G535" i="10"/>
  <c r="G530" i="10"/>
  <c r="G464" i="10"/>
  <c r="G632" i="10"/>
  <c r="G543" i="10"/>
  <c r="G478" i="10"/>
  <c r="G463" i="10"/>
  <c r="G472" i="10"/>
  <c r="G636" i="10"/>
  <c r="G663" i="10"/>
  <c r="G540" i="10"/>
  <c r="G563" i="10"/>
  <c r="G587" i="10"/>
  <c r="G583" i="10"/>
  <c r="G610" i="10"/>
  <c r="G93" i="10"/>
  <c r="G526" i="10"/>
  <c r="G556" i="10"/>
  <c r="G597" i="10"/>
  <c r="G595" i="10"/>
  <c r="G662" i="10"/>
  <c r="G591" i="10"/>
  <c r="G470" i="10"/>
  <c r="G740" i="10"/>
  <c r="G239" i="10"/>
  <c r="G138" i="10"/>
  <c r="G36" i="10"/>
  <c r="G37" i="10"/>
  <c r="G230" i="10"/>
  <c r="G135" i="10"/>
  <c r="G514" i="10"/>
  <c r="G238" i="10"/>
  <c r="G254" i="10"/>
  <c r="G419" i="10"/>
  <c r="G412" i="10"/>
  <c r="G371" i="10"/>
  <c r="G274" i="10"/>
  <c r="G64" i="10"/>
  <c r="G324" i="10"/>
  <c r="G6" i="10"/>
  <c r="G310" i="10"/>
  <c r="G428" i="10"/>
  <c r="G362" i="10"/>
  <c r="G348" i="10"/>
  <c r="G363" i="10"/>
  <c r="G351" i="10"/>
  <c r="G297" i="10"/>
  <c r="G300" i="10"/>
  <c r="G268" i="10"/>
  <c r="G346" i="10"/>
  <c r="G517" i="10"/>
  <c r="G326" i="10"/>
  <c r="G682" i="10"/>
  <c r="G794" i="10"/>
  <c r="G735" i="10"/>
  <c r="G763" i="10"/>
  <c r="G710" i="10"/>
  <c r="G812" i="10"/>
  <c r="G712" i="10"/>
  <c r="G845" i="10"/>
  <c r="G848" i="10"/>
  <c r="G188" i="10"/>
  <c r="G739" i="10"/>
  <c r="G122" i="10"/>
  <c r="G126" i="10"/>
  <c r="G810" i="10"/>
  <c r="G724" i="10"/>
  <c r="G732" i="10"/>
  <c r="G832" i="10"/>
  <c r="G700" i="10"/>
  <c r="G757" i="10"/>
  <c r="G796" i="10"/>
  <c r="G707" i="10"/>
  <c r="G486" i="10"/>
  <c r="G488" i="10"/>
  <c r="G683" i="10"/>
  <c r="G418" i="10"/>
  <c r="G667" i="10"/>
  <c r="G831" i="10"/>
  <c r="G723" i="10"/>
  <c r="G783" i="10"/>
  <c r="G840" i="10"/>
  <c r="G90" i="10"/>
  <c r="G605" i="10"/>
  <c r="G522" i="10"/>
  <c r="G94" i="10"/>
  <c r="G449" i="10"/>
  <c r="G603" i="10"/>
  <c r="G542" i="10"/>
  <c r="G541" i="10"/>
  <c r="G532" i="10"/>
  <c r="G630" i="10"/>
  <c r="G629" i="10"/>
  <c r="G622" i="10"/>
  <c r="G539" i="10"/>
  <c r="G560" i="10"/>
  <c r="G586" i="10"/>
  <c r="G577" i="10"/>
  <c r="G471" i="10"/>
  <c r="G474" i="10"/>
  <c r="G533" i="10"/>
  <c r="G648" i="10"/>
  <c r="G646" i="10"/>
  <c r="G592" i="10"/>
  <c r="G620" i="10"/>
  <c r="G642" i="10"/>
  <c r="G143" i="10"/>
  <c r="G809" i="10"/>
  <c r="G153" i="10"/>
  <c r="G141" i="10"/>
  <c r="G509" i="10"/>
  <c r="G30" i="10"/>
  <c r="G129" i="10"/>
  <c r="G240" i="10"/>
  <c r="G482" i="10"/>
  <c r="G842" i="10"/>
  <c r="G409" i="10"/>
  <c r="G275" i="10"/>
  <c r="G402" i="10"/>
  <c r="G330" i="10"/>
  <c r="G406" i="10"/>
  <c r="G719" i="10"/>
  <c r="G742" i="10"/>
  <c r="G849" i="10"/>
  <c r="G120" i="10"/>
  <c r="G756" i="10"/>
  <c r="G870" i="10"/>
  <c r="G56" i="10"/>
  <c r="G816" i="10"/>
  <c r="G106" i="10"/>
  <c r="G450" i="10"/>
  <c r="G638" i="10"/>
  <c r="G585" i="10"/>
  <c r="G599" i="10"/>
  <c r="G643" i="10"/>
  <c r="G776" i="10"/>
  <c r="G5" i="10"/>
  <c r="G508" i="10"/>
  <c r="G193" i="10"/>
  <c r="G231" i="10"/>
  <c r="G516" i="10"/>
  <c r="G165" i="10"/>
  <c r="G160" i="10"/>
  <c r="G180" i="10"/>
  <c r="G197" i="10"/>
  <c r="G769" i="10"/>
  <c r="G496" i="10"/>
  <c r="G501" i="10"/>
  <c r="G102" i="10"/>
  <c r="G173" i="10"/>
  <c r="G289" i="10"/>
  <c r="G96" i="10"/>
  <c r="G339" i="10"/>
  <c r="G372" i="10"/>
  <c r="G252" i="10"/>
  <c r="G62" i="10"/>
  <c r="G444" i="10"/>
  <c r="G368" i="10"/>
  <c r="G361" i="10"/>
  <c r="G382" i="10"/>
  <c r="G73" i="10"/>
  <c r="G851" i="10"/>
  <c r="G45" i="10"/>
  <c r="G251" i="10"/>
  <c r="G813" i="10"/>
  <c r="G689" i="10"/>
  <c r="G637" i="10"/>
  <c r="G140" i="10"/>
  <c r="G43" i="10"/>
  <c r="G181" i="10"/>
  <c r="G51" i="10"/>
  <c r="G258" i="10"/>
  <c r="G388" i="10"/>
  <c r="G312" i="10"/>
  <c r="G858" i="10"/>
  <c r="G389" i="10"/>
  <c r="G316" i="10"/>
  <c r="G379" i="10"/>
  <c r="G445" i="10"/>
  <c r="G385" i="10"/>
  <c r="G754" i="10"/>
  <c r="G777" i="10"/>
  <c r="G847" i="10"/>
  <c r="G480" i="10"/>
  <c r="G46" i="10"/>
  <c r="G865" i="10"/>
  <c r="G50" i="10"/>
  <c r="G709" i="10"/>
  <c r="G559" i="10"/>
  <c r="G616" i="10"/>
  <c r="G584" i="10"/>
  <c r="G639" i="10"/>
  <c r="G650" i="10"/>
  <c r="G466" i="10"/>
  <c r="G4" i="10"/>
  <c r="G225" i="10"/>
  <c r="G505" i="10"/>
  <c r="G194" i="10"/>
  <c r="G237" i="10"/>
  <c r="G39" i="10"/>
  <c r="G167" i="10"/>
  <c r="G161" i="10"/>
  <c r="G13" i="10"/>
  <c r="G24" i="10"/>
  <c r="G835" i="10"/>
  <c r="G495" i="10"/>
  <c r="G49" i="10"/>
  <c r="G98" i="10"/>
  <c r="G175" i="10"/>
  <c r="G63" i="10"/>
  <c r="G11" i="10"/>
  <c r="G334" i="10"/>
  <c r="G370" i="10"/>
  <c r="G393" i="10"/>
  <c r="G426" i="10"/>
  <c r="G322" i="10"/>
  <c r="G366" i="10"/>
  <c r="G318" i="10"/>
  <c r="G303" i="10"/>
  <c r="G327" i="10"/>
  <c r="G856" i="10"/>
  <c r="G357" i="10"/>
  <c r="G203" i="10"/>
  <c r="G493" i="10"/>
  <c r="G248" i="10"/>
  <c r="G612" i="10"/>
  <c r="G185" i="10"/>
  <c r="G163" i="10"/>
  <c r="G782" i="10"/>
  <c r="G95" i="10"/>
  <c r="G446" i="10"/>
  <c r="G416" i="10"/>
  <c r="G359" i="10"/>
  <c r="G423" i="10"/>
  <c r="G335" i="10"/>
  <c r="G404" i="10"/>
  <c r="G827" i="10"/>
  <c r="G746" i="10"/>
  <c r="G665" i="10"/>
  <c r="G206" i="10"/>
  <c r="G147" i="10"/>
  <c r="G211" i="10"/>
  <c r="G705" i="10"/>
  <c r="G664" i="10"/>
  <c r="G462" i="10"/>
  <c r="G545" i="10"/>
  <c r="G549" i="10"/>
  <c r="G473" i="10"/>
  <c r="G660" i="10"/>
  <c r="G152" i="10"/>
  <c r="G131" i="10"/>
  <c r="G184" i="10"/>
  <c r="G196" i="10"/>
  <c r="G234" i="10"/>
  <c r="G510" i="10"/>
  <c r="G170" i="10"/>
  <c r="G162" i="10"/>
  <c r="G182" i="10"/>
  <c r="G680" i="10"/>
  <c r="G802" i="10"/>
  <c r="G219" i="10"/>
  <c r="G815" i="10"/>
  <c r="G91" i="10"/>
  <c r="G176" i="10"/>
  <c r="G260" i="10"/>
  <c r="G104" i="10"/>
  <c r="G263" i="10"/>
  <c r="G308" i="10"/>
  <c r="G329" i="10"/>
  <c r="G429" i="10"/>
  <c r="G320" i="10"/>
  <c r="G364" i="10"/>
  <c r="G391" i="10"/>
  <c r="G285" i="10"/>
  <c r="G265" i="10"/>
  <c r="G854" i="10"/>
  <c r="G394" i="10"/>
  <c r="G345" i="10"/>
  <c r="G791" i="10"/>
  <c r="G551" i="10"/>
  <c r="G594" i="10"/>
  <c r="G233" i="10"/>
  <c r="G241" i="10"/>
  <c r="G59" i="10"/>
  <c r="G171" i="10"/>
  <c r="G306" i="10"/>
  <c r="G336" i="10"/>
  <c r="G481" i="10"/>
  <c r="G338" i="10"/>
  <c r="G395" i="10"/>
  <c r="G437" i="10"/>
  <c r="G75" i="10"/>
  <c r="G81" i="10"/>
  <c r="G734" i="10"/>
  <c r="G781" i="10"/>
  <c r="G703" i="10"/>
  <c r="G21" i="10"/>
  <c r="G145" i="10"/>
  <c r="G491" i="10"/>
  <c r="G224" i="10"/>
  <c r="G702" i="10"/>
  <c r="G475" i="10"/>
  <c r="G614" i="10"/>
  <c r="G621" i="10"/>
  <c r="G534" i="10"/>
  <c r="G10" i="10"/>
  <c r="G566" i="10"/>
  <c r="G503" i="10"/>
  <c r="G133" i="10"/>
  <c r="G183" i="10"/>
  <c r="G192" i="10"/>
  <c r="G235" i="10"/>
  <c r="G200" i="10"/>
  <c r="G168" i="10"/>
  <c r="G159" i="10"/>
  <c r="G179" i="10"/>
  <c r="G717" i="10"/>
  <c r="G696" i="10"/>
  <c r="G57" i="10"/>
  <c r="G714" i="10"/>
  <c r="G107" i="10"/>
  <c r="G177" i="10"/>
  <c r="G255" i="10"/>
  <c r="G99" i="10"/>
  <c r="G413" i="10"/>
  <c r="G283" i="10"/>
  <c r="G408" i="10"/>
  <c r="G424" i="10"/>
  <c r="G313" i="10"/>
  <c r="G331" i="10"/>
  <c r="G301" i="10"/>
  <c r="G378" i="10"/>
  <c r="G47" i="10"/>
  <c r="G862" i="10"/>
  <c r="G396" i="10"/>
  <c r="G771" i="10"/>
  <c r="G759" i="10"/>
  <c r="G477" i="10"/>
  <c r="G553" i="10"/>
  <c r="G195" i="10"/>
  <c r="G169" i="10"/>
  <c r="G751" i="10"/>
  <c r="G101" i="10"/>
  <c r="G397" i="10"/>
  <c r="G438" i="10"/>
  <c r="G71" i="10"/>
  <c r="G369" i="10"/>
  <c r="G323" i="10"/>
  <c r="G343" i="10"/>
  <c r="G281" i="10"/>
  <c r="G264" i="10"/>
  <c r="G797" i="10"/>
  <c r="G852" i="10"/>
  <c r="G119" i="10"/>
  <c r="G768" i="10"/>
  <c r="G217" i="10"/>
  <c r="G720" i="10"/>
  <c r="G758" i="10"/>
  <c r="G656" i="10"/>
  <c r="G654" i="10"/>
  <c r="G627" i="10"/>
  <c r="G561" i="10"/>
  <c r="G469" i="10"/>
  <c r="G527" i="10"/>
  <c r="G805" i="10"/>
  <c r="G232" i="10"/>
  <c r="G205" i="10"/>
  <c r="G190" i="10"/>
  <c r="G228" i="10"/>
  <c r="G844" i="10"/>
  <c r="G3" i="10"/>
  <c r="G157" i="10"/>
  <c r="G19" i="10"/>
  <c r="G23" i="10"/>
  <c r="G819" i="10"/>
  <c r="G55" i="10"/>
  <c r="G220" i="10"/>
  <c r="G420" i="10"/>
  <c r="G12" i="10"/>
  <c r="G174" i="10"/>
  <c r="G187" i="10"/>
  <c r="G103" i="10"/>
  <c r="G295" i="10"/>
  <c r="G250" i="10"/>
  <c r="G82" i="10"/>
  <c r="G434" i="10"/>
  <c r="G431" i="10"/>
  <c r="G354" i="10"/>
  <c r="G386" i="10"/>
  <c r="G401" i="10"/>
  <c r="G864" i="10"/>
  <c r="G358" i="10"/>
  <c r="G307" i="10"/>
  <c r="G328" i="10"/>
  <c r="G344" i="10"/>
  <c r="G347" i="10"/>
  <c r="G66" i="10"/>
  <c r="G830" i="10"/>
  <c r="G846" i="10"/>
  <c r="G113" i="10"/>
  <c r="G834" i="10"/>
  <c r="G218" i="10"/>
  <c r="G755" i="10"/>
  <c r="G792" i="10"/>
  <c r="G315" i="10"/>
  <c r="G793" i="10"/>
  <c r="G609" i="10"/>
  <c r="G552" i="10"/>
  <c r="G512" i="10"/>
  <c r="G18" i="10"/>
  <c r="G53" i="10"/>
  <c r="G20" i="10"/>
  <c r="G287" i="10"/>
  <c r="G269" i="10"/>
  <c r="G506" i="10"/>
  <c r="G617" i="10"/>
  <c r="G105" i="10"/>
  <c r="G411" i="10"/>
  <c r="G824" i="10"/>
  <c r="G625" i="10"/>
  <c r="G838" i="10"/>
  <c r="G28" i="10"/>
  <c r="G191" i="10"/>
  <c r="G499" i="10"/>
  <c r="G100" i="10"/>
  <c r="G80" i="10"/>
  <c r="G384" i="10"/>
  <c r="G645" i="10"/>
  <c r="G97" i="10"/>
  <c r="G352" i="10"/>
  <c r="G452" i="10"/>
  <c r="G733" i="10"/>
  <c r="G77" i="10"/>
  <c r="G427" i="10"/>
  <c r="G210" i="10"/>
  <c r="G548" i="10"/>
  <c r="G139" i="10"/>
  <c r="G42" i="10"/>
  <c r="G22" i="10"/>
  <c r="G677" i="10"/>
  <c r="G2" i="10"/>
  <c r="G436" i="10"/>
  <c r="G266" i="10"/>
  <c r="G547" i="10"/>
  <c r="G785" i="10"/>
  <c r="G7" i="10"/>
  <c r="G837" i="10"/>
  <c r="G164" i="10"/>
  <c r="G860" i="10"/>
  <c r="G41" i="10"/>
  <c r="G291" i="10"/>
  <c r="G726" i="10"/>
  <c r="G631" i="10"/>
  <c r="G511" i="10"/>
  <c r="G199" i="10"/>
  <c r="G25" i="10"/>
  <c r="G84" i="10"/>
  <c r="G253" i="10"/>
  <c r="G440" i="10"/>
  <c r="G376" i="10"/>
  <c r="G60" i="10"/>
  <c r="G166" i="10"/>
  <c r="G442" i="10"/>
  <c r="G208" i="10"/>
  <c r="G374" i="10"/>
  <c r="G276" i="10"/>
  <c r="G448" i="10"/>
  <c r="G14" i="10"/>
  <c r="G156" i="10"/>
  <c r="G498" i="10"/>
  <c r="G172" i="10"/>
  <c r="G317" i="10"/>
  <c r="G356" i="10"/>
  <c r="G87" i="10"/>
  <c r="G150" i="10"/>
  <c r="G528" i="10"/>
  <c r="G476" i="10"/>
  <c r="G189" i="10"/>
  <c r="G158" i="10"/>
  <c r="G500" i="10"/>
  <c r="G178" i="10"/>
  <c r="G65" i="10"/>
  <c r="G350" i="10"/>
  <c r="AC465" i="3"/>
  <c r="M361" i="3"/>
  <c r="AI455" i="3"/>
  <c r="S362" i="3"/>
  <c r="F249" i="3"/>
  <c r="F104" i="3"/>
  <c r="E26" i="19" s="1"/>
  <c r="F241" i="3"/>
  <c r="E284" i="3"/>
  <c r="F175" i="3"/>
  <c r="E184" i="3"/>
  <c r="E193" i="3" s="1"/>
  <c r="E38" i="19" s="1"/>
  <c r="F376" i="3"/>
  <c r="F162" i="3"/>
  <c r="E32" i="19" s="1"/>
  <c r="F184" i="3"/>
  <c r="F303" i="3"/>
  <c r="F308" i="3" s="1"/>
  <c r="F313" i="3" s="1"/>
  <c r="E56" i="19" s="1"/>
  <c r="Z465" i="3"/>
  <c r="F152" i="3"/>
  <c r="F228" i="3"/>
  <c r="F96" i="3"/>
  <c r="E22" i="19" s="1"/>
  <c r="F178" i="3"/>
  <c r="E249" i="3"/>
  <c r="F394" i="3"/>
  <c r="F265" i="3"/>
  <c r="F286" i="3" s="1"/>
  <c r="X232" i="5"/>
  <c r="X423" i="5"/>
  <c r="X60" i="5"/>
  <c r="X156" i="5"/>
  <c r="X199" i="5"/>
  <c r="X215" i="5"/>
  <c r="X434" i="5"/>
  <c r="X55" i="5"/>
  <c r="T441" i="5"/>
  <c r="X441" i="5"/>
  <c r="T475" i="5"/>
  <c r="X475" i="5"/>
  <c r="X425" i="5"/>
  <c r="X416" i="5"/>
  <c r="X374" i="5"/>
  <c r="W461" i="5"/>
  <c r="X461" i="5"/>
  <c r="X431" i="5"/>
  <c r="X362" i="5"/>
  <c r="X294" i="5"/>
  <c r="X285" i="5"/>
  <c r="W466" i="5"/>
  <c r="X466" i="5"/>
  <c r="X306" i="5"/>
  <c r="V476" i="5"/>
  <c r="X476" i="5"/>
  <c r="X348" i="5"/>
  <c r="X322" i="5"/>
  <c r="X15" i="5"/>
  <c r="X80" i="5"/>
  <c r="X315" i="5"/>
  <c r="X295" i="5"/>
  <c r="X277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X206" i="5"/>
  <c r="X39" i="5"/>
  <c r="X251" i="5"/>
  <c r="X367" i="5"/>
  <c r="U472" i="5"/>
  <c r="X472" i="5"/>
  <c r="X155" i="5"/>
  <c r="X159" i="5"/>
  <c r="X225" i="5"/>
  <c r="W498" i="5"/>
  <c r="X498" i="5"/>
  <c r="X21" i="5"/>
  <c r="X37" i="5"/>
  <c r="X8" i="5"/>
  <c r="X114" i="5"/>
  <c r="X128" i="5"/>
  <c r="X138" i="5"/>
  <c r="X146" i="5"/>
  <c r="X186" i="5"/>
  <c r="X257" i="5"/>
  <c r="X281" i="5"/>
  <c r="X365" i="5"/>
  <c r="W456" i="5"/>
  <c r="X456" i="5"/>
  <c r="X43" i="5"/>
  <c r="X70" i="5"/>
  <c r="X132" i="5"/>
  <c r="X230" i="5"/>
  <c r="T447" i="5"/>
  <c r="X447" i="5"/>
  <c r="X149" i="5"/>
  <c r="X166" i="5"/>
  <c r="X190" i="5"/>
  <c r="X209" i="5"/>
  <c r="X243" i="5"/>
  <c r="X63" i="5"/>
  <c r="W453" i="5"/>
  <c r="X453" i="5"/>
  <c r="X269" i="5"/>
  <c r="X379" i="5"/>
  <c r="W477" i="5"/>
  <c r="X477" i="5"/>
  <c r="X437" i="5"/>
  <c r="X418" i="5"/>
  <c r="W485" i="5"/>
  <c r="X485" i="5"/>
  <c r="X377" i="5"/>
  <c r="X336" i="5"/>
  <c r="X380" i="5"/>
  <c r="V470" i="5"/>
  <c r="X470" i="5"/>
  <c r="X415" i="5"/>
  <c r="X333" i="5"/>
  <c r="X347" i="5"/>
  <c r="X279" i="5"/>
  <c r="X311" i="5"/>
  <c r="X392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X102" i="5"/>
  <c r="X117" i="5"/>
  <c r="X148" i="5"/>
  <c r="X109" i="5"/>
  <c r="X53" i="5"/>
  <c r="X198" i="5"/>
  <c r="X74" i="5"/>
  <c r="X3" i="5"/>
  <c r="X125" i="5"/>
  <c r="X134" i="5"/>
  <c r="X143" i="5"/>
  <c r="X183" i="5"/>
  <c r="X195" i="5"/>
  <c r="X271" i="5"/>
  <c r="X64" i="5"/>
  <c r="X163" i="5"/>
  <c r="X255" i="5"/>
  <c r="X399" i="5"/>
  <c r="U483" i="5"/>
  <c r="X483" i="5"/>
  <c r="X160" i="5"/>
  <c r="X176" i="5"/>
  <c r="X203" i="5"/>
  <c r="T442" i="5"/>
  <c r="X442" i="5"/>
  <c r="T449" i="5"/>
  <c r="X449" i="5"/>
  <c r="T452" i="5"/>
  <c r="X452" i="5"/>
  <c r="X204" i="5"/>
  <c r="X36" i="5"/>
  <c r="X335" i="5"/>
  <c r="X297" i="5"/>
  <c r="X302" i="5"/>
  <c r="X386" i="5"/>
  <c r="X312" i="5"/>
  <c r="X337" i="5"/>
  <c r="X316" i="5"/>
  <c r="X29" i="5"/>
  <c r="X342" i="5"/>
  <c r="X280" i="5"/>
  <c r="X314" i="5"/>
  <c r="X34" i="5"/>
  <c r="X84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X16" i="5"/>
  <c r="X76" i="5"/>
  <c r="X113" i="5"/>
  <c r="X78" i="5"/>
  <c r="X48" i="5"/>
  <c r="X116" i="5"/>
  <c r="X421" i="5"/>
  <c r="X77" i="5"/>
  <c r="X249" i="5"/>
  <c r="U443" i="5"/>
  <c r="X443" i="5"/>
  <c r="X369" i="5"/>
  <c r="X409" i="5"/>
  <c r="T489" i="5"/>
  <c r="X489" i="5"/>
  <c r="X357" i="5"/>
  <c r="X44" i="5"/>
  <c r="X428" i="5"/>
  <c r="X350" i="5"/>
  <c r="U481" i="5"/>
  <c r="X481" i="5"/>
  <c r="X324" i="5"/>
  <c r="X303" i="5"/>
  <c r="X52" i="5"/>
  <c r="X81" i="5"/>
  <c r="X274" i="5"/>
  <c r="X250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X165" i="5"/>
  <c r="X50" i="5"/>
  <c r="T491" i="5"/>
  <c r="X491" i="5"/>
  <c r="X101" i="5"/>
  <c r="X140" i="5"/>
  <c r="X158" i="5"/>
  <c r="X188" i="5"/>
  <c r="X404" i="5"/>
  <c r="X352" i="5"/>
  <c r="U479" i="5"/>
  <c r="X479" i="5"/>
  <c r="X12" i="5"/>
  <c r="X145" i="5"/>
  <c r="X185" i="5"/>
  <c r="X252" i="5"/>
  <c r="X273" i="5"/>
  <c r="X356" i="5"/>
  <c r="U455" i="5"/>
  <c r="X455" i="5"/>
  <c r="X38" i="5"/>
  <c r="X67" i="5"/>
  <c r="X124" i="5"/>
  <c r="X180" i="5"/>
  <c r="X270" i="5"/>
  <c r="W444" i="5"/>
  <c r="X444" i="5"/>
  <c r="X24" i="5"/>
  <c r="X164" i="5"/>
  <c r="X207" i="5"/>
  <c r="X68" i="5"/>
  <c r="X412" i="5"/>
  <c r="X83" i="5"/>
  <c r="T474" i="5"/>
  <c r="X474" i="5"/>
  <c r="T446" i="5"/>
  <c r="X446" i="5"/>
  <c r="T445" i="5"/>
  <c r="X445" i="5"/>
  <c r="X426" i="5"/>
  <c r="X118" i="5"/>
  <c r="U450" i="5"/>
  <c r="X450" i="5"/>
  <c r="X363" i="5"/>
  <c r="X339" i="5"/>
  <c r="U468" i="5"/>
  <c r="X468" i="5"/>
  <c r="X313" i="5"/>
  <c r="X86" i="5"/>
  <c r="X395" i="5"/>
  <c r="X287" i="5"/>
  <c r="X284" i="5"/>
  <c r="X310" i="5"/>
  <c r="X18" i="5"/>
  <c r="X258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X401" i="5"/>
  <c r="X85" i="5"/>
  <c r="X141" i="5"/>
  <c r="X179" i="5"/>
  <c r="X191" i="5"/>
  <c r="X177" i="5"/>
  <c r="X154" i="5"/>
  <c r="X242" i="5"/>
  <c r="X202" i="5"/>
  <c r="X214" i="5"/>
  <c r="X30" i="5"/>
  <c r="X57" i="5"/>
  <c r="T499" i="5"/>
  <c r="X499" i="5"/>
  <c r="X46" i="5"/>
  <c r="X340" i="5"/>
  <c r="T460" i="5"/>
  <c r="X460" i="5"/>
  <c r="X153" i="5"/>
  <c r="X170" i="5"/>
  <c r="X197" i="5"/>
  <c r="X213" i="5"/>
  <c r="X436" i="5"/>
  <c r="U473" i="5"/>
  <c r="X473" i="5"/>
  <c r="X430" i="5"/>
  <c r="X361" i="5"/>
  <c r="X196" i="5"/>
  <c r="X171" i="5"/>
  <c r="X110" i="5"/>
  <c r="X49" i="5"/>
  <c r="X91" i="5"/>
  <c r="X222" i="5"/>
  <c r="X210" i="5"/>
  <c r="X41" i="5"/>
  <c r="X71" i="5"/>
  <c r="X137" i="5"/>
  <c r="X88" i="5"/>
  <c r="X107" i="5"/>
  <c r="X136" i="5"/>
  <c r="X175" i="5"/>
  <c r="X220" i="5"/>
  <c r="X189" i="5"/>
  <c r="X79" i="5"/>
  <c r="T502" i="5"/>
  <c r="X502" i="5"/>
  <c r="X19" i="5"/>
  <c r="X59" i="5"/>
  <c r="X208" i="5"/>
  <c r="X96" i="5"/>
  <c r="T508" i="5"/>
  <c r="X508" i="5"/>
  <c r="X119" i="5"/>
  <c r="X2" i="5"/>
  <c r="T493" i="5"/>
  <c r="X493" i="5"/>
  <c r="X104" i="5"/>
  <c r="X121" i="5"/>
  <c r="X133" i="5"/>
  <c r="X142" i="5"/>
  <c r="X182" i="5"/>
  <c r="X268" i="5"/>
  <c r="X326" i="5"/>
  <c r="X433" i="5"/>
  <c r="X6" i="5"/>
  <c r="X62" i="5"/>
  <c r="X111" i="5"/>
  <c r="X161" i="5"/>
  <c r="X254" i="5"/>
  <c r="U480" i="5"/>
  <c r="X480" i="5"/>
  <c r="X157" i="5"/>
  <c r="X174" i="5"/>
  <c r="X217" i="5"/>
  <c r="X368" i="5"/>
  <c r="X28" i="5"/>
  <c r="X351" i="5"/>
  <c r="X420" i="5"/>
  <c r="X429" i="5"/>
  <c r="X376" i="5"/>
  <c r="X329" i="5"/>
  <c r="X387" i="5"/>
  <c r="X323" i="5"/>
  <c r="T464" i="5"/>
  <c r="X464" i="5"/>
  <c r="X27" i="5"/>
  <c r="X22" i="5"/>
  <c r="X360" i="5"/>
  <c r="X45" i="5"/>
  <c r="X290" i="5"/>
  <c r="X391" i="5"/>
  <c r="X304" i="5"/>
  <c r="X267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X168" i="5"/>
  <c r="X422" i="5"/>
  <c r="X331" i="5"/>
  <c r="T454" i="5"/>
  <c r="X454" i="5"/>
  <c r="X400" i="5"/>
  <c r="X275" i="5"/>
  <c r="X432" i="5"/>
  <c r="T490" i="5"/>
  <c r="X490" i="5"/>
  <c r="X388" i="5"/>
  <c r="X405" i="5"/>
  <c r="X325" i="5"/>
  <c r="X390" i="5"/>
  <c r="W510" i="5"/>
  <c r="X510" i="5"/>
  <c r="X393" i="5"/>
  <c r="X296" i="5"/>
  <c r="X23" i="5"/>
  <c r="X247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X90" i="5"/>
  <c r="X216" i="5"/>
  <c r="X244" i="5"/>
  <c r="U495" i="5"/>
  <c r="X495" i="5"/>
  <c r="X69" i="5"/>
  <c r="U497" i="5"/>
  <c r="X497" i="5"/>
  <c r="X100" i="5"/>
  <c r="X42" i="5"/>
  <c r="X309" i="5"/>
  <c r="X97" i="5"/>
  <c r="X115" i="5"/>
  <c r="X129" i="5"/>
  <c r="X139" i="5"/>
  <c r="X187" i="5"/>
  <c r="X263" i="5"/>
  <c r="X398" i="5"/>
  <c r="U457" i="5"/>
  <c r="X457" i="5"/>
  <c r="X248" i="5"/>
  <c r="V459" i="5"/>
  <c r="X459" i="5"/>
  <c r="X151" i="5"/>
  <c r="X193" i="5"/>
  <c r="X211" i="5"/>
  <c r="X402" i="5"/>
  <c r="X89" i="5"/>
  <c r="X223" i="5"/>
  <c r="X14" i="5"/>
  <c r="T505" i="5"/>
  <c r="X505" i="5"/>
  <c r="X228" i="5"/>
  <c r="X33" i="5"/>
  <c r="X355" i="5"/>
  <c r="X236" i="5"/>
  <c r="U500" i="5"/>
  <c r="X500" i="5"/>
  <c r="X103" i="5"/>
  <c r="X120" i="5"/>
  <c r="X4" i="5"/>
  <c r="X106" i="5"/>
  <c r="X135" i="5"/>
  <c r="X144" i="5"/>
  <c r="X184" i="5"/>
  <c r="X246" i="5"/>
  <c r="X272" i="5"/>
  <c r="X353" i="5"/>
  <c r="U448" i="5"/>
  <c r="X448" i="5"/>
  <c r="X66" i="5"/>
  <c r="X123" i="5"/>
  <c r="X173" i="5"/>
  <c r="X261" i="5"/>
  <c r="X435" i="5"/>
  <c r="X20" i="5"/>
  <c r="X162" i="5"/>
  <c r="X178" i="5"/>
  <c r="X205" i="5"/>
  <c r="X278" i="5"/>
  <c r="U451" i="5"/>
  <c r="X451" i="5"/>
  <c r="X40" i="5"/>
  <c r="X381" i="5"/>
  <c r="X328" i="5"/>
  <c r="T487" i="5"/>
  <c r="X487" i="5"/>
  <c r="X414" i="5"/>
  <c r="X345" i="5"/>
  <c r="X286" i="5"/>
  <c r="X419" i="5"/>
  <c r="X359" i="5"/>
  <c r="T462" i="5"/>
  <c r="X462" i="5"/>
  <c r="X371" i="5"/>
  <c r="X394" i="5"/>
  <c r="T463" i="5"/>
  <c r="X463" i="5"/>
  <c r="X389" i="5"/>
  <c r="X330" i="5"/>
  <c r="X301" i="5"/>
  <c r="X291" i="5"/>
  <c r="X305" i="5"/>
  <c r="X13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503" i="5"/>
  <c r="T501" i="5"/>
  <c r="V494" i="5"/>
  <c r="V906" i="5"/>
  <c r="U454" i="5"/>
  <c r="P507" i="5"/>
  <c r="W912" i="5"/>
  <c r="O806" i="5"/>
  <c r="W787" i="5"/>
  <c r="W476" i="5"/>
  <c r="O676" i="5"/>
  <c r="P498" i="5"/>
  <c r="P764" i="5"/>
  <c r="O884" i="5"/>
  <c r="P878" i="5"/>
  <c r="P480" i="5"/>
  <c r="W489" i="5"/>
  <c r="T839" i="5"/>
  <c r="N884" i="5"/>
  <c r="T563" i="5"/>
  <c r="U574" i="5"/>
  <c r="V574" i="5"/>
  <c r="O444" i="5"/>
  <c r="N460" i="5"/>
  <c r="N691" i="5"/>
  <c r="N866" i="5"/>
  <c r="V1050" i="5"/>
  <c r="V475" i="5"/>
  <c r="V575" i="5"/>
  <c r="O697" i="5"/>
  <c r="O866" i="5"/>
  <c r="W813" i="5"/>
  <c r="W876" i="5"/>
  <c r="V938" i="5"/>
  <c r="W852" i="5"/>
  <c r="T875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O474" i="5"/>
  <c r="P830" i="5"/>
  <c r="W851" i="5"/>
  <c r="T866" i="5"/>
  <c r="U1021" i="5"/>
  <c r="O480" i="5"/>
  <c r="V590" i="5"/>
  <c r="W639" i="5"/>
  <c r="O841" i="5"/>
  <c r="N659" i="5"/>
  <c r="O802" i="5"/>
  <c r="N892" i="5"/>
  <c r="U1023" i="5"/>
  <c r="O479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O777" i="5"/>
  <c r="O871" i="5"/>
  <c r="U1018" i="5"/>
  <c r="U499" i="5"/>
  <c r="N463" i="5"/>
  <c r="U585" i="5"/>
  <c r="U600" i="5"/>
  <c r="N657" i="5"/>
  <c r="O685" i="5"/>
  <c r="W499" i="5"/>
  <c r="N507" i="5"/>
  <c r="U464" i="5"/>
  <c r="V564" i="5"/>
  <c r="V591" i="5"/>
  <c r="U762" i="5"/>
  <c r="U838" i="5"/>
  <c r="N444" i="5"/>
  <c r="U490" i="5"/>
  <c r="V464" i="5"/>
  <c r="W564" i="5"/>
  <c r="U590" i="5"/>
  <c r="W627" i="5"/>
  <c r="W651" i="5"/>
  <c r="U654" i="5"/>
  <c r="P656" i="5"/>
  <c r="W753" i="5"/>
  <c r="V773" i="5"/>
  <c r="P814" i="5"/>
  <c r="V878" i="5"/>
  <c r="W566" i="5"/>
  <c r="N603" i="5"/>
  <c r="O612" i="5"/>
  <c r="O711" i="5"/>
  <c r="P750" i="5"/>
  <c r="N813" i="5"/>
  <c r="T843" i="5"/>
  <c r="W910" i="5"/>
  <c r="W942" i="5"/>
  <c r="N491" i="5"/>
  <c r="O519" i="5"/>
  <c r="N528" i="5"/>
  <c r="W574" i="5"/>
  <c r="W590" i="5"/>
  <c r="W600" i="5"/>
  <c r="O924" i="5"/>
  <c r="N1004" i="5"/>
  <c r="N1016" i="5"/>
  <c r="U1024" i="5"/>
  <c r="U650" i="5"/>
  <c r="W695" i="5"/>
  <c r="P754" i="5"/>
  <c r="O760" i="5"/>
  <c r="W773" i="5"/>
  <c r="P876" i="5"/>
  <c r="W936" i="5"/>
  <c r="P941" i="5"/>
  <c r="O964" i="5"/>
  <c r="U998" i="5"/>
  <c r="V1007" i="5"/>
  <c r="V1037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O493" i="5"/>
  <c r="V506" i="5"/>
  <c r="T506" i="5"/>
  <c r="P493" i="5"/>
  <c r="W506" i="5"/>
  <c r="P456" i="5"/>
  <c r="N456" i="5"/>
  <c r="U458" i="5"/>
  <c r="W458" i="5"/>
  <c r="W440" i="5"/>
  <c r="U440" i="5"/>
  <c r="P458" i="5"/>
  <c r="N458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O441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441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V490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T497" i="5"/>
  <c r="U477" i="5"/>
  <c r="T507" i="5"/>
  <c r="W507" i="5"/>
  <c r="V507" i="5"/>
  <c r="U445" i="5"/>
  <c r="T468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O492" i="5"/>
  <c r="P492" i="5"/>
  <c r="N448" i="5"/>
  <c r="N459" i="5"/>
  <c r="U469" i="5"/>
  <c r="W469" i="5"/>
  <c r="U478" i="5"/>
  <c r="W478" i="5"/>
  <c r="W445" i="5"/>
  <c r="W468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O448" i="5"/>
  <c r="O459" i="5"/>
  <c r="T470" i="5"/>
  <c r="W470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P478" i="5"/>
  <c r="N478" i="5"/>
  <c r="P544" i="5"/>
  <c r="O544" i="5"/>
  <c r="W1025" i="5"/>
  <c r="V1025" i="5"/>
  <c r="U1025" i="5"/>
  <c r="O494" i="5"/>
  <c r="U491" i="5"/>
  <c r="O458" i="5"/>
  <c r="U460" i="5"/>
  <c r="P469" i="5"/>
  <c r="O469" i="5"/>
  <c r="U487" i="5"/>
  <c r="V487" i="5"/>
  <c r="T479" i="5"/>
  <c r="P516" i="5"/>
  <c r="N516" i="5"/>
  <c r="P536" i="5"/>
  <c r="O536" i="5"/>
  <c r="N536" i="5"/>
  <c r="O550" i="5"/>
  <c r="P550" i="5"/>
  <c r="T918" i="5"/>
  <c r="V918" i="5"/>
  <c r="P494" i="5"/>
  <c r="U505" i="5"/>
  <c r="V491" i="5"/>
  <c r="U447" i="5"/>
  <c r="V473" i="5"/>
  <c r="U453" i="5"/>
  <c r="U485" i="5"/>
  <c r="W479" i="5"/>
  <c r="P468" i="5"/>
  <c r="N468" i="5"/>
  <c r="N556" i="5"/>
  <c r="P556" i="5"/>
  <c r="O556" i="5"/>
  <c r="U570" i="5"/>
  <c r="P572" i="5"/>
  <c r="O572" i="5"/>
  <c r="N572" i="5"/>
  <c r="U598" i="5"/>
  <c r="T604" i="5"/>
  <c r="U604" i="5"/>
  <c r="V447" i="5"/>
  <c r="W473" i="5"/>
  <c r="T461" i="5"/>
  <c r="V461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506" i="5"/>
  <c r="O502" i="5"/>
  <c r="U503" i="5"/>
  <c r="V499" i="5"/>
  <c r="W448" i="5"/>
  <c r="T444" i="5"/>
  <c r="O472" i="5"/>
  <c r="N479" i="5"/>
  <c r="U470" i="5"/>
  <c r="N48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P502" i="5"/>
  <c r="V503" i="5"/>
  <c r="O475" i="5"/>
  <c r="N475" i="5"/>
  <c r="P475" i="5"/>
  <c r="T504" i="5"/>
  <c r="U504" i="5"/>
  <c r="T484" i="5"/>
  <c r="W484" i="5"/>
  <c r="U484" i="5"/>
  <c r="U725" i="5"/>
  <c r="W725" i="5"/>
  <c r="T725" i="5"/>
  <c r="V810" i="5"/>
  <c r="T810" i="5"/>
  <c r="W810" i="5"/>
  <c r="W503" i="5"/>
  <c r="W494" i="5"/>
  <c r="N498" i="5"/>
  <c r="N508" i="5"/>
  <c r="O508" i="5"/>
  <c r="T500" i="5"/>
  <c r="V500" i="5"/>
  <c r="V492" i="5"/>
  <c r="W492" i="5"/>
  <c r="T480" i="5"/>
  <c r="W480" i="5"/>
  <c r="V480" i="5"/>
  <c r="U509" i="5"/>
  <c r="W509" i="5"/>
  <c r="T509" i="5"/>
  <c r="P443" i="5"/>
  <c r="N443" i="5"/>
  <c r="O443" i="5"/>
  <c r="V504" i="5"/>
  <c r="T495" i="5"/>
  <c r="V456" i="5"/>
  <c r="T456" i="5"/>
  <c r="T457" i="5"/>
  <c r="W457" i="5"/>
  <c r="P451" i="5"/>
  <c r="N451" i="5"/>
  <c r="O451" i="5"/>
  <c r="N501" i="5"/>
  <c r="O501" i="5"/>
  <c r="T455" i="5"/>
  <c r="W455" i="5"/>
  <c r="T471" i="5"/>
  <c r="V471" i="5"/>
  <c r="U471" i="5"/>
  <c r="W471" i="5"/>
  <c r="O522" i="5"/>
  <c r="N522" i="5"/>
  <c r="O490" i="5"/>
  <c r="N490" i="5"/>
  <c r="T482" i="5"/>
  <c r="W482" i="5"/>
  <c r="U482" i="5"/>
  <c r="V482" i="5"/>
  <c r="U515" i="5"/>
  <c r="W515" i="5"/>
  <c r="T515" i="5"/>
  <c r="V515" i="5"/>
  <c r="V509" i="5"/>
  <c r="W472" i="5"/>
  <c r="V478" i="5"/>
  <c r="P446" i="5"/>
  <c r="O446" i="5"/>
  <c r="U486" i="5"/>
  <c r="T486" i="5"/>
  <c r="W463" i="5"/>
  <c r="V939" i="5"/>
  <c r="T939" i="5"/>
  <c r="W939" i="5"/>
  <c r="T483" i="5"/>
  <c r="U442" i="5"/>
  <c r="U474" i="5"/>
  <c r="P466" i="5"/>
  <c r="N466" i="5"/>
  <c r="W464" i="5"/>
  <c r="U476" i="5"/>
  <c r="T476" i="5"/>
  <c r="T510" i="5"/>
  <c r="W465" i="5"/>
  <c r="T465" i="5"/>
  <c r="U465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V483" i="5"/>
  <c r="T473" i="5"/>
  <c r="V442" i="5"/>
  <c r="N509" i="5"/>
  <c r="U449" i="5"/>
  <c r="U452" i="5"/>
  <c r="O478" i="5"/>
  <c r="V474" i="5"/>
  <c r="V454" i="5"/>
  <c r="U507" i="5"/>
  <c r="U446" i="5"/>
  <c r="W487" i="5"/>
  <c r="U489" i="5"/>
  <c r="V489" i="5"/>
  <c r="V510" i="5"/>
  <c r="T512" i="5"/>
  <c r="V512" i="5"/>
  <c r="U512" i="5"/>
  <c r="T514" i="5"/>
  <c r="W514" i="5"/>
  <c r="U514" i="5"/>
  <c r="W442" i="5"/>
  <c r="T451" i="5"/>
  <c r="O509" i="5"/>
  <c r="V449" i="5"/>
  <c r="U475" i="5"/>
  <c r="V452" i="5"/>
  <c r="N474" i="5"/>
  <c r="W474" i="5"/>
  <c r="W454" i="5"/>
  <c r="T443" i="5"/>
  <c r="V446" i="5"/>
  <c r="T450" i="5"/>
  <c r="V450" i="5"/>
  <c r="W450" i="5"/>
  <c r="N482" i="5"/>
  <c r="O482" i="5"/>
  <c r="P470" i="5"/>
  <c r="O470" i="5"/>
  <c r="N470" i="5"/>
  <c r="O465" i="5"/>
  <c r="U441" i="5"/>
  <c r="V451" i="5"/>
  <c r="W449" i="5"/>
  <c r="W452" i="5"/>
  <c r="V443" i="5"/>
  <c r="W446" i="5"/>
  <c r="W467" i="5"/>
  <c r="U467" i="5"/>
  <c r="V466" i="5"/>
  <c r="O464" i="5"/>
  <c r="P464" i="5"/>
  <c r="P476" i="5"/>
  <c r="O476" i="5"/>
  <c r="O540" i="5"/>
  <c r="N540" i="5"/>
  <c r="P540" i="5"/>
  <c r="W491" i="5"/>
  <c r="V448" i="5"/>
  <c r="T458" i="5"/>
  <c r="V444" i="5"/>
  <c r="W447" i="5"/>
  <c r="W459" i="5"/>
  <c r="V460" i="5"/>
  <c r="T472" i="5"/>
  <c r="T469" i="5"/>
  <c r="V441" i="5"/>
  <c r="W451" i="5"/>
  <c r="W475" i="5"/>
  <c r="N454" i="5"/>
  <c r="W443" i="5"/>
  <c r="P487" i="5"/>
  <c r="N487" i="5"/>
  <c r="N445" i="5"/>
  <c r="P489" i="5"/>
  <c r="N489" i="5"/>
  <c r="N461" i="5"/>
  <c r="W490" i="5"/>
  <c r="N450" i="5"/>
  <c r="N462" i="5"/>
  <c r="V486" i="5"/>
  <c r="U463" i="5"/>
  <c r="T481" i="5"/>
  <c r="W481" i="5"/>
  <c r="V481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W460" i="5"/>
  <c r="V472" i="5"/>
  <c r="V469" i="5"/>
  <c r="W441" i="5"/>
  <c r="N452" i="5"/>
  <c r="T478" i="5"/>
  <c r="N446" i="5"/>
  <c r="O445" i="5"/>
  <c r="P461" i="5"/>
  <c r="W488" i="5"/>
  <c r="U488" i="5"/>
  <c r="P450" i="5"/>
  <c r="O462" i="5"/>
  <c r="U466" i="5"/>
  <c r="T466" i="5"/>
  <c r="W486" i="5"/>
  <c r="V463" i="5"/>
  <c r="T526" i="5"/>
  <c r="W526" i="5"/>
  <c r="U526" i="5"/>
  <c r="P535" i="5"/>
  <c r="O535" i="5"/>
  <c r="N535" i="5"/>
  <c r="T544" i="5"/>
  <c r="W544" i="5"/>
  <c r="V544" i="5"/>
  <c r="U544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V445" i="5"/>
  <c r="U462" i="5"/>
  <c r="W462" i="5"/>
  <c r="V462" i="5"/>
  <c r="O48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61" i="5"/>
  <c r="V479" i="5"/>
  <c r="V468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E30" i="19" s="1"/>
  <c r="E31" i="19" s="1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E43" i="19" s="1"/>
  <c r="E46" i="19" s="1"/>
  <c r="F244" i="3"/>
  <c r="V496" i="5"/>
  <c r="W496" i="5"/>
  <c r="V498" i="5"/>
  <c r="U498" i="5"/>
  <c r="T498" i="5"/>
  <c r="N495" i="5"/>
  <c r="O495" i="5"/>
  <c r="N497" i="5"/>
  <c r="O497" i="5"/>
  <c r="P499" i="5"/>
  <c r="O499" i="5"/>
  <c r="N496" i="5"/>
  <c r="O496" i="5"/>
  <c r="P505" i="5"/>
  <c r="O505" i="5"/>
  <c r="V501" i="5"/>
  <c r="U501" i="5"/>
  <c r="W501" i="5"/>
  <c r="P500" i="5"/>
  <c r="O500" i="5"/>
  <c r="W493" i="5"/>
  <c r="V493" i="5"/>
  <c r="U493" i="5"/>
  <c r="P503" i="5"/>
  <c r="O503" i="5"/>
  <c r="T496" i="5"/>
  <c r="V495" i="5"/>
  <c r="W495" i="5"/>
  <c r="V497" i="5"/>
  <c r="W497" i="5"/>
  <c r="V502" i="5"/>
  <c r="U502" i="5"/>
  <c r="W502" i="5"/>
  <c r="U496" i="5"/>
  <c r="P504" i="5"/>
  <c r="O504" i="5"/>
  <c r="V508" i="5"/>
  <c r="U508" i="5"/>
  <c r="W508" i="5"/>
  <c r="P457" i="5"/>
  <c r="U444" i="5"/>
  <c r="O471" i="5"/>
  <c r="P471" i="5"/>
  <c r="P477" i="5"/>
  <c r="N477" i="5"/>
  <c r="O477" i="5"/>
  <c r="W505" i="5"/>
  <c r="W504" i="5"/>
  <c r="W500" i="5"/>
  <c r="U456" i="5"/>
  <c r="P483" i="5"/>
  <c r="N483" i="5"/>
  <c r="P453" i="5"/>
  <c r="N453" i="5"/>
  <c r="U506" i="5"/>
  <c r="O455" i="5"/>
  <c r="O484" i="5"/>
  <c r="P460" i="5"/>
  <c r="P455" i="5"/>
  <c r="P484" i="5"/>
  <c r="N447" i="5"/>
  <c r="T459" i="5"/>
  <c r="N472" i="5"/>
  <c r="P473" i="5"/>
  <c r="O473" i="5"/>
  <c r="O442" i="5"/>
  <c r="P442" i="5"/>
  <c r="O447" i="5"/>
  <c r="U459" i="5"/>
  <c r="T494" i="5"/>
  <c r="P506" i="5"/>
  <c r="O491" i="5"/>
  <c r="T492" i="5"/>
  <c r="O449" i="5"/>
  <c r="P449" i="5"/>
  <c r="U494" i="5"/>
  <c r="U492" i="5"/>
  <c r="O457" i="5"/>
  <c r="V455" i="5"/>
  <c r="V457" i="5"/>
  <c r="V484" i="5"/>
  <c r="W483" i="5"/>
  <c r="T453" i="5"/>
  <c r="T477" i="5"/>
  <c r="T467" i="5"/>
  <c r="T485" i="5"/>
  <c r="T488" i="5"/>
  <c r="T440" i="5"/>
  <c r="V465" i="5"/>
  <c r="O514" i="5"/>
  <c r="P514" i="5"/>
  <c r="N514" i="5"/>
  <c r="V453" i="5"/>
  <c r="V477" i="5"/>
  <c r="V467" i="5"/>
  <c r="V485" i="5"/>
  <c r="V488" i="5"/>
  <c r="V440" i="5"/>
  <c r="P467" i="5"/>
  <c r="N467" i="5"/>
  <c r="P485" i="5"/>
  <c r="N485" i="5"/>
  <c r="P488" i="5"/>
  <c r="N488" i="5"/>
  <c r="P440" i="5"/>
  <c r="N440" i="5"/>
  <c r="N481" i="5"/>
  <c r="P510" i="5"/>
  <c r="N510" i="5"/>
  <c r="O530" i="5"/>
  <c r="P530" i="5"/>
  <c r="N530" i="5"/>
  <c r="P452" i="5"/>
  <c r="P454" i="5"/>
  <c r="P490" i="5"/>
  <c r="P463" i="5"/>
  <c r="P481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465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521" i="5"/>
  <c r="U537" i="5"/>
  <c r="U553" i="5"/>
  <c r="O582" i="5"/>
  <c r="N582" i="5"/>
  <c r="P589" i="5"/>
  <c r="O589" i="5"/>
  <c r="N589" i="5"/>
  <c r="O590" i="5"/>
  <c r="N590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75" i="3" l="1"/>
  <c r="L15" i="3"/>
  <c r="E23" i="19"/>
  <c r="E25" i="19"/>
  <c r="E27" i="19"/>
  <c r="E29" i="19"/>
  <c r="L94" i="3"/>
  <c r="AF447" i="17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80" i="17"/>
  <c r="L224" i="17"/>
  <c r="L204" i="17"/>
  <c r="L323" i="3"/>
  <c r="L203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322" i="17"/>
  <c r="L226" i="17"/>
  <c r="L160" i="17"/>
  <c r="AF473" i="3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E66" i="19" s="1"/>
  <c r="AL414" i="3"/>
  <c r="F66" i="19" s="1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E11" i="19" s="1"/>
  <c r="I32" i="3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13" i="19" s="1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F5" i="19" s="1"/>
  <c r="F8" i="19" s="1"/>
  <c r="Q83" i="3"/>
  <c r="F15" i="19" s="1"/>
  <c r="F58" i="3"/>
  <c r="Z436" i="3" s="1"/>
  <c r="I58" i="3"/>
  <c r="AC436" i="3" s="1"/>
  <c r="F36" i="3"/>
  <c r="Z413" i="3" s="1"/>
  <c r="E64" i="19" s="1"/>
  <c r="I36" i="3"/>
  <c r="AC413" i="3" s="1"/>
  <c r="F31" i="3"/>
  <c r="E7" i="19" s="1"/>
  <c r="I31" i="3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F4" i="19" s="1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AC428" i="3" s="1"/>
  <c r="P15" i="3"/>
  <c r="F63" i="3"/>
  <c r="Z442" i="3" s="1"/>
  <c r="I63" i="3"/>
  <c r="AC442" i="3" s="1"/>
  <c r="F5" i="3"/>
  <c r="I5" i="3"/>
  <c r="Q24" i="3"/>
  <c r="F9" i="19" s="1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40" i="17"/>
  <c r="L331" i="17"/>
  <c r="L319" i="17"/>
  <c r="L299" i="17"/>
  <c r="L271" i="17"/>
  <c r="L262" i="17"/>
  <c r="M420" i="17" s="1"/>
  <c r="L254" i="17"/>
  <c r="L223" i="17"/>
  <c r="J95" i="17"/>
  <c r="L339" i="17"/>
  <c r="L330" i="17"/>
  <c r="L318" i="17"/>
  <c r="L298" i="17"/>
  <c r="L335" i="17"/>
  <c r="L326" i="17"/>
  <c r="M429" i="17" s="1"/>
  <c r="L307" i="17"/>
  <c r="L295" i="17"/>
  <c r="L276" i="17"/>
  <c r="L267" i="17"/>
  <c r="L258" i="17"/>
  <c r="L240" i="17"/>
  <c r="L219" i="17"/>
  <c r="L210" i="17"/>
  <c r="J99" i="17"/>
  <c r="J17" i="17"/>
  <c r="L334" i="17"/>
  <c r="L325" i="17"/>
  <c r="M428" i="17" s="1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41" i="17"/>
  <c r="L332" i="17"/>
  <c r="L320" i="17"/>
  <c r="L301" i="17"/>
  <c r="L281" i="17"/>
  <c r="L273" i="17"/>
  <c r="L263" i="17"/>
  <c r="M421" i="17" s="1"/>
  <c r="L255" i="17"/>
  <c r="L215" i="17"/>
  <c r="L206" i="17"/>
  <c r="M412" i="17" s="1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M411" i="17" s="1"/>
  <c r="L183" i="17"/>
  <c r="L145" i="17"/>
  <c r="L132" i="17"/>
  <c r="M408" i="17" s="1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M407" i="17" s="1"/>
  <c r="L114" i="17"/>
  <c r="L94" i="17"/>
  <c r="L63" i="17"/>
  <c r="L52" i="17"/>
  <c r="M403" i="17" s="1"/>
  <c r="L36" i="17"/>
  <c r="L65" i="17"/>
  <c r="L328" i="17"/>
  <c r="L277" i="17"/>
  <c r="L256" i="17"/>
  <c r="L217" i="17"/>
  <c r="L177" i="17"/>
  <c r="L141" i="17"/>
  <c r="L130" i="17"/>
  <c r="M406" i="17" s="1"/>
  <c r="L113" i="17"/>
  <c r="L61" i="17"/>
  <c r="L51" i="17"/>
  <c r="M402" i="17" s="1"/>
  <c r="M436" i="17" s="1"/>
  <c r="L35" i="17"/>
  <c r="L17" i="17"/>
  <c r="L98" i="17"/>
  <c r="L327" i="17"/>
  <c r="M430" i="17" s="1"/>
  <c r="L270" i="17"/>
  <c r="L253" i="17"/>
  <c r="L214" i="17"/>
  <c r="L202" i="17"/>
  <c r="L171" i="17"/>
  <c r="L140" i="17"/>
  <c r="L111" i="17"/>
  <c r="L60" i="17"/>
  <c r="L50" i="17"/>
  <c r="M401" i="17" s="1"/>
  <c r="L34" i="17"/>
  <c r="L15" i="17"/>
  <c r="J6" i="17"/>
  <c r="L296" i="17"/>
  <c r="L187" i="17"/>
  <c r="L43" i="17"/>
  <c r="J177" i="17"/>
  <c r="R177" i="17" s="1"/>
  <c r="L317" i="17"/>
  <c r="J409" i="17" s="1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M413" i="17" s="1"/>
  <c r="L116" i="17"/>
  <c r="J94" i="17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M419" i="17" s="1"/>
  <c r="L146" i="17"/>
  <c r="L22" i="17"/>
  <c r="AK482" i="17"/>
  <c r="AF468" i="3"/>
  <c r="F24" i="3"/>
  <c r="E9" i="19" s="1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H419" i="3" s="1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L13" i="3" s="1"/>
  <c r="F193" i="3"/>
  <c r="E39" i="19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F64" i="19" s="1"/>
  <c r="L93" i="3"/>
  <c r="K171" i="3"/>
  <c r="C40" i="19" s="1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C41" i="19" s="1"/>
  <c r="J306" i="3"/>
  <c r="C54" i="19" s="1"/>
  <c r="J299" i="3"/>
  <c r="C53" i="19" s="1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L32" i="3"/>
  <c r="C11" i="19" s="1"/>
  <c r="L31" i="3"/>
  <c r="C7" i="19" s="1"/>
  <c r="L78" i="3"/>
  <c r="J17" i="3"/>
  <c r="L23" i="3"/>
  <c r="L21" i="3"/>
  <c r="L22" i="3"/>
  <c r="L19" i="3"/>
  <c r="L17" i="3"/>
  <c r="J6" i="3"/>
  <c r="AL428" i="3"/>
  <c r="AL429" i="3"/>
  <c r="AL431" i="3"/>
  <c r="F154" i="3"/>
  <c r="J243" i="3"/>
  <c r="J246" i="3"/>
  <c r="F350" i="3"/>
  <c r="E350" i="3" s="1"/>
  <c r="E329" i="3"/>
  <c r="F230" i="3"/>
  <c r="J405" i="17" l="1"/>
  <c r="J408" i="17"/>
  <c r="M422" i="17"/>
  <c r="M423" i="17"/>
  <c r="M435" i="17"/>
  <c r="M405" i="17"/>
  <c r="M410" i="17"/>
  <c r="M409" i="17"/>
  <c r="M433" i="17"/>
  <c r="M437" i="17"/>
  <c r="J406" i="17"/>
  <c r="M414" i="17"/>
  <c r="M418" i="17"/>
  <c r="L96" i="3"/>
  <c r="F10" i="19"/>
  <c r="F6" i="19"/>
  <c r="F14" i="19"/>
  <c r="F12" i="19"/>
  <c r="E12" i="19"/>
  <c r="D11" i="19"/>
  <c r="D7" i="19"/>
  <c r="I7" i="19"/>
  <c r="L7" i="19" s="1"/>
  <c r="H7" i="19"/>
  <c r="K7" i="19" s="1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H53" i="19"/>
  <c r="K53" i="19" s="1"/>
  <c r="I53" i="19"/>
  <c r="L53" i="19" s="1"/>
  <c r="G53" i="19"/>
  <c r="J53" i="19" s="1"/>
  <c r="H40" i="19"/>
  <c r="K40" i="19" s="1"/>
  <c r="I40" i="19"/>
  <c r="L40" i="19" s="1"/>
  <c r="G40" i="19"/>
  <c r="J40" i="19" s="1"/>
  <c r="N197" i="3"/>
  <c r="C44" i="19"/>
  <c r="H54" i="19"/>
  <c r="K54" i="19" s="1"/>
  <c r="I54" i="19"/>
  <c r="L54" i="19" s="1"/>
  <c r="G54" i="19"/>
  <c r="J54" i="19" s="1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I41" i="19"/>
  <c r="L41" i="19" s="1"/>
  <c r="H41" i="19"/>
  <c r="K41" i="19" s="1"/>
  <c r="G41" i="19"/>
  <c r="J41" i="19" s="1"/>
  <c r="I24" i="19"/>
  <c r="L24" i="19" s="1"/>
  <c r="H24" i="19"/>
  <c r="K24" i="19" s="1"/>
  <c r="G24" i="19"/>
  <c r="J24" i="19" s="1"/>
  <c r="G11" i="19"/>
  <c r="J11" i="19" s="1"/>
  <c r="G7" i="19"/>
  <c r="J7" i="19" s="1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E15" i="19" s="1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E5" i="19" s="1"/>
  <c r="E6" i="19" s="1"/>
  <c r="Z415" i="3"/>
  <c r="Z416" i="3"/>
  <c r="Z417" i="3"/>
  <c r="AK416" i="3"/>
  <c r="S156" i="17"/>
  <c r="N156" i="17"/>
  <c r="N156" i="3"/>
  <c r="S156" i="3"/>
  <c r="D13" i="3"/>
  <c r="E4" i="19" s="1"/>
  <c r="E10" i="19" s="1"/>
  <c r="Z431" i="3"/>
  <c r="I24" i="3"/>
  <c r="D9" i="19" s="1"/>
  <c r="AK412" i="3"/>
  <c r="M12" i="3"/>
  <c r="N6" i="3"/>
  <c r="F54" i="3"/>
  <c r="Q74" i="3"/>
  <c r="F72" i="3"/>
  <c r="I72" i="3"/>
  <c r="H6" i="3"/>
  <c r="G13" i="3"/>
  <c r="P13" i="3"/>
  <c r="O27" i="3"/>
  <c r="P21" i="3"/>
  <c r="P23" i="3"/>
  <c r="P22" i="3"/>
  <c r="K173" i="3"/>
  <c r="Z427" i="3"/>
  <c r="F41" i="3"/>
  <c r="E13" i="19" s="1"/>
  <c r="E14" i="19" s="1"/>
  <c r="H15" i="3"/>
  <c r="AC412" i="3"/>
  <c r="O24" i="3"/>
  <c r="P37" i="3" s="1"/>
  <c r="I41" i="3"/>
  <c r="D13" i="19" s="1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O411" i="17" s="1"/>
  <c r="AF441" i="17"/>
  <c r="S62" i="17"/>
  <c r="N62" i="17"/>
  <c r="S206" i="17"/>
  <c r="N206" i="17"/>
  <c r="O412" i="17" s="1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267" i="17"/>
  <c r="N267" i="17"/>
  <c r="S262" i="17"/>
  <c r="N262" i="17"/>
  <c r="O420" i="17" s="1"/>
  <c r="AN490" i="17"/>
  <c r="AO490" i="17" s="1"/>
  <c r="AH490" i="17"/>
  <c r="AI490" i="17" s="1"/>
  <c r="S261" i="17"/>
  <c r="N261" i="17"/>
  <c r="O419" i="17" s="1"/>
  <c r="S147" i="17"/>
  <c r="N147" i="17"/>
  <c r="S116" i="17"/>
  <c r="N116" i="17"/>
  <c r="S123" i="17"/>
  <c r="N123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O403" i="17" s="1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276" i="17"/>
  <c r="N276" i="17"/>
  <c r="S271" i="17"/>
  <c r="N271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O413" i="17" s="1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S174" i="17"/>
  <c r="L175" i="17"/>
  <c r="N174" i="17"/>
  <c r="L303" i="17"/>
  <c r="S294" i="17"/>
  <c r="N294" i="17"/>
  <c r="R17" i="17"/>
  <c r="K17" i="17"/>
  <c r="M17" i="17"/>
  <c r="S295" i="17"/>
  <c r="N295" i="17"/>
  <c r="S280" i="17"/>
  <c r="N280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50" i="17"/>
  <c r="N50" i="17"/>
  <c r="O401" i="17" s="1"/>
  <c r="AF428" i="17"/>
  <c r="S214" i="17"/>
  <c r="N214" i="17"/>
  <c r="S51" i="17"/>
  <c r="AF429" i="17"/>
  <c r="N51" i="17"/>
  <c r="O402" i="17" s="1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200" i="17"/>
  <c r="N200" i="17"/>
  <c r="S306" i="17"/>
  <c r="N306" i="17"/>
  <c r="K99" i="17"/>
  <c r="R99" i="17"/>
  <c r="M99" i="17"/>
  <c r="S307" i="17"/>
  <c r="N307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O421" i="17" s="1"/>
  <c r="S274" i="17"/>
  <c r="N274" i="17"/>
  <c r="S208" i="17"/>
  <c r="N208" i="17"/>
  <c r="S325" i="17"/>
  <c r="N325" i="17"/>
  <c r="O428" i="17" s="1"/>
  <c r="S210" i="17"/>
  <c r="L228" i="17"/>
  <c r="N210" i="17"/>
  <c r="S326" i="17"/>
  <c r="N326" i="17"/>
  <c r="O429" i="17" s="1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O407" i="17" s="1"/>
  <c r="S131" i="17"/>
  <c r="L72" i="17"/>
  <c r="S56" i="17"/>
  <c r="AF434" i="17"/>
  <c r="N56" i="17"/>
  <c r="S132" i="17"/>
  <c r="N132" i="17"/>
  <c r="O408" i="17" s="1"/>
  <c r="L24" i="17"/>
  <c r="J32" i="17" s="1"/>
  <c r="S23" i="17"/>
  <c r="N23" i="17"/>
  <c r="S142" i="17"/>
  <c r="N142" i="17"/>
  <c r="S273" i="17"/>
  <c r="N273" i="17"/>
  <c r="S283" i="17"/>
  <c r="N28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O430" i="17" s="1"/>
  <c r="S130" i="17"/>
  <c r="N130" i="17"/>
  <c r="O406" i="17" s="1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258" i="17"/>
  <c r="N258" i="17"/>
  <c r="N339" i="17"/>
  <c r="S339" i="17"/>
  <c r="S254" i="17"/>
  <c r="N254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F67" i="19" s="1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F65" i="19" s="1"/>
  <c r="AL418" i="3"/>
  <c r="F70" i="19" s="1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N55" i="3"/>
  <c r="S55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C13" i="19" s="1"/>
  <c r="S31" i="3"/>
  <c r="S34" i="3"/>
  <c r="R17" i="3"/>
  <c r="M17" i="3"/>
  <c r="N22" i="3"/>
  <c r="S22" i="3"/>
  <c r="S21" i="3"/>
  <c r="L24" i="3"/>
  <c r="C9" i="19" s="1"/>
  <c r="N21" i="3"/>
  <c r="N23" i="3"/>
  <c r="S23" i="3"/>
  <c r="N19" i="3"/>
  <c r="S19" i="3"/>
  <c r="N17" i="3"/>
  <c r="S17" i="3"/>
  <c r="K17" i="3"/>
  <c r="N15" i="3"/>
  <c r="S15" i="3"/>
  <c r="K6" i="3"/>
  <c r="J13" i="3"/>
  <c r="R6" i="3"/>
  <c r="M6" i="3"/>
  <c r="S6" i="3"/>
  <c r="J184" i="3"/>
  <c r="R184" i="3" s="1"/>
  <c r="N361" i="3"/>
  <c r="S361" i="3"/>
  <c r="F232" i="3"/>
  <c r="M439" i="17" l="1"/>
  <c r="N439" i="17" s="1"/>
  <c r="O432" i="17"/>
  <c r="O414" i="17"/>
  <c r="O409" i="17"/>
  <c r="O404" i="17"/>
  <c r="O435" i="17"/>
  <c r="O436" i="17"/>
  <c r="O437" i="17"/>
  <c r="O422" i="17"/>
  <c r="E8" i="19"/>
  <c r="D5" i="19"/>
  <c r="D8" i="19" s="1"/>
  <c r="W19" i="3"/>
  <c r="D4" i="19"/>
  <c r="V19" i="3"/>
  <c r="C4" i="19"/>
  <c r="V20" i="3"/>
  <c r="C22" i="19"/>
  <c r="I22" i="19" s="1"/>
  <c r="L22" i="19" s="1"/>
  <c r="C5" i="19"/>
  <c r="C8" i="19" s="1"/>
  <c r="H8" i="19" s="1"/>
  <c r="K8" i="19" s="1"/>
  <c r="W20" i="3"/>
  <c r="G31" i="3"/>
  <c r="G32" i="3"/>
  <c r="C64" i="19"/>
  <c r="G64" i="19" s="1"/>
  <c r="J64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I4" i="19"/>
  <c r="L4" i="19" s="1"/>
  <c r="H4" i="19"/>
  <c r="K4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C46" i="19"/>
  <c r="H43" i="19"/>
  <c r="K43" i="19" s="1"/>
  <c r="G43" i="19"/>
  <c r="J43" i="19" s="1"/>
  <c r="I38" i="19"/>
  <c r="L38" i="19" s="1"/>
  <c r="H38" i="19"/>
  <c r="K38" i="19" s="1"/>
  <c r="G38" i="19"/>
  <c r="J38" i="19" s="1"/>
  <c r="C12" i="19"/>
  <c r="H9" i="19"/>
  <c r="K9" i="19" s="1"/>
  <c r="I9" i="19"/>
  <c r="L9" i="19" s="1"/>
  <c r="C10" i="19"/>
  <c r="H13" i="19"/>
  <c r="K13" i="19" s="1"/>
  <c r="I13" i="19"/>
  <c r="L13" i="19" s="1"/>
  <c r="C14" i="19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" i="19"/>
  <c r="L5" i="19" s="1"/>
  <c r="I52" i="19"/>
  <c r="L52" i="19" s="1"/>
  <c r="H52" i="19"/>
  <c r="K52" i="19" s="1"/>
  <c r="G52" i="19"/>
  <c r="J52" i="19" s="1"/>
  <c r="I66" i="19"/>
  <c r="L66" i="19" s="1"/>
  <c r="H66" i="19"/>
  <c r="K66" i="19" s="1"/>
  <c r="G66" i="19"/>
  <c r="J66" i="19" s="1"/>
  <c r="D14" i="19"/>
  <c r="G13" i="19"/>
  <c r="J13" i="19" s="1"/>
  <c r="G9" i="19"/>
  <c r="J9" i="19" s="1"/>
  <c r="D6" i="19"/>
  <c r="D12" i="19"/>
  <c r="I27" i="3"/>
  <c r="AC406" i="3" s="1"/>
  <c r="AA465" i="3" s="1"/>
  <c r="W33" i="3"/>
  <c r="W35" i="3" s="1"/>
  <c r="AH470" i="3"/>
  <c r="AI470" i="3" s="1"/>
  <c r="F27" i="3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E65" i="19" s="1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E67" i="19" s="1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E70" i="19" s="1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41" i="3"/>
  <c r="H33" i="3"/>
  <c r="H72" i="3"/>
  <c r="P54" i="3"/>
  <c r="P24" i="3"/>
  <c r="P31" i="3"/>
  <c r="P34" i="3"/>
  <c r="P32" i="3"/>
  <c r="P33" i="3"/>
  <c r="P36" i="3"/>
  <c r="P35" i="3"/>
  <c r="P72" i="3"/>
  <c r="I74" i="3"/>
  <c r="H74" i="3" s="1"/>
  <c r="H54" i="3"/>
  <c r="P27" i="3"/>
  <c r="P74" i="3"/>
  <c r="Q85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N72" i="17"/>
  <c r="K21" i="17"/>
  <c r="R21" i="17" s="1"/>
  <c r="K22" i="17"/>
  <c r="R22" i="17" s="1"/>
  <c r="J27" i="17"/>
  <c r="K13" i="17"/>
  <c r="K23" i="17"/>
  <c r="R23" i="17" s="1"/>
  <c r="K193" i="17"/>
  <c r="J407" i="17" s="1"/>
  <c r="M184" i="17"/>
  <c r="AN446" i="17"/>
  <c r="AO446" i="17" s="1"/>
  <c r="AH446" i="17"/>
  <c r="AI446" i="17" s="1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L250" i="3"/>
  <c r="M249" i="3" s="1"/>
  <c r="R311" i="3"/>
  <c r="L27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C26" i="19" s="1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N423" i="17" l="1"/>
  <c r="N410" i="17"/>
  <c r="N405" i="17"/>
  <c r="S415" i="17"/>
  <c r="N418" i="17"/>
  <c r="N433" i="17"/>
  <c r="O438" i="17"/>
  <c r="J410" i="17"/>
  <c r="K407" i="17" s="1"/>
  <c r="O418" i="17" s="1"/>
  <c r="P418" i="17" s="1"/>
  <c r="Q418" i="17" s="1"/>
  <c r="S418" i="17" s="1"/>
  <c r="G4" i="19"/>
  <c r="J4" i="19" s="1"/>
  <c r="G8" i="19"/>
  <c r="J8" i="19" s="1"/>
  <c r="G5" i="19"/>
  <c r="J5" i="19" s="1"/>
  <c r="C6" i="19"/>
  <c r="G6" i="19" s="1"/>
  <c r="J6" i="19" s="1"/>
  <c r="H5" i="19"/>
  <c r="K5" i="19" s="1"/>
  <c r="I8" i="19"/>
  <c r="L8" i="19" s="1"/>
  <c r="C25" i="19"/>
  <c r="I25" i="19" s="1"/>
  <c r="L25" i="19" s="1"/>
  <c r="D10" i="19"/>
  <c r="H22" i="19"/>
  <c r="K22" i="19" s="1"/>
  <c r="C23" i="19"/>
  <c r="I23" i="19" s="1"/>
  <c r="L23" i="19" s="1"/>
  <c r="X20" i="3"/>
  <c r="G14" i="19"/>
  <c r="J14" i="19" s="1"/>
  <c r="G22" i="19"/>
  <c r="J22" i="19" s="1"/>
  <c r="E72" i="19"/>
  <c r="X19" i="3"/>
  <c r="I64" i="19"/>
  <c r="L64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G10" i="19"/>
  <c r="J10" i="19" s="1"/>
  <c r="H31" i="19"/>
  <c r="K31" i="19" s="1"/>
  <c r="I31" i="19"/>
  <c r="L31" i="19" s="1"/>
  <c r="G31" i="19"/>
  <c r="J31" i="19" s="1"/>
  <c r="I26" i="19"/>
  <c r="L26" i="19" s="1"/>
  <c r="H26" i="19"/>
  <c r="K26" i="19" s="1"/>
  <c r="G26" i="19"/>
  <c r="J26" i="19" s="1"/>
  <c r="C29" i="19"/>
  <c r="I39" i="19"/>
  <c r="L39" i="19" s="1"/>
  <c r="H39" i="19"/>
  <c r="K39" i="19" s="1"/>
  <c r="G39" i="19"/>
  <c r="J39" i="19" s="1"/>
  <c r="I12" i="19"/>
  <c r="L12" i="19" s="1"/>
  <c r="H12" i="19"/>
  <c r="K12" i="19" s="1"/>
  <c r="C27" i="19"/>
  <c r="I10" i="19"/>
  <c r="L10" i="19" s="1"/>
  <c r="H10" i="19"/>
  <c r="K10" i="19" s="1"/>
  <c r="H14" i="19"/>
  <c r="K14" i="19" s="1"/>
  <c r="I14" i="19"/>
  <c r="L14" i="19" s="1"/>
  <c r="H46" i="19"/>
  <c r="K46" i="19" s="1"/>
  <c r="I46" i="19"/>
  <c r="L46" i="19" s="1"/>
  <c r="G46" i="19"/>
  <c r="J46" i="19" s="1"/>
  <c r="I70" i="19"/>
  <c r="L70" i="19" s="1"/>
  <c r="H70" i="19"/>
  <c r="K70" i="19" s="1"/>
  <c r="C72" i="19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2" i="3"/>
  <c r="W114" i="3" s="1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F72" i="19" s="1"/>
  <c r="F73" i="19" s="1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41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G25" i="19" l="1"/>
  <c r="J25" i="19" s="1"/>
  <c r="H25" i="19"/>
  <c r="K25" i="19" s="1"/>
  <c r="Q413" i="17"/>
  <c r="Q412" i="17"/>
  <c r="Q411" i="17"/>
  <c r="K410" i="17"/>
  <c r="K405" i="17"/>
  <c r="O405" i="17" s="1"/>
  <c r="P405" i="17" s="1"/>
  <c r="Q405" i="17" s="1"/>
  <c r="S405" i="17" s="1"/>
  <c r="K409" i="17"/>
  <c r="O433" i="17" s="1"/>
  <c r="P433" i="17" s="1"/>
  <c r="Q433" i="17" s="1"/>
  <c r="S432" i="17" s="1"/>
  <c r="K408" i="17"/>
  <c r="O423" i="17" s="1"/>
  <c r="P423" i="17" s="1"/>
  <c r="Q423" i="17" s="1"/>
  <c r="K406" i="17"/>
  <c r="O410" i="17" s="1"/>
  <c r="P410" i="17" s="1"/>
  <c r="H6" i="19"/>
  <c r="K6" i="19" s="1"/>
  <c r="I6" i="19"/>
  <c r="L6" i="19" s="1"/>
  <c r="H23" i="19"/>
  <c r="K23" i="19" s="1"/>
  <c r="G23" i="19"/>
  <c r="J23" i="19" s="1"/>
  <c r="F71" i="19"/>
  <c r="F62" i="19"/>
  <c r="I56" i="19"/>
  <c r="L56" i="19" s="1"/>
  <c r="H56" i="19"/>
  <c r="K56" i="19" s="1"/>
  <c r="G56" i="19"/>
  <c r="J56" i="19" s="1"/>
  <c r="I29" i="19"/>
  <c r="L29" i="19" s="1"/>
  <c r="H29" i="19"/>
  <c r="K29" i="19" s="1"/>
  <c r="G29" i="19"/>
  <c r="J29" i="19" s="1"/>
  <c r="C55" i="19"/>
  <c r="I50" i="19"/>
  <c r="L50" i="19" s="1"/>
  <c r="G50" i="19"/>
  <c r="J50" i="19" s="1"/>
  <c r="H32" i="19"/>
  <c r="K32" i="19" s="1"/>
  <c r="I32" i="19"/>
  <c r="L32" i="19" s="1"/>
  <c r="G32" i="19"/>
  <c r="J32" i="19" s="1"/>
  <c r="I27" i="19"/>
  <c r="L27" i="19" s="1"/>
  <c r="H27" i="19"/>
  <c r="K27" i="19" s="1"/>
  <c r="G27" i="19"/>
  <c r="J27" i="19" s="1"/>
  <c r="I72" i="19"/>
  <c r="L72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29" i="3"/>
  <c r="Q410" i="17" l="1"/>
  <c r="S410" i="17" s="1"/>
  <c r="S423" i="17"/>
  <c r="Q428" i="17"/>
  <c r="Q430" i="17"/>
  <c r="Q429" i="17"/>
  <c r="Q402" i="17"/>
  <c r="Q403" i="17"/>
  <c r="Q401" i="17"/>
  <c r="I15" i="19"/>
  <c r="L15" i="19" s="1"/>
  <c r="H15" i="19"/>
  <c r="K15" i="19" s="1"/>
  <c r="G15" i="19"/>
  <c r="J1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F74" i="19" s="1"/>
  <c r="F75" i="19" s="1"/>
  <c r="Q404" i="17" l="1"/>
  <c r="Q421" i="17"/>
  <c r="Q420" i="17"/>
  <c r="Q419" i="17"/>
  <c r="Q422" i="17" s="1"/>
  <c r="Q408" i="17"/>
  <c r="Q406" i="17"/>
  <c r="Q407" i="17"/>
  <c r="D76" i="19"/>
  <c r="AC501" i="3"/>
  <c r="I71" i="19"/>
  <c r="L71" i="19" s="1"/>
  <c r="G71" i="19"/>
  <c r="J71" i="19" s="1"/>
  <c r="H67" i="19"/>
  <c r="K67" i="19" s="1"/>
  <c r="I67" i="19"/>
  <c r="L67" i="19" s="1"/>
  <c r="G67" i="19"/>
  <c r="J67" i="19" s="1"/>
  <c r="I62" i="19"/>
  <c r="L62" i="19" s="1"/>
  <c r="G62" i="19"/>
  <c r="J62" i="19" s="1"/>
  <c r="I73" i="19"/>
  <c r="L73" i="19" s="1"/>
  <c r="G73" i="19"/>
  <c r="J73" i="19" s="1"/>
  <c r="D77" i="19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L488" i="3"/>
  <c r="D303" i="3"/>
  <c r="D308" i="3" s="1"/>
  <c r="Q409" i="17" l="1"/>
  <c r="AE488" i="17"/>
  <c r="AF497" i="17"/>
  <c r="AN488" i="17"/>
  <c r="AO488" i="17" s="1"/>
  <c r="AH488" i="17"/>
  <c r="AI488" i="17" s="1"/>
  <c r="AK488" i="3"/>
  <c r="AL497" i="3"/>
  <c r="D313" i="3"/>
  <c r="E50" i="19" s="1"/>
  <c r="E308" i="3"/>
  <c r="E303" i="3"/>
  <c r="AL501" i="3" l="1"/>
  <c r="F76" i="19"/>
  <c r="F77" i="19" s="1"/>
  <c r="E55" i="19"/>
  <c r="H55" i="19" s="1"/>
  <c r="K55" i="19" s="1"/>
  <c r="H50" i="19"/>
  <c r="K50" i="19" s="1"/>
  <c r="E50" i="2"/>
  <c r="E53" i="2" s="1"/>
  <c r="E56" i="2" s="1"/>
  <c r="E65" i="2" s="1"/>
  <c r="AF500" i="17"/>
  <c r="AE497" i="17"/>
  <c r="AN497" i="17"/>
  <c r="AO497" i="17" s="1"/>
  <c r="AH497" i="17"/>
  <c r="AI497" i="17" s="1"/>
  <c r="AK497" i="3"/>
  <c r="E313" i="3"/>
  <c r="E376" i="3"/>
  <c r="E396" i="3"/>
  <c r="E394" i="3"/>
  <c r="D361" i="3"/>
  <c r="E361" i="3" s="1"/>
  <c r="E359" i="3"/>
  <c r="F361" i="3"/>
  <c r="Z405" i="3" l="1"/>
  <c r="F398" i="3"/>
  <c r="Z406" i="3"/>
  <c r="E71" i="19" l="1"/>
  <c r="H71" i="19" s="1"/>
  <c r="K71" i="19" s="1"/>
  <c r="E62" i="19"/>
  <c r="H62" i="19" s="1"/>
  <c r="K62" i="19" s="1"/>
  <c r="E73" i="19"/>
  <c r="H73" i="19" s="1"/>
  <c r="K73" i="19" s="1"/>
  <c r="X451" i="3"/>
  <c r="X465" i="3"/>
  <c r="X467" i="3"/>
  <c r="Z482" i="3"/>
  <c r="E74" i="19" s="1"/>
  <c r="E75" i="19" s="1"/>
  <c r="X432" i="3"/>
  <c r="X418" i="3"/>
  <c r="X480" i="3"/>
  <c r="Y482" i="3" l="1"/>
  <c r="Z488" i="3"/>
  <c r="Y488" i="3" s="1"/>
  <c r="Z497" i="3" l="1"/>
  <c r="E76" i="19" s="1"/>
  <c r="E77" i="19" s="1"/>
  <c r="Y497" i="3" l="1"/>
  <c r="Z501" i="3"/>
  <c r="L224" i="3"/>
  <c r="N224" i="3" s="1"/>
  <c r="AN447" i="3"/>
  <c r="AO447" i="3" s="1"/>
  <c r="L344" i="3"/>
  <c r="L348" i="3" s="1"/>
  <c r="AH447" i="3"/>
  <c r="AI447" i="3" s="1"/>
  <c r="L280" i="3"/>
  <c r="S280" i="3" s="1"/>
  <c r="L148" i="3"/>
  <c r="N148" i="3" s="1"/>
  <c r="L68" i="3"/>
  <c r="S68" i="3" s="1"/>
  <c r="S72" i="3" s="1"/>
  <c r="S85" i="3" s="1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AN451" i="3"/>
  <c r="AO451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S230" i="3" s="1"/>
  <c r="N228" i="3"/>
  <c r="I65" i="19"/>
  <c r="L65" i="19" s="1"/>
  <c r="H65" i="19"/>
  <c r="K65" i="19" s="1"/>
  <c r="G65" i="19"/>
  <c r="J65" i="19" s="1"/>
  <c r="S228" i="3"/>
  <c r="AN467" i="3"/>
  <c r="AO467" i="3" s="1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/>
  <c r="N230" i="3"/>
  <c r="L232" i="3"/>
  <c r="C75" i="19" l="1"/>
  <c r="H74" i="19"/>
  <c r="K74" i="19" s="1"/>
  <c r="I74" i="19"/>
  <c r="L74" i="19" s="1"/>
  <c r="G74" i="19"/>
  <c r="J74" i="19" s="1"/>
  <c r="AH482" i="3"/>
  <c r="AI482" i="3" s="1"/>
  <c r="AE482" i="3"/>
  <c r="AF488" i="3"/>
  <c r="AN482" i="3"/>
  <c r="AO482" i="3" s="1"/>
  <c r="N352" i="3"/>
  <c r="S352" i="3"/>
  <c r="K154" i="3"/>
  <c r="L164" i="3"/>
  <c r="N154" i="3"/>
  <c r="S154" i="3"/>
  <c r="S286" i="3"/>
  <c r="N286" i="3"/>
  <c r="L288" i="3"/>
  <c r="S232" i="3"/>
  <c r="N232" i="3"/>
  <c r="L85" i="3"/>
  <c r="S74" i="3"/>
  <c r="K74" i="3"/>
  <c r="N74" i="3"/>
  <c r="I75" i="19" l="1"/>
  <c r="L75" i="19" s="1"/>
  <c r="H75" i="19"/>
  <c r="K75" i="19" s="1"/>
  <c r="G75" i="19"/>
  <c r="J75" i="19" s="1"/>
  <c r="AN488" i="3"/>
  <c r="AO488" i="3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I76" i="19"/>
  <c r="L76" i="19" s="1"/>
  <c r="G76" i="19"/>
  <c r="J76" i="19" s="1"/>
  <c r="AN497" i="3"/>
  <c r="AO497" i="3" s="1"/>
  <c r="AH497" i="3"/>
  <c r="AI497" i="3" s="1"/>
  <c r="AF501" i="3"/>
  <c r="AE497" i="3"/>
  <c r="I77" i="19" l="1"/>
  <c r="L77" i="19" s="1"/>
  <c r="H77" i="19"/>
  <c r="K77" i="19" s="1"/>
  <c r="G77" i="19"/>
  <c r="J77" i="19" s="1"/>
  <c r="Q414" i="17"/>
  <c r="Q437" i="17"/>
  <c r="Q435" i="17"/>
  <c r="Q431" i="17"/>
  <c r="Q436" i="17"/>
  <c r="Q432" i="17"/>
  <c r="Q43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<sst xmlns="http://schemas.openxmlformats.org/spreadsheetml/2006/main" count="14923" uniqueCount="2958">
  <si>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</si>
  <si>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</si>
  <si>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</si>
  <si>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</si>
  <si>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</si>
  <si>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</si>
  <si>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</si>
  <si>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</si>
  <si>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</si>
  <si>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</si>
  <si>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</si>
  <si>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</si>
  <si>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</si>
  <si>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</si>
  <si>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</si>
  <si>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</si>
  <si>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</si>
  <si>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</si>
  <si>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</si>
  <si>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</si>
  <si>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</si>
  <si>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</si>
  <si>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</si>
  <si>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</si>
  <si>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</si>
  <si>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</si>
  <si>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</si>
  <si>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</si>
  <si>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</si>
  <si>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</si>
  <si>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</si>
  <si>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</si>
  <si>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</si>
  <si>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</si>
  <si>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</si>
  <si>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</si>
  <si>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</si>
  <si>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</si>
  <si>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</si>
  <si>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</si>
  <si>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</si>
  <si>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</si>
  <si>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</si>
  <si>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</si>
  <si>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</si>
  <si>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</si>
  <si>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</si>
  <si>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</si>
  <si>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</si>
  <si>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</si>
  <si>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</si>
  <si>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</si>
  <si>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</si>
  <si>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</si>
  <si>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</si>
  <si>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</si>
  <si>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</si>
  <si>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</si>
  <si>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</si>
  <si>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</si>
  <si>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</si>
  <si>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</si>
  <si>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</si>
  <si>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</si>
  <si>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</si>
  <si>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</si>
  <si>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</si>
  <si>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</si>
  <si>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</si>
  <si>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</si>
  <si>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</si>
  <si>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</si>
  <si>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</si>
  <si>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</si>
  <si>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</si>
  <si>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</si>
  <si>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</si>
  <si>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</si>
  <si>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</si>
  <si>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</si>
  <si>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</si>
  <si>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</si>
  <si>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</si>
  <si>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</si>
  <si>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</si>
  <si>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</si>
  <si>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</si>
  <si>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</si>
  <si>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</si>
  <si>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</si>
  <si>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</si>
  <si>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</si>
  <si>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</si>
  <si>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</si>
  <si>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</si>
  <si>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</si>
  <si>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</si>
  <si>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</si>
  <si>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</si>
  <si>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</si>
  <si>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</si>
  <si>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</si>
  <si>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</si>
  <si>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</si>
  <si>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</si>
  <si>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</si>
  <si>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</si>
  <si>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</si>
  <si>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</si>
  <si>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</si>
  <si>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</si>
  <si>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</si>
  <si>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</si>
  <si>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</si>
  <si>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</si>
  <si>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</si>
  <si>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</si>
  <si>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</si>
  <si>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</si>
  <si>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</si>
  <si>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</si>
  <si>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</si>
  <si>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</si>
  <si>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</si>
  <si>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</si>
  <si>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</si>
  <si>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</si>
  <si>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</si>
  <si>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</si>
  <si>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</si>
  <si>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</si>
  <si>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</si>
  <si>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</si>
  <si>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</si>
  <si>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</si>
  <si>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</si>
  <si>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</si>
  <si>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</si>
  <si>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</si>
  <si>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</si>
  <si>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</si>
  <si>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</si>
  <si>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</si>
  <si>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</si>
  <si>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</si>
  <si>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</si>
  <si>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</si>
  <si>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</si>
  <si>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</si>
  <si>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</si>
  <si>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</si>
  <si>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</si>
  <si>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</si>
  <si>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</si>
  <si>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</si>
  <si>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</si>
  <si>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</si>
  <si>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</si>
  <si>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</si>
  <si>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</si>
  <si>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</si>
  <si>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</si>
  <si>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</si>
  <si>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</si>
  <si>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</si>
  <si>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</si>
  <si>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</si>
  <si>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</si>
  <si>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</si>
  <si>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</si>
  <si>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</si>
  <si>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</si>
  <si>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</si>
  <si>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</si>
  <si>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</si>
  <si>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</si>
  <si>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</si>
  <si>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</si>
  <si>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</si>
  <si>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</si>
  <si>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</si>
  <si>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</si>
  <si>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</si>
  <si>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</si>
  <si>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</si>
  <si>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</si>
  <si>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</si>
  <si>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</si>
  <si>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</si>
  <si>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</si>
  <si>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</si>
  <si>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</si>
  <si>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</si>
  <si>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</si>
  <si>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</si>
  <si>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</si>
  <si>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</si>
  <si>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</si>
  <si>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</si>
  <si>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</si>
  <si>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</si>
  <si>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</si>
  <si>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</si>
  <si>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</si>
  <si>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</si>
  <si>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</si>
  <si>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</si>
  <si>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</si>
  <si>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</si>
  <si>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</si>
  <si>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</si>
  <si>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</si>
  <si>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</si>
  <si>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</si>
  <si>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</si>
  <si>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</si>
  <si>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</si>
  <si>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</si>
  <si>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</si>
  <si>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</si>
  <si>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</si>
  <si>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</si>
  <si>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</si>
  <si>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</si>
  <si>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</si>
  <si>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</si>
  <si>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</si>
  <si>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</si>
  <si>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</si>
  <si>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</si>
  <si>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</si>
  <si>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</si>
  <si>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</si>
  <si>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</si>
  <si>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</si>
  <si>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</si>
  <si>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</si>
  <si>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</si>
  <si>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</si>
  <si>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</si>
  <si>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</si>
  <si>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</si>
  <si>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</si>
  <si>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</si>
  <si>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</si>
  <si>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</si>
  <si>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</si>
  <si>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</si>
  <si>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</si>
  <si>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</si>
  <si>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</si>
  <si>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</si>
  <si>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</si>
  <si>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</si>
  <si>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</si>
  <si>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</si>
  <si>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</si>
  <si>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</si>
  <si>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</si>
  <si>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</si>
  <si>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</si>
  <si>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</si>
  <si>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</si>
  <si>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</si>
  <si>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</si>
  <si>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</si>
  <si>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</si>
  <si>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</si>
  <si>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</si>
  <si>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</si>
  <si>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</si>
  <si>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</si>
  <si>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</si>
  <si>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</si>
  <si>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</si>
  <si>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</si>
  <si>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</si>
  <si>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</si>
  <si>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</si>
  <si>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</si>
  <si>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</si>
  <si>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</si>
  <si>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</si>
  <si>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</si>
  <si>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</si>
  <si>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</si>
  <si>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</si>
  <si>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</si>
  <si>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</si>
  <si>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</si>
  <si>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</si>
  <si>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</si>
  <si>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</si>
  <si>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</si>
  <si>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</si>
  <si>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</si>
  <si>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</si>
  <si>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</si>
  <si>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</si>
  <si>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</si>
  <si>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</si>
  <si>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</si>
  <si>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</si>
  <si>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</si>
  <si>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</si>
  <si>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</si>
  <si>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</si>
  <si>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</si>
  <si>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</si>
  <si>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</si>
  <si>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</si>
  <si>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</si>
  <si>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</si>
  <si>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</si>
  <si>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</si>
  <si>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</si>
  <si>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</si>
  <si>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</si>
  <si>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</si>
  <si>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</si>
  <si>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</si>
  <si>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</si>
  <si>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</si>
  <si>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</si>
  <si>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</si>
  <si>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</si>
  <si>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</si>
  <si>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</si>
  <si>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</si>
  <si>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</si>
  <si>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</si>
  <si>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</si>
  <si>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</si>
  <si>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</si>
  <si>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</si>
  <si>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</si>
  <si>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</si>
  <si>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</si>
  <si>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</si>
  <si>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</si>
  <si>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</si>
  <si>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</si>
  <si>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</si>
  <si>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</si>
  <si>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</si>
  <si>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</si>
  <si>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</si>
  <si>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</si>
  <si>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</si>
  <si>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</si>
  <si>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</si>
  <si>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</si>
  <si>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</si>
  <si>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</si>
  <si>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</si>
  <si>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</si>
  <si>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</si>
  <si>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</si>
  <si>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</si>
  <si>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</si>
  <si>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</si>
  <si>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</si>
  <si>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</si>
  <si>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</si>
  <si>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</si>
  <si>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</si>
  <si>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</si>
  <si>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</si>
  <si>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</si>
  <si>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</si>
  <si>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</si>
  <si>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</si>
  <si>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</si>
  <si>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</si>
  <si>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</si>
  <si>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</si>
  <si>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</si>
  <si>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</si>
  <si>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</si>
  <si>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</si>
  <si>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</si>
  <si>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</si>
  <si>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</si>
  <si>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</si>
  <si>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</si>
  <si>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</si>
  <si>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</si>
  <si>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</si>
  <si>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</si>
  <si>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</si>
  <si>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</si>
  <si>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</si>
  <si>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</si>
  <si>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</si>
  <si>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</si>
  <si>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</si>
  <si>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</si>
  <si>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</si>
  <si>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</si>
  <si>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</si>
  <si>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</si>
  <si>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</si>
  <si>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</si>
  <si>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</si>
  <si>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</si>
  <si>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</si>
  <si>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</si>
  <si>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</si>
  <si>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</si>
  <si>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</si>
  <si>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</si>
  <si>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</si>
  <si>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</si>
  <si>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</si>
  <si>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</si>
  <si>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</si>
  <si>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</si>
  <si>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</si>
  <si>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</si>
  <si>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</si>
  <si>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</si>
  <si>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</si>
  <si>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</si>
  <si>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</si>
  <si>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</si>
  <si>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</si>
  <si>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</si>
  <si>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</si>
  <si>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</si>
  <si>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</si>
  <si>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</si>
  <si>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</si>
  <si>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</si>
  <si>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</si>
  <si>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</si>
  <si>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</si>
  <si>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</si>
  <si>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</si>
  <si>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</si>
  <si>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</si>
  <si>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</si>
  <si>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</si>
  <si>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</si>
  <si>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</si>
  <si>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</si>
  <si>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</si>
  <si>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</si>
  <si>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</si>
  <si>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</si>
  <si>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</si>
  <si>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</si>
  <si>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</si>
  <si>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</si>
  <si>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</si>
  <si>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</si>
  <si>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</si>
  <si>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</si>
  <si>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</si>
  <si>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</si>
  <si>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</si>
  <si>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</si>
  <si>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</si>
  <si>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</si>
  <si>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</si>
  <si>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</si>
  <si>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</si>
  <si>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</si>
  <si>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</si>
  <si>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</si>
  <si>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</si>
  <si>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</si>
  <si>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</si>
  <si>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</si>
  <si>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</si>
  <si>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</si>
  <si>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</si>
  <si>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</si>
  <si>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</si>
  <si>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</si>
  <si>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</si>
  <si>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</si>
  <si>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</si>
  <si>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</si>
  <si>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</si>
  <si>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</si>
  <si>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</si>
  <si>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</si>
  <si>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</si>
  <si>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</si>
  <si>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</si>
  <si>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</si>
  <si>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</si>
  <si>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</si>
  <si>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</si>
  <si>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</si>
  <si>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</si>
  <si>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</si>
  <si>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</si>
  <si>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</si>
  <si>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</si>
  <si>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</si>
  <si>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</si>
  <si>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</si>
  <si>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</si>
  <si>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</si>
  <si>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</si>
  <si>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</si>
  <si>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</si>
  <si>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</si>
  <si>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</si>
  <si>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</si>
  <si>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</si>
  <si>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</si>
  <si>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</si>
  <si>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</si>
  <si>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</si>
  <si>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</si>
  <si>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</si>
  <si>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</si>
  <si>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</si>
  <si>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</si>
  <si>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</si>
  <si>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</si>
  <si>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</si>
  <si>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</si>
  <si>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</si>
  <si>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</si>
  <si>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</si>
  <si>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</si>
  <si>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</si>
  <si>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</si>
  <si>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</si>
  <si>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</si>
  <si>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</si>
  <si>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</si>
  <si>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</si>
  <si>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</si>
  <si>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</si>
  <si>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</si>
  <si>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</si>
  <si>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</si>
  <si>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</si>
  <si>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</si>
  <si>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</si>
  <si>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</si>
  <si>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</si>
  <si>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</si>
  <si>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</si>
  <si>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</si>
  <si>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</si>
  <si>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</si>
  <si>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</si>
  <si>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</si>
  <si>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</si>
  <si>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</si>
  <si>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</si>
  <si>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</si>
  <si>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</si>
  <si>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</si>
  <si>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</si>
  <si>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</si>
  <si>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</si>
  <si>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</si>
  <si>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</si>
  <si>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</si>
  <si>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</si>
  <si>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</si>
  <si>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</si>
  <si>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</si>
  <si>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</si>
  <si>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</si>
  <si>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</si>
  <si>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</si>
  <si>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</si>
  <si>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</si>
  <si>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</si>
  <si>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</si>
  <si>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</si>
  <si>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</si>
  <si>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</si>
  <si>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</si>
  <si>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</si>
  <si>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</si>
  <si>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</si>
  <si>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</si>
  <si>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</si>
  <si>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</si>
  <si>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</si>
  <si>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</si>
  <si>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</si>
  <si>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</si>
  <si>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</si>
  <si>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</si>
  <si>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</si>
  <si>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</si>
  <si>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</si>
  <si>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</si>
  <si>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</si>
  <si>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</si>
  <si>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</si>
  <si>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</si>
  <si>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</si>
  <si>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</si>
  <si>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</si>
  <si>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</si>
  <si>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</si>
  <si>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</si>
  <si>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</si>
  <si>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</si>
  <si>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</si>
  <si>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</si>
  <si>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</si>
  <si>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</si>
  <si>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</si>
  <si>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</si>
  <si>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</si>
  <si>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</si>
  <si>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</si>
  <si>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</si>
  <si>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</si>
  <si>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</si>
  <si>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</si>
  <si>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</si>
  <si>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</si>
  <si>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</si>
  <si>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</si>
  <si>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</si>
  <si>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</si>
  <si>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</si>
  <si>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</si>
  <si>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</si>
  <si>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</si>
  <si>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</si>
  <si>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</si>
  <si>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</si>
  <si>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</si>
  <si>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</si>
  <si>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</si>
  <si>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</si>
  <si>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</si>
  <si>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</si>
  <si>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</si>
  <si>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</si>
  <si>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</si>
  <si>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</si>
  <si>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</si>
  <si>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</si>
  <si>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</si>
  <si>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</si>
  <si>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</si>
  <si>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</si>
  <si>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</si>
  <si>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</si>
  <si>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</si>
  <si>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</si>
  <si>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</si>
  <si>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</si>
  <si>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</si>
  <si>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</si>
  <si>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</si>
  <si>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</si>
  <si>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</si>
  <si>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</si>
  <si>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</si>
  <si>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</si>
  <si>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</si>
  <si>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</si>
  <si>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</si>
  <si>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</si>
  <si>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</si>
  <si>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</si>
  <si>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</si>
  <si>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</si>
  <si>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</si>
  <si>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</si>
  <si>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</si>
  <si>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</si>
  <si>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</si>
  <si>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</si>
  <si>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</si>
  <si>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</si>
  <si>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</si>
  <si>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</si>
  <si>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</si>
  <si>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</si>
  <si>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</si>
  <si>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</si>
  <si>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</si>
  <si>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</si>
  <si>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</si>
  <si>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</si>
  <si>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</si>
  <si>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</si>
  <si>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</si>
  <si>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</si>
  <si>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</si>
  <si>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</si>
  <si>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</si>
  <si>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</si>
  <si>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</si>
  <si>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</si>
  <si>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</si>
  <si>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</si>
  <si>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</si>
  <si>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</si>
  <si>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</si>
  <si>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</si>
  <si>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</si>
  <si>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</si>
  <si>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</si>
  <si>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</si>
  <si>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</si>
  <si>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</si>
  <si>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</si>
  <si>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</si>
  <si>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</si>
  <si>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</si>
  <si>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</si>
  <si>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</si>
  <si>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</si>
  <si>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</si>
  <si>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</si>
  <si>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</si>
  <si>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</si>
  <si>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</si>
  <si>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</si>
  <si>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</si>
  <si>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</si>
  <si>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</si>
  <si>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</si>
  <si>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</si>
  <si>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</si>
  <si>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</si>
  <si>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</si>
  <si>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</si>
  <si>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</si>
  <si>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</si>
  <si>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</si>
  <si>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</si>
  <si>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</si>
  <si>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</si>
  <si>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</si>
  <si>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</si>
  <si>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</si>
  <si>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</si>
  <si>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</si>
  <si>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</si>
  <si>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</si>
  <si>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</si>
  <si>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</si>
  <si>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</si>
  <si>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</si>
  <si>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</si>
  <si>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</si>
  <si>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</si>
  <si>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</si>
  <si>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</si>
  <si>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</si>
  <si>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</si>
  <si>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</si>
  <si>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</si>
  <si>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</si>
  <si>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</si>
  <si>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</si>
  <si>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</si>
  <si>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</si>
  <si>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</si>
  <si>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</si>
  <si>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</si>
  <si>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</si>
  <si>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</si>
  <si>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</si>
  <si>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</si>
  <si>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</si>
  <si>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</si>
  <si>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</si>
  <si>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</si>
  <si>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</si>
  <si>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</si>
  <si>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</si>
  <si>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</si>
  <si>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</si>
  <si>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</si>
  <si>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</si>
  <si>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</si>
  <si>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</si>
  <si>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</si>
  <si>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</si>
  <si>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</si>
  <si>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</si>
  <si>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</si>
  <si>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</si>
  <si>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</si>
  <si>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</si>
  <si>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</si>
  <si>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</si>
  <si>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</si>
  <si>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</si>
  <si>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</si>
  <si>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</si>
  <si>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</si>
  <si>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</si>
  <si>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</si>
  <si>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</si>
  <si>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</si>
  <si>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</si>
  <si>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</si>
  <si>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</si>
  <si>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</si>
  <si>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</si>
  <si>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</si>
  <si>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</si>
  <si>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</si>
  <si>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</si>
  <si>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</si>
  <si>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</si>
  <si>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</si>
  <si>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</si>
  <si>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</si>
  <si>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</si>
  <si>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</si>
  <si>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</si>
  <si>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</si>
  <si>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</si>
  <si>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</si>
  <si>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</si>
  <si>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</si>
  <si>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</si>
  <si>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</si>
  <si>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</si>
  <si>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</si>
  <si>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</si>
  <si>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</si>
  <si>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</si>
  <si>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</si>
  <si>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</si>
  <si>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</si>
  <si>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</si>
  <si>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</si>
  <si>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</si>
  <si>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</si>
  <si>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</si>
  <si>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</si>
  <si>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</si>
  <si>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</si>
  <si>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</si>
  <si>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</si>
  <si>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</si>
  <si>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</si>
  <si>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</si>
  <si>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</si>
  <si>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</si>
  <si>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</si>
  <si>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</si>
  <si>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</si>
  <si>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</si>
  <si>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</si>
  <si>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</si>
  <si>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</si>
  <si>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</si>
  <si>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</si>
  <si>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</si>
  <si>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</si>
  <si>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</si>
  <si>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</si>
  <si>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</si>
  <si>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</si>
  <si>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</si>
  <si>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</si>
  <si>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</si>
  <si>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</si>
  <si>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</si>
  <si>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</si>
  <si>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</si>
  <si>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</si>
  <si>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</si>
  <si>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</si>
  <si>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</si>
  <si>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</si>
  <si>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</si>
  <si>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</si>
  <si>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</si>
  <si>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</si>
  <si>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</si>
  <si>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</si>
  <si>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</si>
  <si>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</si>
  <si>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</si>
  <si>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</si>
  <si>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</si>
  <si>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</si>
  <si>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</si>
  <si>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</si>
  <si>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</si>
  <si>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</si>
  <si>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</si>
  <si>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</si>
  <si>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</si>
  <si>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</si>
  <si>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</si>
  <si>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</si>
  <si>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</si>
  <si>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</si>
  <si>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</si>
  <si>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</si>
  <si>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</si>
  <si>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</si>
  <si>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</si>
  <si>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</si>
  <si>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</si>
  <si>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</si>
  <si>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</si>
  <si>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</si>
  <si>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</si>
  <si>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</si>
  <si>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</si>
  <si>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</si>
  <si>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</si>
  <si>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</si>
  <si>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</si>
  <si>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</si>
  <si>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</si>
  <si>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</si>
  <si>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</si>
  <si>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</si>
  <si>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</si>
  <si>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</si>
  <si>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</si>
  <si>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</si>
  <si>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</si>
  <si>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</si>
  <si>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</si>
  <si>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</si>
  <si>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</si>
  <si>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</si>
  <si>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</si>
  <si>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</si>
  <si>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</si>
  <si>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</si>
  <si>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</si>
  <si>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</si>
  <si>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</si>
  <si>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</si>
  <si>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</si>
  <si>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</si>
  <si>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</si>
  <si>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</si>
  <si>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</si>
  <si>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</si>
  <si>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</si>
  <si>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</si>
  <si>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</si>
  <si>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</si>
  <si>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</si>
  <si>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</si>
  <si>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</si>
  <si>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</si>
  <si>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</si>
  <si>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</si>
  <si>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</si>
  <si>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</si>
  <si>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</si>
  <si>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</si>
  <si>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</si>
  <si>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</si>
  <si>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</si>
  <si>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</si>
  <si>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</si>
  <si>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</si>
  <si>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</si>
  <si>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</si>
  <si>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</si>
  <si>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</si>
  <si>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</si>
  <si>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</si>
  <si>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</si>
  <si>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</si>
  <si>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</si>
  <si>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</si>
  <si>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</si>
  <si>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</si>
  <si>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</si>
  <si>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</si>
  <si>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</si>
  <si>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</si>
  <si>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</si>
  <si>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</si>
  <si>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</si>
  <si>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</si>
  <si>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</si>
  <si>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</si>
  <si>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</si>
  <si>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</si>
  <si>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</si>
  <si>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</si>
  <si>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</si>
  <si>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</si>
  <si>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</si>
  <si>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</si>
  <si>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</si>
  <si>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</si>
  <si>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</si>
  <si>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</si>
  <si>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</si>
  <si>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</si>
  <si>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</si>
  <si>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</si>
  <si>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</si>
  <si>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</si>
  <si>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</si>
  <si>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</si>
  <si>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</si>
  <si>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</si>
  <si>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</si>
  <si>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</si>
  <si>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</si>
  <si>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</si>
  <si>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</si>
  <si>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</si>
  <si>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</si>
  <si>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</si>
  <si>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</si>
  <si>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</si>
  <si>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</si>
  <si>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</si>
  <si>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</si>
  <si>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</si>
  <si>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</si>
  <si>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</si>
  <si>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</si>
  <si>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</si>
  <si>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</si>
  <si>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</si>
  <si>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</si>
  <si>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</si>
  <si>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</si>
  <si>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</si>
  <si>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</si>
  <si>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</si>
  <si>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</si>
  <si>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</si>
  <si>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</si>
  <si>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</si>
  <si>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</si>
  <si>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</si>
  <si>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</si>
  <si>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</si>
  <si>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</si>
  <si>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</si>
  <si>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</si>
  <si>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</si>
  <si>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</si>
  <si>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</si>
  <si>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</si>
  <si>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</si>
  <si>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</si>
  <si>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</si>
  <si>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</si>
  <si>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</si>
  <si>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</si>
  <si>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</si>
  <si>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</si>
  <si>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</si>
  <si>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</si>
  <si>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</si>
  <si>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</si>
  <si>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</si>
  <si>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</si>
  <si>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</si>
  <si>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</si>
  <si>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</si>
  <si>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</si>
  <si>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</si>
  <si>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</si>
  <si>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</si>
  <si>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</si>
  <si>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</si>
  <si>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</si>
  <si>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</si>
  <si>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</si>
  <si>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</si>
  <si>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</si>
  <si>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</si>
  <si>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</si>
  <si>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</si>
  <si>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</si>
  <si>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</si>
  <si>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</si>
  <si>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</si>
  <si>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</si>
  <si>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</si>
  <si>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</si>
  <si>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</si>
  <si>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</si>
  <si>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</si>
  <si>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</si>
  <si>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</si>
  <si>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</si>
  <si>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</si>
  <si>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</si>
  <si>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</si>
  <si>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</si>
  <si>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</si>
  <si>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</si>
  <si>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</si>
  <si>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</si>
  <si>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</si>
  <si>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</si>
  <si>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</si>
  <si>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</si>
  <si>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</si>
  <si>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</si>
  <si>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</si>
  <si>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</si>
  <si>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</si>
  <si>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</si>
  <si>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</si>
  <si>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</si>
  <si>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</si>
  <si>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</si>
  <si>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</si>
  <si>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</si>
  <si>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</si>
  <si>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</si>
  <si>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</si>
  <si>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</si>
  <si>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</si>
  <si>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</si>
  <si>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</si>
  <si>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</si>
  <si>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</si>
  <si>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</si>
  <si>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</si>
  <si>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</si>
  <si>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</si>
  <si>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</si>
  <si>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</si>
  <si>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</si>
  <si>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</si>
  <si>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</si>
  <si>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</si>
  <si>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</si>
  <si>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</si>
  <si>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</si>
  <si>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</si>
  <si>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</si>
  <si>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</si>
  <si>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</si>
  <si>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</si>
  <si>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</si>
  <si>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</si>
  <si>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</si>
  <si>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</si>
  <si>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</si>
  <si>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</si>
  <si>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</si>
  <si>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</si>
  <si>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</si>
  <si>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</si>
  <si>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</si>
  <si>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</si>
  <si>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</si>
  <si>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</si>
  <si>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</si>
  <si>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</si>
  <si>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</si>
  <si>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</si>
  <si>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</si>
  <si>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</si>
  <si>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</si>
  <si>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</si>
  <si>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</si>
  <si>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</si>
  <si>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</si>
  <si>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</si>
  <si>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</si>
  <si>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</si>
  <si>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</si>
  <si>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</si>
  <si>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</si>
  <si>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</si>
  <si>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</si>
  <si>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</si>
  <si>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</si>
  <si>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</si>
  <si>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</si>
  <si>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</si>
  <si>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</si>
  <si>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</si>
  <si>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</si>
  <si>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</si>
  <si>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</si>
  <si>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</si>
  <si>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</si>
  <si>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</si>
  <si>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</si>
  <si>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</si>
  <si>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</si>
  <si>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</si>
  <si>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</si>
  <si>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</si>
  <si>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</si>
  <si>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</si>
  <si>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</si>
  <si>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</si>
  <si>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</si>
  <si>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</si>
  <si>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</si>
  <si>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</si>
  <si>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</si>
  <si>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</si>
  <si>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</si>
  <si>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</si>
  <si>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</si>
  <si>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</si>
  <si>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</si>
  <si>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</si>
  <si>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</si>
  <si>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</si>
  <si>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</si>
  <si>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</si>
  <si>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</si>
  <si>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</si>
  <si>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</si>
  <si>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</si>
  <si>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</si>
  <si>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</si>
  <si>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</si>
  <si>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</si>
  <si>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</si>
  <si>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</si>
  <si>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</si>
  <si>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</si>
  <si>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</si>
  <si>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</si>
  <si>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</si>
  <si>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</si>
  <si>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</si>
  <si>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</si>
  <si>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</si>
  <si>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</si>
  <si>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</si>
  <si>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</si>
  <si>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</si>
  <si>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</si>
  <si>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</si>
  <si>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</si>
  <si>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</si>
  <si>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</si>
  <si>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</si>
  <si>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</si>
  <si>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</si>
  <si>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</si>
  <si>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</si>
  <si>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</si>
  <si>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</si>
  <si>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</si>
  <si>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</si>
  <si>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</si>
  <si>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</si>
  <si>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</si>
  <si>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</si>
  <si>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</si>
  <si>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</si>
  <si>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</si>
  <si>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</si>
  <si>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</si>
  <si>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</si>
  <si>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</si>
  <si>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</si>
  <si>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</si>
  <si>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</si>
  <si>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</si>
  <si>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</si>
  <si>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</si>
  <si>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</si>
  <si>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</si>
  <si>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</si>
  <si>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</si>
  <si>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</si>
  <si>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</si>
  <si>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</si>
  <si>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</si>
  <si>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</si>
  <si>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</si>
  <si>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</si>
  <si>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</si>
  <si>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</si>
  <si>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</si>
  <si>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</si>
  <si>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</si>
  <si>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</si>
  <si>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</si>
  <si>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</si>
  <si>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</si>
  <si>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</si>
  <si>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</si>
  <si>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</si>
  <si>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</si>
  <si>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</si>
  <si>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</si>
  <si>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</si>
  <si>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</si>
  <si>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</si>
  <si>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</si>
  <si>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</si>
  <si>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</si>
  <si>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</si>
  <si>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</si>
  <si>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</si>
  <si>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</si>
  <si>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</si>
  <si>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</si>
  <si>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</si>
  <si>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</si>
  <si>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</si>
  <si>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</si>
  <si>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</si>
  <si>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</si>
  <si>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</si>
  <si>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</si>
  <si>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</si>
  <si>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</si>
  <si>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</si>
  <si>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</si>
  <si>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</si>
  <si>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</si>
  <si>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</si>
  <si>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</si>
  <si>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</si>
  <si>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</si>
  <si>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</si>
  <si>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</si>
  <si>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</si>
  <si>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</si>
  <si>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</si>
  <si>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</si>
  <si>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</si>
  <si>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</si>
  <si>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</si>
  <si>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</si>
  <si>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</si>
  <si>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</si>
  <si>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</si>
  <si>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</si>
  <si>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</si>
  <si>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</si>
  <si>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</si>
  <si>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</si>
  <si>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</si>
  <si>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</si>
  <si>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</si>
  <si>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</si>
  <si>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</si>
  <si>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</si>
  <si>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</si>
  <si>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</si>
  <si>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</si>
  <si>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</si>
  <si>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</si>
  <si>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</si>
  <si>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</si>
  <si>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</si>
  <si>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</si>
  <si>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</si>
  <si>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</si>
  <si>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</si>
  <si>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</si>
  <si>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</si>
  <si>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</si>
  <si>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</si>
  <si>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</si>
  <si>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</si>
  <si>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</si>
  <si>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</si>
  <si>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</si>
  <si>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</si>
  <si>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</si>
  <si>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</si>
  <si>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</si>
  <si>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</si>
  <si>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</si>
  <si>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</si>
  <si>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</si>
  <si>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</si>
  <si>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</si>
  <si>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</si>
  <si>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</si>
  <si>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</si>
  <si>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</si>
  <si>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</si>
  <si>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</si>
  <si>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</si>
  <si>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</si>
  <si>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</si>
  <si>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</si>
  <si>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</si>
  <si>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</si>
  <si>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</si>
  <si>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</si>
  <si>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</si>
  <si>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</si>
  <si>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</si>
  <si>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</si>
  <si>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</si>
  <si>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</si>
  <si>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</si>
  <si>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</si>
  <si>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</si>
  <si>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</si>
  <si>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</si>
  <si>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</si>
  <si>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</si>
  <si>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</si>
  <si>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</si>
  <si>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</si>
  <si>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</si>
  <si>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</si>
  <si>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</si>
  <si>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</si>
  <si>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</si>
  <si>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</si>
  <si>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</si>
  <si>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</si>
  <si>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</si>
  <si>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</si>
  <si>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</si>
  <si>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</si>
  <si>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</si>
  <si>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</si>
  <si>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</si>
  <si>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</si>
  <si>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</si>
  <si>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</si>
  <si>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</si>
  <si>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</si>
  <si>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</si>
  <si>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</si>
  <si>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</si>
  <si>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</si>
  <si>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</si>
  <si>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</si>
  <si>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</si>
  <si>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</si>
  <si>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</si>
  <si>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</si>
  <si>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</si>
  <si>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</si>
  <si>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</si>
  <si>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</si>
  <si>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</si>
  <si>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</si>
  <si>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</si>
  <si>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</si>
  <si>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</si>
  <si>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</si>
  <si>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</si>
  <si>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</si>
  <si>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</si>
  <si>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</si>
  <si>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</si>
  <si>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</si>
  <si>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</si>
  <si>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</si>
  <si>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</si>
  <si>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</si>
  <si>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</si>
  <si>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</si>
  <si>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</si>
  <si>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</si>
  <si>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</si>
  <si>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</si>
  <si>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</si>
  <si>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</si>
  <si>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</si>
  <si>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</si>
  <si>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</si>
  <si>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</si>
  <si>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</si>
  <si>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</si>
  <si>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</si>
  <si>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</si>
  <si>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</si>
  <si>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</si>
  <si>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</si>
  <si>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</si>
  <si>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</si>
  <si>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</si>
  <si>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</si>
  <si>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</si>
  <si>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</si>
  <si>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</si>
  <si>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</si>
  <si>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</si>
  <si>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</si>
  <si>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</si>
  <si>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</si>
  <si>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</si>
  <si>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</si>
  <si>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</si>
  <si>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</si>
  <si>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</si>
  <si>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</si>
  <si>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</si>
  <si>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</si>
  <si>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</si>
  <si>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</si>
  <si>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</si>
  <si>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</si>
  <si>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</si>
  <si>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</si>
  <si>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</si>
  <si>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</si>
  <si>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</si>
  <si>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</si>
  <si>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</si>
  <si>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</si>
  <si>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</si>
  <si>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</si>
  <si>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</si>
  <si>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</si>
  <si>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</si>
  <si>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</si>
  <si>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</si>
  <si>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</si>
  <si>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</si>
  <si>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</si>
  <si>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</si>
  <si>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</si>
  <si>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</si>
  <si>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</si>
  <si>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</si>
  <si>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</si>
  <si>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</si>
  <si>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</si>
  <si>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</si>
  <si>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</si>
  <si>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</si>
  <si>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</si>
  <si>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</si>
  <si>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</si>
  <si>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</si>
  <si>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</si>
  <si>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</si>
  <si>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</si>
  <si>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</si>
  <si>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</si>
  <si>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</si>
  <si>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</si>
  <si>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</si>
  <si>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</si>
  <si>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</si>
  <si>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</si>
  <si>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</si>
  <si>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</si>
  <si>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</si>
  <si>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</si>
  <si>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</si>
  <si>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</si>
  <si>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</si>
  <si>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</si>
  <si>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</si>
  <si>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</si>
  <si>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</si>
  <si>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</si>
  <si>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</si>
  <si>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</si>
  <si>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</si>
  <si>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</si>
  <si>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</si>
  <si>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</si>
  <si>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</si>
  <si>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</si>
  <si>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</si>
  <si>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</si>
  <si>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</si>
  <si>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</si>
  <si>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</si>
  <si>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</si>
  <si>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</si>
  <si>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</si>
  <si>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</si>
  <si>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</si>
  <si>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</si>
  <si>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</si>
  <si>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</si>
  <si>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</si>
  <si>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</si>
  <si>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</si>
  <si>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</si>
  <si>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</si>
  <si>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</si>
  <si>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</si>
  <si>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</si>
  <si>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</si>
  <si>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</si>
  <si>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</si>
  <si>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</si>
  <si>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</si>
  <si>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</si>
  <si>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</si>
  <si>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</si>
  <si>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</si>
  <si>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</si>
  <si>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</si>
  <si>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</si>
  <si>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</si>
  <si>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</si>
  <si>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</si>
  <si>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</si>
  <si>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</si>
  <si>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</si>
  <si>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</si>
  <si>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</si>
  <si>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</si>
  <si>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</si>
  <si>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</si>
  <si>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</si>
  <si>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</si>
  <si>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</si>
  <si>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</si>
  <si>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</si>
  <si>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</si>
  <si>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</si>
  <si>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</si>
  <si>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</si>
  <si>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</si>
  <si>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</si>
  <si>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</si>
  <si>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</si>
  <si>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</si>
  <si>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</si>
  <si>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</si>
  <si>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</si>
  <si>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</si>
  <si>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</si>
  <si>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</si>
  <si>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</si>
  <si>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</si>
  <si>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</si>
  <si>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</si>
  <si>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</si>
  <si>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</si>
  <si>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</si>
  <si>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</si>
  <si>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</si>
  <si>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</si>
  <si>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</si>
  <si>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</si>
  <si>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</si>
  <si>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</si>
  <si>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</si>
  <si>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</si>
  <si>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</si>
  <si>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</si>
  <si>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</si>
  <si>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</si>
  <si>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</si>
  <si>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</si>
  <si>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</si>
  <si>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</si>
  <si>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</si>
  <si>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</si>
  <si>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</si>
  <si>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</si>
  <si>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</si>
  <si>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</si>
  <si>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</si>
  <si>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</si>
  <si>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</si>
  <si>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</si>
  <si>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</si>
  <si>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</si>
  <si>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</si>
  <si>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</si>
  <si>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</si>
  <si>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</si>
  <si>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</si>
  <si>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</si>
  <si>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</si>
  <si>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</si>
  <si>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</si>
  <si>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</si>
  <si>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</si>
  <si>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</si>
  <si>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</si>
  <si>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</si>
  <si>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</si>
  <si>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</si>
  <si>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</si>
  <si>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</si>
  <si>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</si>
  <si>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</si>
  <si>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</si>
  <si>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</si>
  <si>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</si>
  <si>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</si>
  <si>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</si>
  <si>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</si>
  <si>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</si>
  <si>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</si>
  <si>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</si>
  <si>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</si>
  <si>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</si>
  <si>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</si>
  <si>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</si>
  <si>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</si>
  <si>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</si>
  <si>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</si>
  <si>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</si>
  <si>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</si>
  <si>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</si>
  <si>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</si>
  <si>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</si>
  <si>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</si>
  <si>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</si>
  <si>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</si>
  <si>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</si>
  <si>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</si>
  <si>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</si>
  <si>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</si>
  <si>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</si>
  <si>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</si>
  <si>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</si>
  <si>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</si>
  <si>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</si>
  <si>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</si>
  <si>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</si>
  <si>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</si>
  <si>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</si>
  <si>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</si>
  <si>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</si>
  <si>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</si>
  <si>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</si>
  <si>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</si>
  <si>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</si>
  <si>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</si>
  <si>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</si>
  <si>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</si>
  <si>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</si>
  <si>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</si>
  <si>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</si>
  <si>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</si>
  <si>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</si>
  <si>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</si>
  <si>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</si>
  <si>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</si>
  <si>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</si>
  <si>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</si>
  <si>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</si>
  <si>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</si>
  <si>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</si>
  <si>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</si>
  <si>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</si>
  <si>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</si>
  <si>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</si>
  <si>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</si>
  <si>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</si>
  <si>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</si>
  <si>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</si>
  <si>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</si>
  <si>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</si>
  <si>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</si>
  <si>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</si>
  <si>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</si>
  <si>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</si>
  <si>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</si>
  <si>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</si>
  <si>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</si>
  <si>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</si>
  <si>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</si>
  <si>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</si>
  <si>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</si>
  <si>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</si>
  <si>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</si>
  <si>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</si>
  <si>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</si>
  <si>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</si>
  <si>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</si>
  <si>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</si>
  <si>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</si>
  <si>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</si>
  <si>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</si>
  <si>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</si>
  <si>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</si>
  <si>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</si>
  <si>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</si>
  <si>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</si>
  <si>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</si>
  <si>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</si>
  <si>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</si>
  <si>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</si>
  <si>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</si>
  <si>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</si>
  <si>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</si>
  <si>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</si>
  <si>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</si>
  <si>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</si>
  <si>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</si>
  <si>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</si>
  <si>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</si>
  <si>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</si>
  <si>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</si>
  <si>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</si>
  <si>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</si>
  <si>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</si>
  <si>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</si>
  <si>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</si>
  <si>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</si>
  <si>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</si>
  <si>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</si>
  <si>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</si>
  <si>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</si>
  <si>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</si>
  <si>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</si>
  <si>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</si>
  <si>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</si>
  <si>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</si>
  <si>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</si>
  <si>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</si>
  <si>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</si>
  <si>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</si>
  <si>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</si>
  <si>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</si>
  <si>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</si>
  <si>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</si>
  <si>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</si>
  <si>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</si>
  <si>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</si>
  <si>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</si>
  <si>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</si>
  <si>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</si>
  <si>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</si>
  <si>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</si>
  <si>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</si>
  <si>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</si>
  <si>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</si>
  <si>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</si>
  <si>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</si>
  <si>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</si>
  <si>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</si>
  <si>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</si>
  <si>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</si>
  <si>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</si>
  <si>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</si>
  <si>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</si>
  <si>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</si>
  <si>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</si>
  <si>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</si>
  <si>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</si>
  <si>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</si>
  <si>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</si>
  <si>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</si>
  <si>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</si>
  <si>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</si>
  <si>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</si>
  <si>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</si>
  <si>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</si>
  <si>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</si>
  <si>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</si>
  <si>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</si>
  <si>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</si>
  <si>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</si>
  <si>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</si>
  <si>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</si>
  <si>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</si>
  <si>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</si>
  <si>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</si>
  <si>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</si>
  <si>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</si>
  <si>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</si>
  <si>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</si>
  <si>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</si>
  <si>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</si>
  <si>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</si>
  <si>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</si>
  <si>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</si>
  <si>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</si>
  <si>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</si>
  <si>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</si>
  <si>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</si>
  <si>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</si>
  <si>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</si>
  <si>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</si>
  <si>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</si>
  <si>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</si>
  <si>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</si>
  <si>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</si>
  <si>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</si>
  <si>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</si>
  <si>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</si>
  <si>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</si>
  <si>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</si>
  <si>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</si>
  <si>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</si>
  <si>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</si>
  <si>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</si>
  <si>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</si>
  <si>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</si>
  <si>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</si>
  <si>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</si>
  <si>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</si>
  <si>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</si>
  <si>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</si>
  <si>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</si>
  <si>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</si>
  <si>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</si>
  <si>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</si>
  <si>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</si>
  <si>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</si>
  <si>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</si>
  <si>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</si>
  <si>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</si>
  <si>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</si>
  <si>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</si>
  <si>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</si>
  <si>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</si>
  <si>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</si>
  <si>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</si>
  <si>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</si>
  <si>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</si>
  <si>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</si>
  <si>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</si>
  <si>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</si>
  <si>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</si>
  <si>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</si>
  <si>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</si>
  <si>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</si>
  <si>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</si>
  <si>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</si>
  <si>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</si>
  <si>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</si>
  <si>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</si>
  <si>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</si>
  <si>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</si>
  <si>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</si>
  <si>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</si>
  <si>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</si>
  <si>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</si>
  <si>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</si>
  <si>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</si>
  <si>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</si>
  <si>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</si>
  <si>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</si>
  <si>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</si>
  <si>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</si>
  <si>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</si>
  <si>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</si>
  <si>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</si>
  <si>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</si>
  <si>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</si>
  <si>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</si>
  <si>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</si>
  <si>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</si>
  <si>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</si>
  <si>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</si>
  <si>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</si>
  <si>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</si>
  <si>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</si>
  <si>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</si>
  <si>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</si>
  <si>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</si>
  <si>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</si>
  <si>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</si>
  <si>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</si>
  <si>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</si>
  <si>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</si>
  <si>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</si>
  <si>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</si>
  <si>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</si>
  <si>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</si>
  <si>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</si>
  <si>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</si>
  <si>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</si>
  <si>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</si>
  <si>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</si>
  <si>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</si>
  <si>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</si>
  <si>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</si>
  <si>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</si>
  <si>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</si>
  <si>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</si>
  <si>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</si>
  <si>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</si>
  <si>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</si>
  <si>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</si>
  <si>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</si>
  <si>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</si>
  <si>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</si>
  <si>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</si>
  <si>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</si>
  <si>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</si>
  <si>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</si>
  <si>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</si>
  <si>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</si>
  <si>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</si>
  <si>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</si>
  <si>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</si>
  <si>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</si>
  <si>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</si>
  <si>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</si>
  <si>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</si>
  <si>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</si>
  <si>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</si>
  <si>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</si>
  <si>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</si>
  <si>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</si>
  <si>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</si>
  <si>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</si>
  <si>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</si>
  <si>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</si>
  <si>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</si>
  <si>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</si>
  <si>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</si>
  <si>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</si>
  <si>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</si>
  <si>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</si>
  <si>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</si>
  <si>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</si>
  <si>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</si>
  <si>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</si>
  <si>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</si>
  <si>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</si>
  <si>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</si>
  <si>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</si>
  <si>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</si>
  <si>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</si>
  <si>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</si>
  <si>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</si>
  <si>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</si>
  <si>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</si>
  <si>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</si>
  <si>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</si>
  <si>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</si>
  <si>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</si>
  <si>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</si>
  <si>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</si>
  <si>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</si>
  <si>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</si>
  <si>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</si>
  <si>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</si>
  <si>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</si>
  <si>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</si>
  <si>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</si>
  <si>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</si>
  <si>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</si>
  <si>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</si>
  <si>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</si>
  <si>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</si>
  <si>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</si>
  <si>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</si>
  <si>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</si>
  <si>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</si>
  <si>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</si>
  <si>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</si>
  <si>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</si>
  <si>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</si>
  <si>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</si>
  <si>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</si>
  <si>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</si>
  <si>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</si>
  <si>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</si>
  <si>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</si>
  <si>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</si>
  <si>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</si>
  <si>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</si>
  <si>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</si>
  <si>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</si>
  <si>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</si>
  <si>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</si>
  <si>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</si>
  <si>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</si>
  <si>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</si>
  <si>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</si>
  <si>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</si>
  <si>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</si>
  <si>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</si>
  <si>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</si>
  <si>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</si>
  <si>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</si>
  <si>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</si>
  <si>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</si>
  <si>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</si>
  <si>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</si>
  <si>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</si>
  <si>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</si>
  <si>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</si>
  <si>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</si>
  <si>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</si>
  <si>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</si>
  <si>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</si>
  <si>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</si>
  <si>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</si>
  <si>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</si>
  <si>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</si>
  <si>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</si>
  <si>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</si>
  <si>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</si>
  <si>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</si>
  <si>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</si>
  <si>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</si>
  <si>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</si>
  <si>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</si>
  <si>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</si>
  <si>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</si>
  <si>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</si>
  <si>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</si>
  <si>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</si>
  <si>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</si>
  <si>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</si>
  <si>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</si>
  <si>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</si>
  <si>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</si>
  <si>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</si>
  <si>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</si>
  <si>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</si>
  <si>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</si>
  <si>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</si>
  <si>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</si>
  <si>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</si>
  <si>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</si>
  <si>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</si>
  <si>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</si>
  <si>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</si>
  <si>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</si>
  <si>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</si>
  <si>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</si>
  <si>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</si>
  <si>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</si>
  <si>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</si>
  <si>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</si>
  <si>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</si>
  <si>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</si>
  <si>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</si>
  <si>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</si>
  <si>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</si>
  <si>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</si>
  <si>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</si>
  <si>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</si>
  <si>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</si>
  <si>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</si>
  <si>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</si>
  <si>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</si>
  <si>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</si>
  <si>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</si>
  <si>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</si>
  <si>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</si>
  <si>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</si>
  <si>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</si>
  <si>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</si>
  <si>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</si>
  <si>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</si>
  <si>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</si>
  <si>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</si>
  <si>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</si>
  <si>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</si>
  <si>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</si>
  <si>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</si>
  <si>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</si>
  <si>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</si>
  <si>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</si>
  <si>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</si>
  <si>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</si>
  <si>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</si>
  <si>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</si>
  <si>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</si>
  <si>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</si>
  <si>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</si>
  <si>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</si>
  <si>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</si>
  <si>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</si>
  <si>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</si>
  <si>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</si>
  <si>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</si>
  <si>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</si>
  <si>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</si>
  <si>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</si>
  <si>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</si>
  <si>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</si>
  <si>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</si>
  <si>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</si>
  <si>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</si>
  <si>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</si>
  <si>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</si>
  <si>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</si>
  <si>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</si>
  <si>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</si>
  <si>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</si>
  <si>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</si>
  <si>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</si>
  <si>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</si>
  <si>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</si>
  <si>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</si>
  <si>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</si>
  <si>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</si>
  <si>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</si>
  <si>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</si>
  <si>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</si>
  <si>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</si>
  <si>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</si>
  <si>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</si>
  <si>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</si>
  <si>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</si>
  <si>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</si>
  <si>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</si>
  <si>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</si>
  <si>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</si>
  <si>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</si>
  <si>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</si>
  <si>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</si>
  <si>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</si>
  <si>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</si>
  <si>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</si>
  <si>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</si>
  <si>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</si>
  <si>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</si>
  <si>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</si>
  <si>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</si>
  <si>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</si>
  <si>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</si>
  <si>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</si>
  <si>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</si>
  <si>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</si>
  <si>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</si>
  <si>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</si>
  <si>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</si>
  <si>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</si>
  <si>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</si>
  <si>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</si>
  <si>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</si>
  <si>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</si>
  <si>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</si>
  <si>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</si>
  <si>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</si>
  <si>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</si>
  <si>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</si>
  <si>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</si>
  <si>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</si>
  <si>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</si>
  <si>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</si>
  <si>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</si>
  <si>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</si>
  <si>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</si>
  <si>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</si>
  <si>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</si>
  <si>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</si>
  <si>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</si>
  <si>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</si>
  <si>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</si>
  <si>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</si>
  <si>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</si>
  <si>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</si>
  <si>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</si>
  <si>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</si>
  <si>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</si>
  <si>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</si>
  <si>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</si>
  <si>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</si>
  <si>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</si>
  <si>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</si>
  <si>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</si>
  <si>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</si>
  <si>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</si>
  <si>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</si>
  <si>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</si>
  <si>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</si>
  <si>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</si>
  <si>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</si>
  <si>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</si>
  <si>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</si>
  <si>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</si>
  <si>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</si>
  <si>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</si>
  <si>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</si>
  <si>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</si>
  <si>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</si>
  <si>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</si>
  <si>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</si>
  <si>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</si>
  <si>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</si>
  <si>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</si>
  <si>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</si>
  <si>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</si>
  <si>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</si>
  <si>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</si>
  <si>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</si>
  <si>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</si>
  <si>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</si>
  <si>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</si>
  <si>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</si>
  <si>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</si>
  <si>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</si>
  <si>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</si>
  <si>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</si>
  <si>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</si>
  <si>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</si>
  <si>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</si>
  <si>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</si>
  <si>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</si>
  <si>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</si>
  <si>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</si>
  <si>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</si>
  <si>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</si>
  <si>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</si>
  <si>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</si>
  <si>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</si>
  <si>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</si>
  <si>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</si>
  <si>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</si>
  <si>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</si>
  <si>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</si>
  <si>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</si>
  <si>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</si>
  <si>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</si>
  <si>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</si>
  <si>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</si>
  <si>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</si>
  <si>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</si>
  <si>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</si>
  <si>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</si>
  <si>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</si>
  <si>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</si>
  <si>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</si>
  <si>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</si>
  <si>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</si>
  <si>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</si>
  <si>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</si>
  <si>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</si>
  <si>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</si>
  <si>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</si>
  <si>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</si>
  <si>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</si>
  <si>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</si>
  <si>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</si>
  <si>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</si>
  <si>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</si>
  <si>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</si>
  <si>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</si>
  <si>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</si>
  <si>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</si>
  <si>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</si>
  <si>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</si>
  <si>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</si>
  <si>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</si>
  <si>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</si>
  <si>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</si>
  <si>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</si>
  <si>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</si>
  <si>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</si>
  <si>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</si>
  <si>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</si>
  <si>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</si>
  <si>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</si>
  <si>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</si>
  <si>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</si>
  <si>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</si>
  <si>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</si>
  <si>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</si>
  <si>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</si>
  <si>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</si>
  <si>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</si>
  <si>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</si>
  <si>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</si>
  <si>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</si>
  <si>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</si>
  <si>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</si>
  <si>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</si>
  <si>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</si>
  <si>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</si>
  <si>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</si>
  <si>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</si>
  <si>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</si>
  <si>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</si>
  <si>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</si>
  <si>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</si>
  <si>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</si>
  <si>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</si>
  <si>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</si>
  <si>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</si>
  <si>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</si>
  <si>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</si>
  <si>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</si>
  <si>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</si>
  <si>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</si>
  <si>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</si>
  <si>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</si>
  <si>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</si>
  <si>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</si>
  <si>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</si>
  <si>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</si>
  <si>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</si>
  <si>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</si>
  <si>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</si>
  <si>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</si>
  <si>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</si>
  <si>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</si>
  <si>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</si>
  <si>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</si>
  <si>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</si>
  <si>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</si>
  <si>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</si>
  <si>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</si>
  <si>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</si>
  <si>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</si>
  <si>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</si>
  <si>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</si>
  <si>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</si>
  <si>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</si>
  <si>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</si>
  <si>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</si>
  <si>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</si>
  <si>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</si>
  <si>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</si>
  <si>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</si>
  <si>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</si>
  <si>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</si>
  <si>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</si>
  <si>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</si>
  <si>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</si>
  <si>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</si>
  <si>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</si>
  <si>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</si>
  <si>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</si>
  <si>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</si>
  <si>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</si>
  <si>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</si>
  <si>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</si>
  <si>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</si>
  <si>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</si>
  <si>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</si>
  <si>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</si>
  <si>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</si>
  <si>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</si>
  <si>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</si>
  <si>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</si>
  <si>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</si>
  <si>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</si>
  <si>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</si>
  <si>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</si>
  <si>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</si>
  <si>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</si>
  <si>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</si>
  <si>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</si>
  <si>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</si>
  <si>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</si>
  <si>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</si>
  <si>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</si>
  <si>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</si>
  <si>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</si>
  <si>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</si>
  <si>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</si>
  <si>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</si>
  <si>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</si>
  <si>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</si>
  <si>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</si>
  <si>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</si>
  <si>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</si>
  <si>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</si>
  <si>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</si>
  <si>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</si>
  <si>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</si>
  <si>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</si>
  <si>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</si>
  <si>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</si>
  <si>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</si>
  <si>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</si>
  <si>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</si>
  <si>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</si>
  <si>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</si>
  <si>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</si>
  <si>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</si>
  <si>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</si>
  <si>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</si>
  <si>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</si>
  <si>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</si>
  <si>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</si>
  <si>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</si>
  <si>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</si>
  <si>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</si>
  <si>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</si>
  <si>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</si>
  <si>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</si>
  <si>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</si>
  <si>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</si>
  <si>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</si>
  <si>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</si>
  <si>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</si>
  <si>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</si>
  <si>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</si>
  <si>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</si>
  <si>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</si>
  <si>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</si>
  <si>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</si>
  <si>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</si>
  <si>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</si>
  <si>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</si>
  <si>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</si>
  <si>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</si>
  <si>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</si>
  <si>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</si>
  <si>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</si>
  <si>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</si>
  <si>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</si>
  <si>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</si>
  <si>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</si>
  <si>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</si>
  <si>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</si>
  <si>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</si>
  <si>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</si>
  <si>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</si>
  <si>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</si>
  <si>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</si>
  <si>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</si>
  <si>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</si>
  <si>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</si>
  <si>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</si>
  <si>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</si>
  <si>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</si>
  <si>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</si>
  <si>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</si>
  <si>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</si>
  <si>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</si>
  <si>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</si>
  <si>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</si>
  <si>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</si>
  <si>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</si>
  <si>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</si>
  <si>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</si>
  <si>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</si>
  <si>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</si>
  <si>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</si>
  <si>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</si>
  <si>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</si>
  <si>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</si>
  <si>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</si>
  <si>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</si>
  <si>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</si>
  <si>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</si>
  <si>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</si>
  <si>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</si>
  <si>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</si>
  <si>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</si>
  <si>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</si>
  <si>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</si>
  <si>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</si>
  <si>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</si>
  <si>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</si>
  <si>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</si>
  <si>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</si>
  <si>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</si>
  <si>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</si>
  <si>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</si>
  <si>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</si>
  <si>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</si>
  <si>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</si>
  <si>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</si>
  <si>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</si>
  <si>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</si>
  <si>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</si>
  <si>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</si>
  <si>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</si>
  <si>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</si>
  <si>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</si>
  <si>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</si>
  <si>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</si>
  <si>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</si>
  <si>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</si>
  <si>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</si>
  <si>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</si>
  <si>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</si>
  <si>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</si>
  <si>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</si>
  <si>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</si>
  <si>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</si>
  <si>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</si>
  <si>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</si>
  <si>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</si>
  <si>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</si>
  <si>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</si>
  <si>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</si>
  <si>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</si>
  <si>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</si>
  <si>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</si>
  <si>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</si>
  <si>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</si>
  <si>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</si>
  <si>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</si>
  <si>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</si>
  <si>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</si>
  <si>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</si>
  <si>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</si>
  <si>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</si>
  <si>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</si>
  <si>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</si>
  <si>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</si>
  <si>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</si>
  <si>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</si>
  <si>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</si>
  <si>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</si>
  <si>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</si>
  <si>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</si>
  <si>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</si>
  <si>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</si>
  <si>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</si>
  <si>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</si>
  <si>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</si>
  <si>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</si>
  <si>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</si>
  <si>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</si>
  <si>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</si>
  <si>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</si>
  <si>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</si>
  <si>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</si>
  <si>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</si>
  <si>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</si>
  <si>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</si>
  <si>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</si>
  <si>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</si>
  <si>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</si>
  <si>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</si>
  <si>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</si>
  <si>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</si>
  <si>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</si>
  <si>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</si>
  <si>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</si>
  <si>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</si>
  <si>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</si>
  <si>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</si>
  <si>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</si>
  <si>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</si>
  <si>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</si>
  <si>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</si>
  <si>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</si>
  <si>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</si>
  <si>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</si>
  <si>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</si>
  <si>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</si>
  <si>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</si>
  <si>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</si>
  <si>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</si>
  <si>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</si>
  <si>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</si>
  <si>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</si>
  <si>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</si>
  <si>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</si>
  <si>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</si>
  <si>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</si>
  <si>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</si>
  <si>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</si>
  <si>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</si>
  <si>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</si>
  <si>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</si>
  <si>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</si>
  <si>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</si>
  <si>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</si>
  <si>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</si>
  <si>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</si>
  <si>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</si>
  <si>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</si>
  <si>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</si>
  <si>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</si>
  <si>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</si>
  <si>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</si>
  <si>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</si>
  <si>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</si>
  <si>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</si>
  <si>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</si>
  <si>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</si>
  <si>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</si>
  <si>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</si>
  <si>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</si>
  <si>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</si>
  <si>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</si>
  <si>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</si>
  <si>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</si>
  <si>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</si>
  <si>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</si>
  <si>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</si>
  <si>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</si>
  <si>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</si>
  <si>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</si>
  <si>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</si>
  <si>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</si>
  <si>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</si>
  <si>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</si>
  <si>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</si>
  <si>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</si>
  <si>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</si>
  <si>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</si>
  <si>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</si>
  <si>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</si>
  <si>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</si>
  <si>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</si>
  <si>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</si>
  <si>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</si>
  <si>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</si>
  <si>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</si>
  <si>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</si>
  <si>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</si>
  <si>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</si>
  <si>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</si>
  <si>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</si>
  <si>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</si>
  <si>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</si>
  <si>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</si>
  <si>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</si>
  <si>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</si>
  <si>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</si>
  <si>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</si>
  <si>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</si>
  <si>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</si>
  <si>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</si>
  <si>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</si>
  <si>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</si>
  <si>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</si>
  <si>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</si>
  <si>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</si>
  <si>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</si>
  <si>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</si>
  <si>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</si>
  <si>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</si>
  <si>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</si>
  <si>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</si>
  <si>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</si>
  <si>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</si>
  <si>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</si>
  <si>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</si>
  <si>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</si>
  <si>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</si>
  <si>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</si>
  <si>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</si>
  <si>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</si>
  <si>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</si>
  <si>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</si>
  <si>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</si>
  <si>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</si>
  <si>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</si>
  <si>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</si>
  <si>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</si>
  <si>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</si>
  <si>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</si>
  <si>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</si>
  <si>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</si>
  <si>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</si>
  <si>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</si>
  <si>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</si>
  <si>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</si>
  <si>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</si>
  <si>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</si>
  <si>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</si>
  <si>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</si>
  <si>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</si>
  <si>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</si>
  <si>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</si>
  <si>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</si>
  <si>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</si>
  <si>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</si>
  <si>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</si>
  <si>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</si>
  <si>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</si>
  <si>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</si>
  <si>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</si>
  <si>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</si>
  <si>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</si>
  <si>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</si>
  <si>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</si>
  <si>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</si>
  <si>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</si>
  <si>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</si>
  <si>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</si>
  <si>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</si>
  <si>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</si>
  <si>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</si>
  <si>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</si>
  <si>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</si>
  <si>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</si>
  <si>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</si>
  <si>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</si>
  <si>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</si>
  <si>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</si>
  <si>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</si>
  <si>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</si>
  <si>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</si>
  <si>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</si>
  <si>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</si>
  <si>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</si>
  <si>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</si>
  <si>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</si>
  <si>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</si>
  <si>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</si>
  <si>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</si>
  <si>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</si>
  <si>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</si>
  <si>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</si>
  <si>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</si>
  <si>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</si>
  <si>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</si>
  <si>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</si>
  <si>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</si>
  <si>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</si>
  <si>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</si>
  <si>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</si>
  <si>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</si>
  <si>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</si>
  <si>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</si>
  <si>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</si>
  <si>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</si>
  <si>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</si>
  <si>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</si>
  <si>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</si>
  <si>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</si>
  <si>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</si>
  <si>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</si>
  <si>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</si>
  <si>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</si>
  <si>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</si>
  <si>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</si>
  <si>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</si>
  <si>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</si>
  <si>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</si>
  <si>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</si>
  <si>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</si>
  <si>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</si>
  <si>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</si>
  <si>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</si>
  <si>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</si>
  <si>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</si>
  <si>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</si>
  <si>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</si>
  <si>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</si>
  <si>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</si>
  <si>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</si>
  <si>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</si>
  <si>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</si>
  <si>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</si>
  <si>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</si>
  <si>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</si>
  <si>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</si>
  <si>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</si>
  <si>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</si>
  <si>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</si>
  <si>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</si>
  <si>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</si>
  <si>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</si>
  <si>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</si>
  <si>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</si>
  <si>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</si>
  <si>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</si>
  <si>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</si>
  <si>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</si>
  <si>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</si>
  <si>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</si>
  <si>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</si>
  <si>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</si>
  <si>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</si>
  <si>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</si>
  <si>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</si>
  <si>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</si>
  <si>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</si>
  <si>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</si>
  <si>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</si>
  <si>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</si>
  <si>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</si>
  <si>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</si>
  <si>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</si>
  <si>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</si>
  <si>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</si>
  <si>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</si>
  <si>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</si>
  <si>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</si>
  <si>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</si>
  <si>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</si>
  <si>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</si>
  <si>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</si>
  <si>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</si>
  <si>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</si>
  <si>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</si>
  <si>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</si>
  <si>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boni André 100% dans Audi? Et pas payé en janvier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</si>
  <si>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</si>
  <si>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</si>
  <si>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</si>
  <si>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</si>
  <si>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</si>
  <si>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</si>
  <si>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</si>
  <si>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</si>
  <si>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</si>
  <si>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</si>
  <si>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</si>
  <si>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</si>
  <si>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</si>
  <si>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</si>
  <si>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</si>
  <si>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</si>
  <si>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</si>
  <si>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</si>
  <si>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</si>
  <si>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</si>
  <si>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</si>
  <si>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</si>
  <si>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</si>
  <si>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</si>
  <si>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</si>
  <si>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</si>
  <si>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</si>
  <si>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</si>
  <si>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</si>
  <si>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</si>
  <si>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</si>
  <si>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</si>
  <si>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</si>
  <si>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</si>
  <si>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</si>
  <si>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</si>
  <si>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</si>
  <si>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</si>
  <si>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</si>
  <si>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</si>
  <si>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</si>
  <si>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</si>
  <si>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</si>
  <si>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1524</t>
  </si>
  <si>
    <t xml:space="preserve">mois de location pas de financement </t>
  </si>
  <si>
    <t>donc plus plus dificile</t>
  </si>
  <si>
    <t>ad</t>
  </si>
  <si>
    <t>Media 360 set up , javier et feb</t>
  </si>
  <si>
    <t>39 unité au budget vs 102 actual et mix</t>
  </si>
  <si>
    <t>correction 2 mois</t>
  </si>
  <si>
    <t>3.5 vs 5 au budget au target bonis pas atteint a 100%</t>
  </si>
  <si>
    <t>2 mois kijiji, trader (vauto) et SM 360</t>
  </si>
  <si>
    <t>pas de bonis</t>
  </si>
  <si>
    <t>-Excellente moyenne en ligne avec V3. Volume aussi au RV pour février.
-Salaire et commission encore légèrement élevé. à suivre de près
-F&amp;I aussi difficile chez VW. Moyenne plus tough avec le type d'acheteur hivernal moins émotif.
-Other incomes explosé par le versement final des TOTS et beaucoup de HB. 
- Bonne gestion des frais variable de Louis et son équipe dans le neuf.</t>
  </si>
  <si>
    <t>-Front margin au budegt. Volume au RV. Il faut continuer de travailler la moyenne chez VW dans le used
-Salaire et commissions en ligne cependant
-F&amp;I tout près du budget. Donc ok!
-Frais variable par unités un peu élevé. à surveiller!
-autre revenus. ok!</t>
  </si>
  <si>
    <t xml:space="preserve">-Belle réalisatio presque qu'a budget en client. Mars sera bon pour VW!
-Moyenne par bon légèrement sous la cible. à suivre de près sans over sale.
-Bonne gestion des salaires
-Véhicule de compagnie en lien avec le budget
-Bonne gestion du lost time
-Gestion efficace, maintenant il faut entrer du volume!
</t>
  </si>
  <si>
    <t>- Retard sur budget en client. Travaux de relance au QG snipper
- Travaux à faire avec l'équipe de Mario. Volume à ramener pour mars-avril-mai</t>
  </si>
  <si>
    <t xml:space="preserve">- Bonne gestion du personnel en place. 
</t>
  </si>
  <si>
    <t>- erxcellent bas de page, il faut absolument mettre du volume pour mars-avril-mai! Go team go!</t>
  </si>
  <si>
    <t>UNITES NEUVES-VW EN INV.</t>
  </si>
  <si>
    <t>320</t>
  </si>
  <si>
    <t>32</t>
  </si>
  <si>
    <t>UNITES NEUVES-A.M. EN INV.</t>
  </si>
  <si>
    <t>329</t>
  </si>
  <si>
    <t>new CSI selon volume arrivae</t>
  </si>
  <si>
    <t>16 COURTO EN MARS</t>
  </si>
  <si>
    <t>5 DEMOS EN MARS</t>
  </si>
  <si>
    <t>Avantage plus Q1 front loaded vs Budget spread</t>
  </si>
  <si>
    <t>subv salariale true up (nov, dec, janv. Feb)</t>
  </si>
  <si>
    <t>CCAM (janv feb mars) et unipiece (janv feb mars)</t>
  </si>
  <si>
    <t>touchette fev et sept sous investigation</t>
  </si>
  <si>
    <t>Neuf</t>
  </si>
  <si>
    <t>corr</t>
  </si>
  <si>
    <t>DAS</t>
  </si>
  <si>
    <t>BM</t>
  </si>
  <si>
    <t>Masse salariale</t>
  </si>
  <si>
    <t>Carosserie</t>
  </si>
  <si>
    <t>Piece</t>
  </si>
  <si>
    <t>Ben Marginaux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</si>
</sst>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</numFmts>
  <fonts count="7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6" fillId="0" borderId="1"/>
    <xf numFmtId="0" fontId="5" fillId="0" borderId="1"/>
    <xf numFmtId="9" fontId="5" fillId="0" borderId="1" applyFont="0" applyFill="0" applyBorder="0" applyAlignment="0" applyProtection="0"/>
    <xf numFmtId="43" fontId="72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145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2" xfId="0" applyFont="1" applyBorder="1"/>
    <xf numFmtId="0" fontId="13" fillId="0" borderId="4" xfId="0" applyFont="1" applyBorder="1"/>
    <xf numFmtId="0" fontId="11" fillId="0" borderId="6" xfId="0" applyFont="1" applyBorder="1"/>
    <xf numFmtId="0" fontId="13" fillId="0" borderId="6" xfId="0" applyFont="1" applyBorder="1"/>
    <xf numFmtId="0" fontId="13" fillId="3" borderId="8" xfId="0" applyFont="1" applyFill="1" applyBorder="1"/>
    <xf numFmtId="0" fontId="13" fillId="3" borderId="10" xfId="0" applyFont="1" applyFill="1" applyBorder="1"/>
    <xf numFmtId="0" fontId="12" fillId="0" borderId="6" xfId="0" applyFont="1" applyBorder="1"/>
    <xf numFmtId="166" fontId="8" fillId="0" borderId="0" xfId="0" applyNumberFormat="1" applyFont="1"/>
    <xf numFmtId="0" fontId="8" fillId="0" borderId="6" xfId="0" applyFont="1" applyBorder="1"/>
    <xf numFmtId="167" fontId="8" fillId="0" borderId="0" xfId="0" applyNumberFormat="1" applyFont="1"/>
    <xf numFmtId="0" fontId="10" fillId="0" borderId="0" xfId="0" applyFont="1"/>
    <xf numFmtId="0" fontId="15" fillId="0" borderId="0" xfId="0" applyFont="1" applyAlignment="1">
      <alignment horizontal="center" vertical="center"/>
    </xf>
    <xf numFmtId="3" fontId="10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7" fontId="19" fillId="3" borderId="14" xfId="0" applyNumberFormat="1" applyFont="1" applyFill="1" applyBorder="1"/>
    <xf numFmtId="3" fontId="19" fillId="3" borderId="14" xfId="0" applyNumberFormat="1" applyFont="1" applyFill="1" applyBorder="1"/>
    <xf numFmtId="37" fontId="19" fillId="3" borderId="9" xfId="0" applyNumberFormat="1" applyFont="1" applyFill="1" applyBorder="1"/>
    <xf numFmtId="37" fontId="19" fillId="3" borderId="8" xfId="0" applyNumberFormat="1" applyFont="1" applyFill="1" applyBorder="1"/>
    <xf numFmtId="170" fontId="19" fillId="3" borderId="14" xfId="0" applyNumberFormat="1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169" fontId="19" fillId="3" borderId="10" xfId="0" applyNumberFormat="1" applyFont="1" applyFill="1" applyBorder="1"/>
    <xf numFmtId="169" fontId="19" fillId="3" borderId="11" xfId="0" applyNumberFormat="1" applyFont="1" applyFill="1" applyBorder="1"/>
    <xf numFmtId="0" fontId="19" fillId="4" borderId="1" xfId="0" applyFont="1" applyFill="1" applyBorder="1"/>
    <xf numFmtId="0" fontId="18" fillId="0" borderId="0" xfId="0" applyFont="1" applyAlignment="1">
      <alignment horizontal="right"/>
    </xf>
    <xf numFmtId="37" fontId="18" fillId="0" borderId="0" xfId="0" applyNumberFormat="1" applyFont="1"/>
    <xf numFmtId="0" fontId="19" fillId="3" borderId="16" xfId="0" applyFont="1" applyFill="1" applyBorder="1"/>
    <xf numFmtId="0" fontId="19" fillId="3" borderId="17" xfId="0" applyFont="1" applyFill="1" applyBorder="1" applyAlignment="1">
      <alignment horizontal="center"/>
    </xf>
    <xf numFmtId="169" fontId="19" fillId="3" borderId="17" xfId="0" applyNumberFormat="1" applyFont="1" applyFill="1" applyBorder="1"/>
    <xf numFmtId="37" fontId="19" fillId="3" borderId="18" xfId="0" applyNumberFormat="1" applyFont="1" applyFill="1" applyBorder="1"/>
    <xf numFmtId="0" fontId="19" fillId="3" borderId="16" xfId="0" applyFont="1" applyFill="1" applyBorder="1" applyAlignment="1">
      <alignment horizontal="center"/>
    </xf>
    <xf numFmtId="0" fontId="18" fillId="3" borderId="13" xfId="0" applyFont="1" applyFill="1" applyBorder="1"/>
    <xf numFmtId="0" fontId="18" fillId="3" borderId="16" xfId="0" applyFont="1" applyFill="1" applyBorder="1"/>
    <xf numFmtId="37" fontId="19" fillId="0" borderId="0" xfId="0" applyNumberFormat="1" applyFont="1"/>
    <xf numFmtId="37" fontId="19" fillId="3" borderId="19" xfId="0" applyNumberFormat="1" applyFont="1" applyFill="1" applyBorder="1"/>
    <xf numFmtId="0" fontId="18" fillId="4" borderId="1" xfId="0" applyFont="1" applyFill="1" applyBorder="1"/>
    <xf numFmtId="37" fontId="19" fillId="4" borderId="15" xfId="0" applyNumberFormat="1" applyFont="1" applyFill="1" applyBorder="1"/>
    <xf numFmtId="0" fontId="18" fillId="4" borderId="12" xfId="0" applyFont="1" applyFill="1" applyBorder="1"/>
    <xf numFmtId="0" fontId="18" fillId="4" borderId="13" xfId="0" applyFont="1" applyFill="1" applyBorder="1"/>
    <xf numFmtId="0" fontId="18" fillId="4" borderId="22" xfId="0" applyFont="1" applyFill="1" applyBorder="1"/>
    <xf numFmtId="37" fontId="19" fillId="4" borderId="19" xfId="0" applyNumberFormat="1" applyFont="1" applyFill="1" applyBorder="1"/>
    <xf numFmtId="0" fontId="22" fillId="0" borderId="0" xfId="0" applyFont="1"/>
    <xf numFmtId="0" fontId="23" fillId="0" borderId="0" xfId="0" applyFont="1"/>
    <xf numFmtId="37" fontId="23" fillId="0" borderId="0" xfId="0" applyNumberFormat="1" applyFont="1"/>
    <xf numFmtId="0" fontId="19" fillId="0" borderId="0" xfId="0" applyFont="1"/>
    <xf numFmtId="37" fontId="16" fillId="0" borderId="0" xfId="0" applyNumberFormat="1" applyFont="1"/>
    <xf numFmtId="37" fontId="19" fillId="4" borderId="14" xfId="0" applyNumberFormat="1" applyFont="1" applyFill="1" applyBorder="1"/>
    <xf numFmtId="37" fontId="19" fillId="4" borderId="9" xfId="0" applyNumberFormat="1" applyFont="1" applyFill="1" applyBorder="1"/>
    <xf numFmtId="37" fontId="19" fillId="4" borderId="8" xfId="0" applyNumberFormat="1" applyFont="1" applyFill="1" applyBorder="1"/>
    <xf numFmtId="169" fontId="19" fillId="4" borderId="8" xfId="0" applyNumberFormat="1" applyFont="1" applyFill="1" applyBorder="1"/>
    <xf numFmtId="37" fontId="19" fillId="4" borderId="22" xfId="0" applyNumberFormat="1" applyFont="1" applyFill="1" applyBorder="1"/>
    <xf numFmtId="169" fontId="19" fillId="4" borderId="19" xfId="0" applyNumberFormat="1" applyFont="1" applyFill="1" applyBorder="1"/>
    <xf numFmtId="37" fontId="19" fillId="4" borderId="13" xfId="0" applyNumberFormat="1" applyFont="1" applyFill="1" applyBorder="1"/>
    <xf numFmtId="39" fontId="19" fillId="4" borderId="22" xfId="0" applyNumberFormat="1" applyFont="1" applyFill="1" applyBorder="1"/>
    <xf numFmtId="37" fontId="19" fillId="4" borderId="24" xfId="0" applyNumberFormat="1" applyFont="1" applyFill="1" applyBorder="1"/>
    <xf numFmtId="170" fontId="19" fillId="4" borderId="24" xfId="0" applyNumberFormat="1" applyFont="1" applyFill="1" applyBorder="1"/>
    <xf numFmtId="37" fontId="19" fillId="4" borderId="25" xfId="0" applyNumberFormat="1" applyFont="1" applyFill="1" applyBorder="1"/>
    <xf numFmtId="37" fontId="19" fillId="4" borderId="23" xfId="0" applyNumberFormat="1" applyFont="1" applyFill="1" applyBorder="1"/>
    <xf numFmtId="169" fontId="19" fillId="3" borderId="8" xfId="0" applyNumberFormat="1" applyFont="1" applyFill="1" applyBorder="1"/>
    <xf numFmtId="169" fontId="19" fillId="3" borderId="14" xfId="0" applyNumberFormat="1" applyFont="1" applyFill="1" applyBorder="1"/>
    <xf numFmtId="169" fontId="19" fillId="3" borderId="26" xfId="0" applyNumberFormat="1" applyFont="1" applyFill="1" applyBorder="1"/>
    <xf numFmtId="37" fontId="19" fillId="3" borderId="27" xfId="0" applyNumberFormat="1" applyFont="1" applyFill="1" applyBorder="1"/>
    <xf numFmtId="37" fontId="19" fillId="3" borderId="29" xfId="0" applyNumberFormat="1" applyFont="1" applyFill="1" applyBorder="1"/>
    <xf numFmtId="170" fontId="19" fillId="3" borderId="29" xfId="0" applyNumberFormat="1" applyFont="1" applyFill="1" applyBorder="1"/>
    <xf numFmtId="37" fontId="19" fillId="3" borderId="30" xfId="0" applyNumberFormat="1" applyFont="1" applyFill="1" applyBorder="1"/>
    <xf numFmtId="37" fontId="19" fillId="3" borderId="28" xfId="0" applyNumberFormat="1" applyFont="1" applyFill="1" applyBorder="1"/>
    <xf numFmtId="0" fontId="18" fillId="3" borderId="10" xfId="0" applyFont="1" applyFill="1" applyBorder="1"/>
    <xf numFmtId="0" fontId="26" fillId="0" borderId="0" xfId="0" applyFont="1"/>
    <xf numFmtId="0" fontId="15" fillId="0" borderId="0" xfId="0" applyFont="1" applyAlignment="1">
      <alignment horizontal="right" vertical="center"/>
    </xf>
    <xf numFmtId="0" fontId="27" fillId="3" borderId="22" xfId="0" applyFont="1" applyFill="1" applyBorder="1"/>
    <xf numFmtId="37" fontId="27" fillId="3" borderId="32" xfId="0" applyNumberFormat="1" applyFont="1" applyFill="1" applyBorder="1"/>
    <xf numFmtId="37" fontId="27" fillId="3" borderId="33" xfId="0" applyNumberFormat="1" applyFont="1" applyFill="1" applyBorder="1"/>
    <xf numFmtId="37" fontId="27" fillId="3" borderId="22" xfId="0" applyNumberFormat="1" applyFont="1" applyFill="1" applyBorder="1"/>
    <xf numFmtId="169" fontId="27" fillId="3" borderId="22" xfId="0" applyNumberFormat="1" applyFont="1" applyFill="1" applyBorder="1"/>
    <xf numFmtId="37" fontId="27" fillId="3" borderId="34" xfId="0" applyNumberFormat="1" applyFont="1" applyFill="1" applyBorder="1"/>
    <xf numFmtId="37" fontId="21" fillId="0" borderId="35" xfId="0" applyNumberFormat="1" applyFont="1" applyBorder="1"/>
    <xf numFmtId="0" fontId="27" fillId="3" borderId="17" xfId="0" applyFont="1" applyFill="1" applyBorder="1"/>
    <xf numFmtId="169" fontId="27" fillId="3" borderId="17" xfId="0" applyNumberFormat="1" applyFont="1" applyFill="1" applyBorder="1"/>
    <xf numFmtId="37" fontId="27" fillId="3" borderId="21" xfId="0" applyNumberFormat="1" applyFont="1" applyFill="1" applyBorder="1"/>
    <xf numFmtId="169" fontId="27" fillId="3" borderId="20" xfId="0" applyNumberFormat="1" applyFont="1" applyFill="1" applyBorder="1"/>
    <xf numFmtId="0" fontId="27" fillId="3" borderId="20" xfId="0" applyFont="1" applyFill="1" applyBorder="1"/>
    <xf numFmtId="37" fontId="27" fillId="3" borderId="17" xfId="0" applyNumberFormat="1" applyFont="1" applyFill="1" applyBorder="1"/>
    <xf numFmtId="0" fontId="27" fillId="3" borderId="36" xfId="0" applyFont="1" applyFill="1" applyBorder="1"/>
    <xf numFmtId="43" fontId="16" fillId="0" borderId="0" xfId="0" applyNumberFormat="1" applyFont="1"/>
    <xf numFmtId="43" fontId="26" fillId="0" borderId="0" xfId="0" applyNumberFormat="1" applyFont="1"/>
    <xf numFmtId="169" fontId="21" fillId="0" borderId="35" xfId="0" applyNumberFormat="1" applyFont="1" applyBorder="1"/>
    <xf numFmtId="170" fontId="27" fillId="3" borderId="17" xfId="0" applyNumberFormat="1" applyFont="1" applyFill="1" applyBorder="1"/>
    <xf numFmtId="37" fontId="27" fillId="3" borderId="20" xfId="0" applyNumberFormat="1" applyFont="1" applyFill="1" applyBorder="1"/>
    <xf numFmtId="37" fontId="27" fillId="3" borderId="36" xfId="0" applyNumberFormat="1" applyFont="1" applyFill="1" applyBorder="1"/>
    <xf numFmtId="37" fontId="26" fillId="0" borderId="0" xfId="0" applyNumberFormat="1" applyFont="1"/>
    <xf numFmtId="167" fontId="26" fillId="0" borderId="0" xfId="0" applyNumberFormat="1" applyFont="1"/>
    <xf numFmtId="0" fontId="21" fillId="3" borderId="17" xfId="0" applyFont="1" applyFill="1" applyBorder="1"/>
    <xf numFmtId="0" fontId="26" fillId="4" borderId="1" xfId="0" applyFont="1" applyFill="1" applyBorder="1"/>
    <xf numFmtId="0" fontId="21" fillId="0" borderId="35" xfId="0" applyFont="1" applyBorder="1"/>
    <xf numFmtId="37" fontId="21" fillId="4" borderId="37" xfId="0" applyNumberFormat="1" applyFont="1" applyFill="1" applyBorder="1"/>
    <xf numFmtId="0" fontId="27" fillId="4" borderId="24" xfId="0" applyFont="1" applyFill="1" applyBorder="1"/>
    <xf numFmtId="37" fontId="27" fillId="4" borderId="24" xfId="0" applyNumberFormat="1" applyFont="1" applyFill="1" applyBorder="1"/>
    <xf numFmtId="169" fontId="21" fillId="3" borderId="20" xfId="0" applyNumberFormat="1" applyFont="1" applyFill="1" applyBorder="1"/>
    <xf numFmtId="169" fontId="21" fillId="3" borderId="17" xfId="0" applyNumberFormat="1" applyFont="1" applyFill="1" applyBorder="1"/>
    <xf numFmtId="37" fontId="21" fillId="3" borderId="36" xfId="0" applyNumberFormat="1" applyFont="1" applyFill="1" applyBorder="1"/>
    <xf numFmtId="0" fontId="21" fillId="4" borderId="24" xfId="0" applyFont="1" applyFill="1" applyBorder="1"/>
    <xf numFmtId="37" fontId="21" fillId="4" borderId="24" xfId="0" applyNumberFormat="1" applyFont="1" applyFill="1" applyBorder="1"/>
    <xf numFmtId="37" fontId="21" fillId="4" borderId="38" xfId="0" applyNumberFormat="1" applyFont="1" applyFill="1" applyBorder="1"/>
    <xf numFmtId="37" fontId="21" fillId="4" borderId="1" xfId="0" applyNumberFormat="1" applyFont="1" applyFill="1" applyBorder="1"/>
    <xf numFmtId="169" fontId="21" fillId="4" borderId="1" xfId="0" applyNumberFormat="1" applyFont="1" applyFill="1" applyBorder="1"/>
    <xf numFmtId="169" fontId="21" fillId="4" borderId="38" xfId="0" applyNumberFormat="1" applyFont="1" applyFill="1" applyBorder="1"/>
    <xf numFmtId="169" fontId="21" fillId="4" borderId="24" xfId="0" applyNumberFormat="1" applyFont="1" applyFill="1" applyBorder="1"/>
    <xf numFmtId="37" fontId="21" fillId="4" borderId="42" xfId="0" applyNumberFormat="1" applyFont="1" applyFill="1" applyBorder="1"/>
    <xf numFmtId="39" fontId="21" fillId="0" borderId="0" xfId="0" applyNumberFormat="1" applyFont="1"/>
    <xf numFmtId="37" fontId="26" fillId="0" borderId="35" xfId="0" applyNumberFormat="1" applyFont="1" applyBorder="1"/>
    <xf numFmtId="0" fontId="26" fillId="0" borderId="35" xfId="0" applyFont="1" applyBorder="1"/>
    <xf numFmtId="0" fontId="26" fillId="0" borderId="40" xfId="0" applyFont="1" applyBorder="1"/>
    <xf numFmtId="0" fontId="28" fillId="0" borderId="0" xfId="0" applyFont="1"/>
    <xf numFmtId="37" fontId="28" fillId="0" borderId="0" xfId="0" applyNumberFormat="1" applyFont="1"/>
    <xf numFmtId="37" fontId="27" fillId="0" borderId="0" xfId="0" applyNumberFormat="1" applyFont="1"/>
    <xf numFmtId="37" fontId="29" fillId="0" borderId="0" xfId="0" applyNumberFormat="1" applyFont="1"/>
    <xf numFmtId="0" fontId="28" fillId="4" borderId="1" xfId="0" applyFont="1" applyFill="1" applyBorder="1"/>
    <xf numFmtId="37" fontId="26" fillId="4" borderId="1" xfId="0" applyNumberFormat="1" applyFont="1" applyFill="1" applyBorder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8" fontId="32" fillId="4" borderId="1" xfId="0" applyNumberFormat="1" applyFont="1" applyFill="1" applyBorder="1" applyAlignment="1">
      <alignment horizontal="right"/>
    </xf>
    <xf numFmtId="0" fontId="2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/>
    <xf numFmtId="169" fontId="26" fillId="4" borderId="1" xfId="0" applyNumberFormat="1" applyFont="1" applyFill="1" applyBorder="1"/>
    <xf numFmtId="9" fontId="26" fillId="4" borderId="1" xfId="0" applyNumberFormat="1" applyFont="1" applyFill="1" applyBorder="1"/>
    <xf numFmtId="169" fontId="28" fillId="4" borderId="1" xfId="0" applyNumberFormat="1" applyFont="1" applyFill="1" applyBorder="1"/>
    <xf numFmtId="0" fontId="33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8" fontId="26" fillId="4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0" fontId="35" fillId="4" borderId="1" xfId="0" applyFont="1" applyFill="1" applyBorder="1"/>
    <xf numFmtId="0" fontId="36" fillId="0" borderId="0" xfId="0" applyFont="1" applyAlignment="1">
      <alignment horizontal="center" vertical="top"/>
    </xf>
    <xf numFmtId="0" fontId="37" fillId="6" borderId="43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172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/>
    <xf numFmtId="1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173" fontId="8" fillId="5" borderId="1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9" borderId="1" xfId="0" applyFont="1" applyFill="1" applyBorder="1"/>
    <xf numFmtId="0" fontId="38" fillId="0" borderId="0" xfId="0" applyFont="1"/>
    <xf numFmtId="0" fontId="8" fillId="9" borderId="1" xfId="0" applyFont="1" applyFill="1" applyBorder="1"/>
    <xf numFmtId="0" fontId="8" fillId="0" borderId="0" xfId="0" applyFont="1"/>
    <xf numFmtId="39" fontId="39" fillId="10" borderId="47" xfId="0" applyNumberFormat="1" applyFont="1" applyFill="1" applyBorder="1" applyAlignment="1">
      <alignment horizontal="left" vertical="top"/>
    </xf>
    <xf numFmtId="0" fontId="40" fillId="10" borderId="47" xfId="0" applyFont="1" applyFill="1" applyBorder="1" applyAlignment="1">
      <alignment horizontal="left" vertical="top"/>
    </xf>
    <xf numFmtId="1" fontId="40" fillId="10" borderId="47" xfId="0" applyNumberFormat="1" applyFont="1" applyFill="1" applyBorder="1" applyAlignment="1">
      <alignment horizontal="left" vertical="top"/>
    </xf>
    <xf numFmtId="49" fontId="39" fillId="10" borderId="47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0" fontId="39" fillId="10" borderId="47" xfId="0" applyFont="1" applyFill="1" applyBorder="1" applyAlignment="1">
      <alignment horizontal="left" vertical="top"/>
    </xf>
    <xf numFmtId="0" fontId="39" fillId="8" borderId="47" xfId="0" applyFont="1" applyFill="1" applyBorder="1" applyAlignment="1">
      <alignment horizontal="left" vertical="top"/>
    </xf>
    <xf numFmtId="0" fontId="40" fillId="5" borderId="47" xfId="0" applyFont="1" applyFill="1" applyBorder="1" applyAlignment="1">
      <alignment horizontal="left" vertical="top"/>
    </xf>
    <xf numFmtId="0" fontId="39" fillId="5" borderId="47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 vertical="top"/>
    </xf>
    <xf numFmtId="0" fontId="40" fillId="10" borderId="1" xfId="0" applyFont="1" applyFill="1" applyBorder="1" applyAlignment="1">
      <alignment horizontal="left" vertical="top"/>
    </xf>
    <xf numFmtId="3" fontId="18" fillId="0" borderId="50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3" fontId="18" fillId="0" borderId="15" xfId="0" applyNumberFormat="1" applyFont="1" applyBorder="1"/>
    <xf numFmtId="3" fontId="18" fillId="0" borderId="51" xfId="0" applyNumberFormat="1" applyFont="1" applyBorder="1"/>
    <xf numFmtId="3" fontId="18" fillId="0" borderId="12" xfId="0" applyNumberFormat="1" applyFont="1" applyBorder="1"/>
    <xf numFmtId="3" fontId="18" fillId="0" borderId="52" xfId="0" applyNumberFormat="1" applyFont="1" applyBorder="1"/>
    <xf numFmtId="3" fontId="18" fillId="0" borderId="53" xfId="0" applyNumberFormat="1" applyFont="1" applyBorder="1"/>
    <xf numFmtId="2" fontId="18" fillId="0" borderId="1" xfId="0" applyNumberFormat="1" applyFont="1" applyBorder="1"/>
    <xf numFmtId="3" fontId="18" fillId="0" borderId="54" xfId="0" applyNumberFormat="1" applyFont="1" applyBorder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Alignment="1"/>
    <xf numFmtId="37" fontId="18" fillId="0" borderId="53" xfId="0" applyNumberFormat="1" applyFont="1" applyBorder="1"/>
    <xf numFmtId="170" fontId="18" fillId="0" borderId="53" xfId="0" applyNumberFormat="1" applyFont="1" applyBorder="1"/>
    <xf numFmtId="169" fontId="18" fillId="0" borderId="50" xfId="0" applyNumberFormat="1" applyFont="1" applyBorder="1"/>
    <xf numFmtId="0" fontId="18" fillId="0" borderId="53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9" fontId="18" fillId="0" borderId="53" xfId="0" applyNumberFormat="1" applyFont="1" applyBorder="1"/>
    <xf numFmtId="37" fontId="18" fillId="0" borderId="50" xfId="0" applyNumberFormat="1" applyFont="1" applyBorder="1"/>
    <xf numFmtId="37" fontId="18" fillId="0" borderId="1" xfId="0" applyNumberFormat="1" applyFont="1" applyBorder="1"/>
    <xf numFmtId="37" fontId="19" fillId="0" borderId="24" xfId="0" applyNumberFormat="1" applyFont="1" applyBorder="1"/>
    <xf numFmtId="37" fontId="18" fillId="0" borderId="55" xfId="0" applyNumberFormat="1" applyFont="1" applyBorder="1"/>
    <xf numFmtId="37" fontId="19" fillId="0" borderId="56" xfId="0" applyNumberFormat="1" applyFont="1" applyBorder="1"/>
    <xf numFmtId="37" fontId="18" fillId="0" borderId="56" xfId="0" applyNumberFormat="1" applyFont="1" applyBorder="1"/>
    <xf numFmtId="37" fontId="18" fillId="0" borderId="58" xfId="0" applyNumberFormat="1" applyFont="1" applyBorder="1"/>
    <xf numFmtId="37" fontId="18" fillId="11" borderId="1" xfId="0" applyNumberFormat="1" applyFont="1" applyFill="1" applyBorder="1"/>
    <xf numFmtId="169" fontId="19" fillId="3" borderId="1" xfId="0" applyNumberFormat="1" applyFont="1" applyFill="1" applyBorder="1"/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37" fontId="18" fillId="11" borderId="62" xfId="0" applyNumberFormat="1" applyFont="1" applyFill="1" applyBorder="1"/>
    <xf numFmtId="37" fontId="18" fillId="0" borderId="61" xfId="0" applyNumberFormat="1" applyFont="1" applyBorder="1"/>
    <xf numFmtId="169" fontId="18" fillId="0" borderId="1" xfId="0" applyNumberFormat="1" applyFont="1" applyBorder="1"/>
    <xf numFmtId="37" fontId="18" fillId="0" borderId="52" xfId="0" applyNumberFormat="1" applyFont="1" applyBorder="1"/>
    <xf numFmtId="0" fontId="18" fillId="0" borderId="52" xfId="0" applyFont="1" applyBorder="1" applyAlignment="1">
      <alignment horizontal="center"/>
    </xf>
    <xf numFmtId="169" fontId="21" fillId="0" borderId="56" xfId="0" applyNumberFormat="1" applyFont="1" applyBorder="1"/>
    <xf numFmtId="169" fontId="21" fillId="0" borderId="55" xfId="0" applyNumberFormat="1" applyFont="1" applyBorder="1"/>
    <xf numFmtId="169" fontId="21" fillId="0" borderId="63" xfId="0" applyNumberFormat="1" applyFont="1" applyBorder="1"/>
    <xf numFmtId="169" fontId="47" fillId="0" borderId="55" xfId="0" applyNumberFormat="1" applyFont="1" applyBorder="1"/>
    <xf numFmtId="37" fontId="27" fillId="3" borderId="64" xfId="0" applyNumberFormat="1" applyFont="1" applyFill="1" applyBorder="1"/>
    <xf numFmtId="37" fontId="27" fillId="3" borderId="65" xfId="0" applyNumberFormat="1" applyFont="1" applyFill="1" applyBorder="1"/>
    <xf numFmtId="0" fontId="26" fillId="0" borderId="1" xfId="0" applyFont="1" applyBorder="1"/>
    <xf numFmtId="3" fontId="18" fillId="11" borderId="67" xfId="0" applyNumberFormat="1" applyFont="1" applyFill="1" applyBorder="1"/>
    <xf numFmtId="3" fontId="18" fillId="11" borderId="68" xfId="0" applyNumberFormat="1" applyFont="1" applyFill="1" applyBorder="1"/>
    <xf numFmtId="0" fontId="18" fillId="0" borderId="0" xfId="0" applyFont="1" applyFill="1"/>
    <xf numFmtId="37" fontId="19" fillId="0" borderId="24" xfId="0" applyNumberFormat="1" applyFont="1" applyFill="1" applyBorder="1"/>
    <xf numFmtId="170" fontId="19" fillId="0" borderId="24" xfId="0" applyNumberFormat="1" applyFont="1" applyFill="1" applyBorder="1"/>
    <xf numFmtId="37" fontId="19" fillId="0" borderId="25" xfId="0" applyNumberFormat="1" applyFont="1" applyFill="1" applyBorder="1"/>
    <xf numFmtId="37" fontId="19" fillId="0" borderId="23" xfId="0" applyNumberFormat="1" applyFont="1" applyFill="1" applyBorder="1"/>
    <xf numFmtId="0" fontId="18" fillId="0" borderId="12" xfId="0" applyFont="1" applyFill="1" applyBorder="1"/>
    <xf numFmtId="37" fontId="18" fillId="0" borderId="1" xfId="0" applyNumberFormat="1" applyFont="1" applyFill="1" applyBorder="1"/>
    <xf numFmtId="37" fontId="18" fillId="0" borderId="0" xfId="0" applyNumberFormat="1" applyFont="1" applyFill="1"/>
    <xf numFmtId="37" fontId="18" fillId="0" borderId="12" xfId="0" applyNumberFormat="1" applyFont="1" applyFill="1" applyBorder="1"/>
    <xf numFmtId="3" fontId="18" fillId="0" borderId="1" xfId="0" applyNumberFormat="1" applyFont="1" applyFill="1" applyBorder="1"/>
    <xf numFmtId="37" fontId="18" fillId="0" borderId="15" xfId="0" applyNumberFormat="1" applyFont="1" applyFill="1" applyBorder="1"/>
    <xf numFmtId="0" fontId="18" fillId="0" borderId="1" xfId="0" applyFont="1" applyFill="1" applyBorder="1"/>
    <xf numFmtId="170" fontId="18" fillId="0" borderId="1" xfId="0" applyNumberFormat="1" applyFont="1" applyFill="1" applyBorder="1"/>
    <xf numFmtId="169" fontId="18" fillId="0" borderId="15" xfId="0" applyNumberFormat="1" applyFont="1" applyFill="1" applyBorder="1"/>
    <xf numFmtId="37" fontId="19" fillId="0" borderId="12" xfId="0" applyNumberFormat="1" applyFont="1" applyFill="1" applyBorder="1"/>
    <xf numFmtId="170" fontId="19" fillId="0" borderId="1" xfId="0" applyNumberFormat="1" applyFont="1" applyFill="1" applyBorder="1"/>
    <xf numFmtId="37" fontId="19" fillId="0" borderId="15" xfId="0" applyNumberFormat="1" applyFont="1" applyFill="1" applyBorder="1"/>
    <xf numFmtId="37" fontId="19" fillId="0" borderId="1" xfId="0" applyNumberFormat="1" applyFont="1" applyFill="1" applyBorder="1"/>
    <xf numFmtId="0" fontId="19" fillId="0" borderId="12" xfId="0" applyFont="1" applyFill="1" applyBorder="1"/>
    <xf numFmtId="0" fontId="19" fillId="0" borderId="1" xfId="0" applyFont="1" applyFill="1" applyBorder="1"/>
    <xf numFmtId="169" fontId="19" fillId="0" borderId="15" xfId="0" applyNumberFormat="1" applyFont="1" applyFill="1" applyBorder="1"/>
    <xf numFmtId="169" fontId="19" fillId="0" borderId="12" xfId="0" applyNumberFormat="1" applyFont="1" applyFill="1" applyBorder="1"/>
    <xf numFmtId="3" fontId="18" fillId="0" borderId="50" xfId="0" applyNumberFormat="1" applyFont="1" applyFill="1" applyBorder="1"/>
    <xf numFmtId="3" fontId="18" fillId="0" borderId="51" xfId="0" applyNumberFormat="1" applyFont="1" applyFill="1" applyBorder="1"/>
    <xf numFmtId="37" fontId="44" fillId="0" borderId="1" xfId="0" applyNumberFormat="1" applyFont="1" applyFill="1" applyBorder="1"/>
    <xf numFmtId="0" fontId="27" fillId="0" borderId="1" xfId="0" applyFont="1" applyFill="1" applyBorder="1"/>
    <xf numFmtId="37" fontId="21" fillId="0" borderId="37" xfId="0" applyNumberFormat="1" applyFont="1" applyFill="1" applyBorder="1"/>
    <xf numFmtId="169" fontId="27" fillId="0" borderId="24" xfId="0" applyNumberFormat="1" applyFont="1" applyFill="1" applyBorder="1"/>
    <xf numFmtId="0" fontId="27" fillId="0" borderId="24" xfId="0" applyFont="1" applyFill="1" applyBorder="1"/>
    <xf numFmtId="37" fontId="27" fillId="0" borderId="38" xfId="0" applyNumberFormat="1" applyFont="1" applyFill="1" applyBorder="1"/>
    <xf numFmtId="169" fontId="27" fillId="0" borderId="38" xfId="0" applyNumberFormat="1" applyFont="1" applyFill="1" applyBorder="1"/>
    <xf numFmtId="37" fontId="27" fillId="0" borderId="24" xfId="0" applyNumberFormat="1" applyFont="1" applyFill="1" applyBorder="1"/>
    <xf numFmtId="37" fontId="21" fillId="0" borderId="35" xfId="0" applyNumberFormat="1" applyFont="1" applyFill="1" applyBorder="1"/>
    <xf numFmtId="169" fontId="27" fillId="0" borderId="1" xfId="0" applyNumberFormat="1" applyFont="1" applyFill="1" applyBorder="1"/>
    <xf numFmtId="37" fontId="27" fillId="0" borderId="39" xfId="0" applyNumberFormat="1" applyFont="1" applyFill="1" applyBorder="1"/>
    <xf numFmtId="169" fontId="21" fillId="0" borderId="35" xfId="0" applyNumberFormat="1" applyFont="1" applyFill="1" applyBorder="1"/>
    <xf numFmtId="169" fontId="27" fillId="0" borderId="39" xfId="0" applyNumberFormat="1" applyFont="1" applyFill="1" applyBorder="1"/>
    <xf numFmtId="37" fontId="21" fillId="0" borderId="40" xfId="0" applyNumberFormat="1" applyFont="1" applyFill="1" applyBorder="1"/>
    <xf numFmtId="37" fontId="27" fillId="0" borderId="1" xfId="0" applyNumberFormat="1" applyFont="1" applyFill="1" applyBorder="1"/>
    <xf numFmtId="169" fontId="21" fillId="0" borderId="55" xfId="0" applyNumberFormat="1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68" xfId="0" applyFont="1" applyBorder="1"/>
    <xf numFmtId="0" fontId="18" fillId="0" borderId="70" xfId="0" applyFont="1" applyBorder="1"/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9" fillId="3" borderId="71" xfId="0" applyFont="1" applyFill="1" applyBorder="1"/>
    <xf numFmtId="37" fontId="19" fillId="3" borderId="72" xfId="0" applyNumberFormat="1" applyFont="1" applyFill="1" applyBorder="1"/>
    <xf numFmtId="0" fontId="19" fillId="3" borderId="73" xfId="0" applyFont="1" applyFill="1" applyBorder="1"/>
    <xf numFmtId="169" fontId="19" fillId="3" borderId="74" xfId="0" applyNumberFormat="1" applyFont="1" applyFill="1" applyBorder="1"/>
    <xf numFmtId="0" fontId="19" fillId="0" borderId="70" xfId="0" applyFont="1" applyFill="1" applyBorder="1"/>
    <xf numFmtId="169" fontId="18" fillId="0" borderId="15" xfId="1" applyNumberFormat="1" applyFont="1" applyFill="1" applyBorder="1"/>
    <xf numFmtId="169" fontId="19" fillId="0" borderId="55" xfId="0" applyNumberFormat="1" applyFont="1" applyFill="1" applyBorder="1"/>
    <xf numFmtId="0" fontId="19" fillId="0" borderId="70" xfId="0" applyFont="1" applyFill="1" applyBorder="1" applyAlignment="1">
      <alignment horizontal="left"/>
    </xf>
    <xf numFmtId="0" fontId="43" fillId="0" borderId="1" xfId="0" applyFont="1" applyFill="1" applyBorder="1"/>
    <xf numFmtId="0" fontId="18" fillId="0" borderId="15" xfId="0" applyFont="1" applyFill="1" applyBorder="1"/>
    <xf numFmtId="0" fontId="18" fillId="0" borderId="55" xfId="0" applyFont="1" applyFill="1" applyBorder="1"/>
    <xf numFmtId="0" fontId="21" fillId="0" borderId="70" xfId="0" applyFont="1" applyFill="1" applyBorder="1"/>
    <xf numFmtId="3" fontId="18" fillId="0" borderId="15" xfId="0" applyNumberFormat="1" applyFont="1" applyFill="1" applyBorder="1"/>
    <xf numFmtId="0" fontId="21" fillId="0" borderId="75" xfId="0" applyFont="1" applyFill="1" applyBorder="1"/>
    <xf numFmtId="0" fontId="18" fillId="0" borderId="12" xfId="0" applyFont="1" applyFill="1" applyBorder="1" applyAlignment="1">
      <alignment horizontal="right"/>
    </xf>
    <xf numFmtId="37" fontId="18" fillId="0" borderId="55" xfId="0" applyNumberFormat="1" applyFont="1" applyFill="1" applyBorder="1"/>
    <xf numFmtId="0" fontId="18" fillId="0" borderId="24" xfId="0" applyFont="1" applyFill="1" applyBorder="1" applyAlignment="1">
      <alignment horizontal="right"/>
    </xf>
    <xf numFmtId="0" fontId="18" fillId="0" borderId="24" xfId="0" applyFont="1" applyFill="1" applyBorder="1"/>
    <xf numFmtId="0" fontId="18" fillId="0" borderId="23" xfId="0" applyFont="1" applyFill="1" applyBorder="1" applyAlignment="1">
      <alignment horizontal="right"/>
    </xf>
    <xf numFmtId="0" fontId="18" fillId="0" borderId="23" xfId="0" applyFont="1" applyFill="1" applyBorder="1"/>
    <xf numFmtId="37" fontId="18" fillId="0" borderId="25" xfId="0" applyNumberFormat="1" applyFont="1" applyFill="1" applyBorder="1"/>
    <xf numFmtId="37" fontId="18" fillId="0" borderId="56" xfId="0" applyNumberFormat="1" applyFont="1" applyFill="1" applyBorder="1"/>
    <xf numFmtId="0" fontId="18" fillId="0" borderId="70" xfId="0" applyFont="1" applyFill="1" applyBorder="1"/>
    <xf numFmtId="0" fontId="18" fillId="0" borderId="22" xfId="0" applyFont="1" applyFill="1" applyBorder="1" applyAlignment="1">
      <alignment horizontal="right"/>
    </xf>
    <xf numFmtId="0" fontId="18" fillId="0" borderId="22" xfId="0" applyFont="1" applyFill="1" applyBorder="1"/>
    <xf numFmtId="0" fontId="18" fillId="0" borderId="13" xfId="0" applyFont="1" applyFill="1" applyBorder="1" applyAlignment="1">
      <alignment horizontal="right"/>
    </xf>
    <xf numFmtId="0" fontId="18" fillId="0" borderId="13" xfId="0" applyFont="1" applyFill="1" applyBorder="1"/>
    <xf numFmtId="37" fontId="18" fillId="0" borderId="19" xfId="0" applyNumberFormat="1" applyFont="1" applyFill="1" applyBorder="1"/>
    <xf numFmtId="37" fontId="18" fillId="0" borderId="58" xfId="0" applyNumberFormat="1" applyFont="1" applyFill="1" applyBorder="1"/>
    <xf numFmtId="0" fontId="19" fillId="3" borderId="76" xfId="0" applyFont="1" applyFill="1" applyBorder="1"/>
    <xf numFmtId="37" fontId="19" fillId="3" borderId="58" xfId="0" applyNumberFormat="1" applyFont="1" applyFill="1" applyBorder="1"/>
    <xf numFmtId="0" fontId="21" fillId="0" borderId="77" xfId="0" applyFont="1" applyBorder="1"/>
    <xf numFmtId="0" fontId="18" fillId="0" borderId="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37" fontId="18" fillId="0" borderId="15" xfId="0" applyNumberFormat="1" applyFont="1" applyBorder="1"/>
    <xf numFmtId="0" fontId="21" fillId="0" borderId="70" xfId="0" applyFont="1" applyBorder="1"/>
    <xf numFmtId="0" fontId="21" fillId="0" borderId="75" xfId="0" applyFont="1" applyBorder="1"/>
    <xf numFmtId="0" fontId="18" fillId="0" borderId="22" xfId="0" applyFont="1" applyBorder="1" applyAlignment="1">
      <alignment horizontal="right"/>
    </xf>
    <xf numFmtId="0" fontId="18" fillId="0" borderId="22" xfId="0" applyFont="1" applyBorder="1"/>
    <xf numFmtId="0" fontId="18" fillId="0" borderId="13" xfId="0" applyFont="1" applyBorder="1" applyAlignment="1">
      <alignment horizontal="right"/>
    </xf>
    <xf numFmtId="0" fontId="18" fillId="0" borderId="13" xfId="0" applyFont="1" applyBorder="1"/>
    <xf numFmtId="37" fontId="18" fillId="0" borderId="19" xfId="0" applyNumberFormat="1" applyFont="1" applyBorder="1"/>
    <xf numFmtId="0" fontId="18" fillId="0" borderId="15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55" xfId="0" applyFont="1" applyBorder="1"/>
    <xf numFmtId="37" fontId="19" fillId="3" borderId="57" xfId="0" applyNumberFormat="1" applyFont="1" applyFill="1" applyBorder="1"/>
    <xf numFmtId="0" fontId="19" fillId="3" borderId="78" xfId="0" applyFont="1" applyFill="1" applyBorder="1"/>
    <xf numFmtId="0" fontId="19" fillId="3" borderId="64" xfId="0" applyFont="1" applyFill="1" applyBorder="1"/>
    <xf numFmtId="37" fontId="19" fillId="3" borderId="79" xfId="0" applyNumberFormat="1" applyFont="1" applyFill="1" applyBorder="1"/>
    <xf numFmtId="0" fontId="19" fillId="3" borderId="80" xfId="0" applyFont="1" applyFill="1" applyBorder="1"/>
    <xf numFmtId="0" fontId="18" fillId="3" borderId="80" xfId="0" applyFont="1" applyFill="1" applyBorder="1"/>
    <xf numFmtId="0" fontId="18" fillId="3" borderId="64" xfId="0" applyFont="1" applyFill="1" applyBorder="1"/>
    <xf numFmtId="37" fontId="19" fillId="3" borderId="81" xfId="0" applyNumberFormat="1" applyFont="1" applyFill="1" applyBorder="1"/>
    <xf numFmtId="169" fontId="18" fillId="0" borderId="12" xfId="0" applyNumberFormat="1" applyFont="1" applyBorder="1"/>
    <xf numFmtId="37" fontId="18" fillId="0" borderId="12" xfId="0" applyNumberFormat="1" applyFont="1" applyBorder="1"/>
    <xf numFmtId="0" fontId="18" fillId="0" borderId="75" xfId="0" applyFont="1" applyBorder="1"/>
    <xf numFmtId="0" fontId="19" fillId="0" borderId="70" xfId="0" applyFont="1" applyBorder="1"/>
    <xf numFmtId="169" fontId="19" fillId="0" borderId="24" xfId="0" applyNumberFormat="1" applyFont="1" applyBorder="1"/>
    <xf numFmtId="37" fontId="19" fillId="0" borderId="25" xfId="0" applyNumberFormat="1" applyFont="1" applyBorder="1"/>
    <xf numFmtId="169" fontId="19" fillId="0" borderId="23" xfId="0" applyNumberFormat="1" applyFont="1" applyBorder="1"/>
    <xf numFmtId="37" fontId="19" fillId="0" borderId="23" xfId="0" applyNumberFormat="1" applyFont="1" applyBorder="1"/>
    <xf numFmtId="169" fontId="19" fillId="0" borderId="15" xfId="0" applyNumberFormat="1" applyFont="1" applyBorder="1"/>
    <xf numFmtId="169" fontId="19" fillId="0" borderId="55" xfId="0" applyNumberFormat="1" applyFont="1" applyBorder="1"/>
    <xf numFmtId="0" fontId="18" fillId="0" borderId="19" xfId="0" applyFont="1" applyBorder="1"/>
    <xf numFmtId="0" fontId="43" fillId="0" borderId="22" xfId="0" applyFont="1" applyBorder="1"/>
    <xf numFmtId="169" fontId="19" fillId="0" borderId="19" xfId="0" applyNumberFormat="1" applyFont="1" applyBorder="1"/>
    <xf numFmtId="169" fontId="19" fillId="0" borderId="58" xfId="0" applyNumberFormat="1" applyFont="1" applyBorder="1"/>
    <xf numFmtId="169" fontId="18" fillId="0" borderId="22" xfId="0" applyNumberFormat="1" applyFont="1" applyBorder="1"/>
    <xf numFmtId="37" fontId="18" fillId="0" borderId="13" xfId="0" applyNumberFormat="1" applyFont="1" applyBorder="1"/>
    <xf numFmtId="0" fontId="19" fillId="3" borderId="82" xfId="0" applyFont="1" applyFill="1" applyBorder="1"/>
    <xf numFmtId="0" fontId="18" fillId="3" borderId="60" xfId="0" applyFont="1" applyFill="1" applyBorder="1" applyAlignment="1">
      <alignment horizontal="right"/>
    </xf>
    <xf numFmtId="0" fontId="18" fillId="3" borderId="60" xfId="0" applyFont="1" applyFill="1" applyBorder="1"/>
    <xf numFmtId="37" fontId="19" fillId="3" borderId="59" xfId="0" applyNumberFormat="1" applyFont="1" applyFill="1" applyBorder="1"/>
    <xf numFmtId="0" fontId="18" fillId="3" borderId="61" xfId="0" applyFont="1" applyFill="1" applyBorder="1" applyAlignment="1">
      <alignment horizontal="right"/>
    </xf>
    <xf numFmtId="0" fontId="19" fillId="3" borderId="61" xfId="0" applyFont="1" applyFill="1" applyBorder="1"/>
    <xf numFmtId="0" fontId="19" fillId="3" borderId="60" xfId="0" applyFont="1" applyFill="1" applyBorder="1"/>
    <xf numFmtId="37" fontId="19" fillId="3" borderId="83" xfId="0" applyNumberFormat="1" applyFont="1" applyFill="1" applyBorder="1"/>
    <xf numFmtId="1" fontId="18" fillId="0" borderId="12" xfId="0" applyNumberFormat="1" applyFont="1" applyBorder="1"/>
    <xf numFmtId="170" fontId="18" fillId="0" borderId="1" xfId="0" applyNumberFormat="1" applyFont="1" applyBorder="1"/>
    <xf numFmtId="169" fontId="18" fillId="0" borderId="15" xfId="0" applyNumberFormat="1" applyFont="1" applyBorder="1"/>
    <xf numFmtId="0" fontId="18" fillId="0" borderId="77" xfId="0" applyFont="1" applyBorder="1"/>
    <xf numFmtId="0" fontId="18" fillId="0" borderId="24" xfId="0" applyFont="1" applyBorder="1"/>
    <xf numFmtId="1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23" xfId="0" applyNumberFormat="1" applyFont="1" applyBorder="1"/>
    <xf numFmtId="37" fontId="18" fillId="0" borderId="25" xfId="0" applyNumberFormat="1" applyFont="1" applyBorder="1"/>
    <xf numFmtId="37" fontId="18" fillId="0" borderId="24" xfId="0" applyNumberFormat="1" applyFont="1" applyBorder="1"/>
    <xf numFmtId="170" fontId="18" fillId="0" borderId="22" xfId="0" applyNumberFormat="1" applyFont="1" applyBorder="1"/>
    <xf numFmtId="169" fontId="18" fillId="0" borderId="19" xfId="0" applyNumberFormat="1" applyFont="1" applyBorder="1"/>
    <xf numFmtId="2" fontId="18" fillId="0" borderId="22" xfId="0" applyNumberFormat="1" applyFont="1" applyBorder="1"/>
    <xf numFmtId="169" fontId="18" fillId="0" borderId="13" xfId="0" applyNumberFormat="1" applyFont="1" applyBorder="1"/>
    <xf numFmtId="169" fontId="19" fillId="0" borderId="12" xfId="0" applyNumberFormat="1" applyFont="1" applyBorder="1"/>
    <xf numFmtId="37" fontId="19" fillId="3" borderId="84" xfId="0" applyNumberFormat="1" applyFont="1" applyFill="1" applyBorder="1"/>
    <xf numFmtId="0" fontId="19" fillId="3" borderId="85" xfId="0" applyFont="1" applyFill="1" applyBorder="1"/>
    <xf numFmtId="0" fontId="19" fillId="3" borderId="31" xfId="0" applyFont="1" applyFill="1" applyBorder="1"/>
    <xf numFmtId="169" fontId="19" fillId="0" borderId="13" xfId="0" applyNumberFormat="1" applyFont="1" applyBorder="1"/>
    <xf numFmtId="171" fontId="18" fillId="0" borderId="1" xfId="0" applyNumberFormat="1" applyFont="1" applyBorder="1"/>
    <xf numFmtId="0" fontId="18" fillId="0" borderId="23" xfId="0" applyFont="1" applyBorder="1"/>
    <xf numFmtId="0" fontId="19" fillId="0" borderId="1" xfId="0" applyFont="1" applyBorder="1"/>
    <xf numFmtId="170" fontId="19" fillId="0" borderId="1" xfId="0" applyNumberFormat="1" applyFont="1" applyBorder="1"/>
    <xf numFmtId="37" fontId="19" fillId="0" borderId="12" xfId="0" applyNumberFormat="1" applyFont="1" applyBorder="1"/>
    <xf numFmtId="37" fontId="19" fillId="0" borderId="15" xfId="0" applyNumberFormat="1" applyFont="1" applyBorder="1"/>
    <xf numFmtId="37" fontId="19" fillId="0" borderId="55" xfId="0" applyNumberFormat="1" applyFont="1" applyBorder="1"/>
    <xf numFmtId="0" fontId="19" fillId="0" borderId="22" xfId="0" applyFont="1" applyBorder="1"/>
    <xf numFmtId="170" fontId="19" fillId="0" borderId="22" xfId="0" applyNumberFormat="1" applyFont="1" applyBorder="1"/>
    <xf numFmtId="0" fontId="19" fillId="0" borderId="13" xfId="0" applyFont="1" applyBorder="1"/>
    <xf numFmtId="37" fontId="19" fillId="0" borderId="13" xfId="0" applyNumberFormat="1" applyFont="1" applyBorder="1"/>
    <xf numFmtId="37" fontId="19" fillId="0" borderId="19" xfId="0" applyNumberFormat="1" applyFont="1" applyBorder="1"/>
    <xf numFmtId="37" fontId="19" fillId="0" borderId="58" xfId="0" applyNumberFormat="1" applyFont="1" applyBorder="1"/>
    <xf numFmtId="0" fontId="19" fillId="4" borderId="71" xfId="0" applyFont="1" applyFill="1" applyBorder="1"/>
    <xf numFmtId="169" fontId="45" fillId="0" borderId="12" xfId="0" applyNumberFormat="1" applyFont="1" applyBorder="1"/>
    <xf numFmtId="37" fontId="19" fillId="4" borderId="84" xfId="0" applyNumberFormat="1" applyFont="1" applyFill="1" applyBorder="1"/>
    <xf numFmtId="0" fontId="19" fillId="4" borderId="75" xfId="0" applyFont="1" applyFill="1" applyBorder="1"/>
    <xf numFmtId="0" fontId="19" fillId="0" borderId="77" xfId="0" applyFont="1" applyFill="1" applyBorder="1"/>
    <xf numFmtId="37" fontId="19" fillId="0" borderId="56" xfId="0" applyNumberFormat="1" applyFont="1" applyFill="1" applyBorder="1"/>
    <xf numFmtId="169" fontId="18" fillId="0" borderId="12" xfId="0" applyNumberFormat="1" applyFont="1" applyFill="1" applyBorder="1"/>
    <xf numFmtId="37" fontId="19" fillId="0" borderId="55" xfId="0" applyNumberFormat="1" applyFont="1" applyFill="1" applyBorder="1"/>
    <xf numFmtId="0" fontId="19" fillId="4" borderId="77" xfId="0" applyFont="1" applyFill="1" applyBorder="1"/>
    <xf numFmtId="37" fontId="19" fillId="4" borderId="56" xfId="0" applyNumberFormat="1" applyFont="1" applyFill="1" applyBorder="1"/>
    <xf numFmtId="0" fontId="19" fillId="0" borderId="70" xfId="0" applyFont="1" applyBorder="1" applyAlignment="1">
      <alignment horizontal="left"/>
    </xf>
    <xf numFmtId="0" fontId="18" fillId="0" borderId="55" xfId="0" applyFont="1" applyBorder="1"/>
    <xf numFmtId="0" fontId="18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3" fontId="18" fillId="0" borderId="55" xfId="0" applyNumberFormat="1" applyFont="1" applyBorder="1"/>
    <xf numFmtId="0" fontId="19" fillId="0" borderId="77" xfId="0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3" fontId="19" fillId="0" borderId="23" xfId="0" applyNumberFormat="1" applyFont="1" applyBorder="1"/>
    <xf numFmtId="3" fontId="19" fillId="0" borderId="56" xfId="0" applyNumberFormat="1" applyFont="1" applyBorder="1"/>
    <xf numFmtId="3" fontId="18" fillId="0" borderId="19" xfId="0" applyNumberFormat="1" applyFont="1" applyBorder="1"/>
    <xf numFmtId="3" fontId="18" fillId="0" borderId="13" xfId="0" applyNumberFormat="1" applyFont="1" applyBorder="1"/>
    <xf numFmtId="3" fontId="18" fillId="0" borderId="22" xfId="0" applyNumberFormat="1" applyFont="1" applyBorder="1"/>
    <xf numFmtId="3" fontId="19" fillId="0" borderId="13" xfId="0" applyNumberFormat="1" applyFont="1" applyBorder="1"/>
    <xf numFmtId="3" fontId="19" fillId="0" borderId="19" xfId="0" applyNumberFormat="1" applyFont="1" applyBorder="1"/>
    <xf numFmtId="3" fontId="19" fillId="0" borderId="58" xfId="0" applyNumberFormat="1" applyFont="1" applyBorder="1"/>
    <xf numFmtId="3" fontId="18" fillId="0" borderId="23" xfId="0" applyNumberFormat="1" applyFont="1" applyBorder="1"/>
    <xf numFmtId="169" fontId="44" fillId="11" borderId="86" xfId="0" applyNumberFormat="1" applyFont="1" applyFill="1" applyBorder="1"/>
    <xf numFmtId="37" fontId="18" fillId="0" borderId="22" xfId="0" applyNumberFormat="1" applyFont="1" applyBorder="1"/>
    <xf numFmtId="0" fontId="19" fillId="0" borderId="1" xfId="0" applyFont="1" applyBorder="1" applyAlignment="1">
      <alignment horizontal="center"/>
    </xf>
    <xf numFmtId="169" fontId="19" fillId="0" borderId="1" xfId="0" applyNumberFormat="1" applyFont="1" applyBorder="1"/>
    <xf numFmtId="0" fontId="19" fillId="0" borderId="12" xfId="0" applyFont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0" fontId="19" fillId="0" borderId="75" xfId="0" applyFont="1" applyBorder="1"/>
    <xf numFmtId="3" fontId="18" fillId="0" borderId="58" xfId="0" applyNumberFormat="1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56" xfId="0" applyNumberFormat="1" applyFont="1" applyBorder="1"/>
    <xf numFmtId="3" fontId="19" fillId="0" borderId="12" xfId="0" applyNumberFormat="1" applyFont="1" applyBorder="1"/>
    <xf numFmtId="0" fontId="19" fillId="4" borderId="70" xfId="0" applyFont="1" applyFill="1" applyBorder="1"/>
    <xf numFmtId="37" fontId="18" fillId="0" borderId="15" xfId="0" applyNumberFormat="1" applyFont="1" applyBorder="1" applyAlignment="1"/>
    <xf numFmtId="37" fontId="18" fillId="0" borderId="19" xfId="0" applyNumberFormat="1" applyFont="1" applyBorder="1" applyAlignment="1"/>
    <xf numFmtId="37" fontId="19" fillId="4" borderId="58" xfId="0" applyNumberFormat="1" applyFont="1" applyFill="1" applyBorder="1"/>
    <xf numFmtId="0" fontId="18" fillId="3" borderId="61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87" xfId="0" applyFont="1" applyBorder="1" applyAlignment="1">
      <alignment horizontal="left"/>
    </xf>
    <xf numFmtId="0" fontId="19" fillId="0" borderId="8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21" fillId="0" borderId="22" xfId="0" applyFont="1" applyBorder="1"/>
    <xf numFmtId="37" fontId="21" fillId="0" borderId="32" xfId="0" applyNumberFormat="1" applyFont="1" applyBorder="1"/>
    <xf numFmtId="37" fontId="21" fillId="0" borderId="33" xfId="0" applyNumberFormat="1" applyFont="1" applyBorder="1"/>
    <xf numFmtId="37" fontId="21" fillId="0" borderId="22" xfId="0" applyNumberFormat="1" applyFont="1" applyBorder="1"/>
    <xf numFmtId="169" fontId="21" fillId="0" borderId="22" xfId="0" applyNumberFormat="1" applyFont="1" applyBorder="1"/>
    <xf numFmtId="37" fontId="21" fillId="0" borderId="34" xfId="0" applyNumberFormat="1" applyFont="1" applyBorder="1"/>
    <xf numFmtId="169" fontId="21" fillId="0" borderId="58" xfId="0" applyNumberFormat="1" applyFont="1" applyBorder="1"/>
    <xf numFmtId="0" fontId="27" fillId="3" borderId="75" xfId="0" applyFont="1" applyFill="1" applyBorder="1"/>
    <xf numFmtId="169" fontId="27" fillId="3" borderId="58" xfId="0" applyNumberFormat="1" applyFont="1" applyFill="1" applyBorder="1"/>
    <xf numFmtId="0" fontId="27" fillId="0" borderId="70" xfId="0" applyFont="1" applyBorder="1"/>
    <xf numFmtId="0" fontId="21" fillId="0" borderId="1" xfId="0" applyFont="1" applyBorder="1"/>
    <xf numFmtId="37" fontId="21" fillId="0" borderId="39" xfId="0" applyNumberFormat="1" applyFont="1" applyBorder="1"/>
    <xf numFmtId="37" fontId="21" fillId="0" borderId="1" xfId="0" applyNumberFormat="1" applyFont="1" applyBorder="1"/>
    <xf numFmtId="169" fontId="21" fillId="0" borderId="1" xfId="0" applyNumberFormat="1" applyFont="1" applyBorder="1"/>
    <xf numFmtId="37" fontId="21" fillId="0" borderId="41" xfId="0" applyNumberFormat="1" applyFont="1" applyBorder="1"/>
    <xf numFmtId="0" fontId="21" fillId="0" borderId="1" xfId="0" applyFont="1" applyBorder="1" applyAlignment="1">
      <alignment horizontal="right"/>
    </xf>
    <xf numFmtId="170" fontId="21" fillId="0" borderId="1" xfId="0" applyNumberFormat="1" applyFont="1" applyBorder="1"/>
    <xf numFmtId="0" fontId="21" fillId="0" borderId="39" xfId="0" applyFont="1" applyBorder="1"/>
    <xf numFmtId="0" fontId="21" fillId="0" borderId="22" xfId="0" applyFont="1" applyBorder="1" applyAlignment="1">
      <alignment horizontal="right"/>
    </xf>
    <xf numFmtId="170" fontId="21" fillId="0" borderId="22" xfId="0" applyNumberFormat="1" applyFont="1" applyBorder="1"/>
    <xf numFmtId="0" fontId="21" fillId="0" borderId="33" xfId="0" applyFont="1" applyBorder="1"/>
    <xf numFmtId="169" fontId="21" fillId="0" borderId="32" xfId="0" applyNumberFormat="1" applyFont="1" applyBorder="1"/>
    <xf numFmtId="0" fontId="27" fillId="3" borderId="76" xfId="0" applyFont="1" applyFill="1" applyBorder="1"/>
    <xf numFmtId="0" fontId="21" fillId="0" borderId="24" xfId="0" applyFont="1" applyBorder="1" applyAlignment="1">
      <alignment horizontal="right"/>
    </xf>
    <xf numFmtId="0" fontId="21" fillId="0" borderId="24" xfId="0" applyFont="1" applyBorder="1"/>
    <xf numFmtId="37" fontId="21" fillId="0" borderId="37" xfId="0" applyNumberFormat="1" applyFont="1" applyBorder="1"/>
    <xf numFmtId="0" fontId="21" fillId="0" borderId="38" xfId="0" applyFont="1" applyBorder="1"/>
    <xf numFmtId="170" fontId="21" fillId="0" borderId="24" xfId="0" applyNumberFormat="1" applyFont="1" applyBorder="1"/>
    <xf numFmtId="37" fontId="21" fillId="0" borderId="24" xfId="0" applyNumberFormat="1" applyFont="1" applyBorder="1"/>
    <xf numFmtId="169" fontId="21" fillId="0" borderId="24" xfId="0" applyNumberFormat="1" applyFont="1" applyBorder="1"/>
    <xf numFmtId="37" fontId="21" fillId="0" borderId="42" xfId="0" applyNumberFormat="1" applyFont="1" applyBorder="1"/>
    <xf numFmtId="169" fontId="27" fillId="0" borderId="1" xfId="0" applyNumberFormat="1" applyFont="1" applyBorder="1"/>
    <xf numFmtId="0" fontId="27" fillId="0" borderId="1" xfId="0" applyFont="1" applyBorder="1"/>
    <xf numFmtId="169" fontId="21" fillId="0" borderId="37" xfId="0" applyNumberFormat="1" applyFont="1" applyBorder="1"/>
    <xf numFmtId="0" fontId="21" fillId="0" borderId="41" xfId="0" applyFont="1" applyBorder="1"/>
    <xf numFmtId="169" fontId="21" fillId="0" borderId="92" xfId="0" applyNumberFormat="1" applyFont="1" applyBorder="1"/>
    <xf numFmtId="0" fontId="21" fillId="0" borderId="1" xfId="0" applyFont="1" applyFill="1" applyBorder="1"/>
    <xf numFmtId="37" fontId="21" fillId="0" borderId="1" xfId="0" applyNumberFormat="1" applyFont="1" applyFill="1" applyBorder="1"/>
    <xf numFmtId="169" fontId="21" fillId="0" borderId="37" xfId="0" applyNumberFormat="1" applyFont="1" applyFill="1" applyBorder="1"/>
    <xf numFmtId="37" fontId="21" fillId="0" borderId="49" xfId="0" applyNumberFormat="1" applyFont="1" applyFill="1" applyBorder="1"/>
    <xf numFmtId="0" fontId="27" fillId="4" borderId="77" xfId="0" applyFont="1" applyFill="1" applyBorder="1"/>
    <xf numFmtId="169" fontId="21" fillId="0" borderId="83" xfId="0" applyNumberFormat="1" applyFont="1" applyBorder="1"/>
    <xf numFmtId="0" fontId="27" fillId="3" borderId="78" xfId="0" applyFont="1" applyFill="1" applyBorder="1"/>
    <xf numFmtId="0" fontId="27" fillId="3" borderId="64" xfId="0" applyFont="1" applyFill="1" applyBorder="1"/>
    <xf numFmtId="0" fontId="27" fillId="3" borderId="64" xfId="0" applyFont="1" applyFill="1" applyBorder="1" applyAlignment="1">
      <alignment horizontal="center"/>
    </xf>
    <xf numFmtId="169" fontId="27" fillId="3" borderId="64" xfId="0" applyNumberFormat="1" applyFont="1" applyFill="1" applyBorder="1"/>
    <xf numFmtId="37" fontId="27" fillId="3" borderId="93" xfId="0" applyNumberFormat="1" applyFont="1" applyFill="1" applyBorder="1"/>
    <xf numFmtId="37" fontId="27" fillId="3" borderId="94" xfId="0" applyNumberFormat="1" applyFont="1" applyFill="1" applyBorder="1"/>
    <xf numFmtId="0" fontId="27" fillId="3" borderId="94" xfId="0" applyFont="1" applyFill="1" applyBorder="1" applyAlignment="1">
      <alignment horizontal="center"/>
    </xf>
    <xf numFmtId="169" fontId="27" fillId="3" borderId="86" xfId="0" applyNumberFormat="1" applyFont="1" applyFill="1" applyBorder="1"/>
    <xf numFmtId="0" fontId="27" fillId="3" borderId="95" xfId="0" applyFont="1" applyFill="1" applyBorder="1"/>
    <xf numFmtId="0" fontId="27" fillId="3" borderId="96" xfId="0" applyFont="1" applyFill="1" applyBorder="1"/>
    <xf numFmtId="0" fontId="27" fillId="3" borderId="96" xfId="0" applyFont="1" applyFill="1" applyBorder="1" applyAlignment="1">
      <alignment horizontal="center"/>
    </xf>
    <xf numFmtId="169" fontId="27" fillId="3" borderId="96" xfId="0" applyNumberFormat="1" applyFont="1" applyFill="1" applyBorder="1"/>
    <xf numFmtId="37" fontId="27" fillId="3" borderId="97" xfId="0" applyNumberFormat="1" applyFont="1" applyFill="1" applyBorder="1"/>
    <xf numFmtId="37" fontId="27" fillId="3" borderId="96" xfId="0" applyNumberFormat="1" applyFont="1" applyFill="1" applyBorder="1"/>
    <xf numFmtId="37" fontId="27" fillId="3" borderId="98" xfId="0" applyNumberFormat="1" applyFont="1" applyFill="1" applyBorder="1"/>
    <xf numFmtId="37" fontId="27" fillId="3" borderId="99" xfId="0" applyNumberFormat="1" applyFont="1" applyFill="1" applyBorder="1"/>
    <xf numFmtId="37" fontId="27" fillId="3" borderId="88" xfId="0" applyNumberFormat="1" applyFont="1" applyFill="1" applyBorder="1"/>
    <xf numFmtId="169" fontId="27" fillId="3" borderId="91" xfId="0" applyNumberFormat="1" applyFont="1" applyFill="1" applyBorder="1"/>
    <xf numFmtId="0" fontId="26" fillId="0" borderId="70" xfId="0" applyFont="1" applyBorder="1"/>
    <xf numFmtId="0" fontId="26" fillId="0" borderId="41" xfId="0" applyFont="1" applyBorder="1"/>
    <xf numFmtId="0" fontId="26" fillId="0" borderId="55" xfId="0" applyFont="1" applyBorder="1"/>
    <xf numFmtId="0" fontId="16" fillId="0" borderId="41" xfId="0" applyFont="1" applyBorder="1"/>
    <xf numFmtId="169" fontId="27" fillId="3" borderId="81" xfId="0" applyNumberFormat="1" applyFont="1" applyFill="1" applyBorder="1"/>
    <xf numFmtId="0" fontId="19" fillId="0" borderId="15" xfId="0" applyFont="1" applyFill="1" applyBorder="1"/>
    <xf numFmtId="169" fontId="48" fillId="0" borderId="12" xfId="1" applyNumberFormat="1" applyFont="1" applyFill="1" applyBorder="1"/>
    <xf numFmtId="3" fontId="18" fillId="0" borderId="55" xfId="0" applyNumberFormat="1" applyFont="1" applyFill="1" applyBorder="1"/>
    <xf numFmtId="3" fontId="48" fillId="0" borderId="55" xfId="0" applyNumberFormat="1" applyFont="1" applyFill="1" applyBorder="1"/>
    <xf numFmtId="0" fontId="17" fillId="0" borderId="0" xfId="0" applyFont="1" applyFill="1"/>
    <xf numFmtId="0" fontId="0" fillId="0" borderId="0" xfId="0" applyFont="1" applyFill="1" applyAlignment="1"/>
    <xf numFmtId="0" fontId="22" fillId="0" borderId="0" xfId="0" applyFont="1" applyFill="1"/>
    <xf numFmtId="0" fontId="10" fillId="0" borderId="0" xfId="0" applyFont="1" applyFill="1"/>
    <xf numFmtId="0" fontId="24" fillId="0" borderId="0" xfId="0" applyFont="1" applyFill="1"/>
    <xf numFmtId="39" fontId="18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5" fillId="0" borderId="1" xfId="0" applyFont="1" applyFill="1" applyBorder="1"/>
    <xf numFmtId="0" fontId="16" fillId="0" borderId="1" xfId="0" applyFont="1" applyFill="1" applyBorder="1"/>
    <xf numFmtId="0" fontId="25" fillId="0" borderId="0" xfId="0" applyFont="1" applyFill="1"/>
    <xf numFmtId="37" fontId="19" fillId="0" borderId="0" xfId="0" applyNumberFormat="1" applyFont="1" applyFill="1"/>
    <xf numFmtId="0" fontId="23" fillId="0" borderId="0" xfId="0" applyFont="1" applyFill="1"/>
    <xf numFmtId="169" fontId="18" fillId="0" borderId="0" xfId="0" applyNumberFormat="1" applyFont="1" applyFill="1"/>
    <xf numFmtId="169" fontId="19" fillId="0" borderId="0" xfId="0" applyNumberFormat="1" applyFont="1" applyFill="1"/>
    <xf numFmtId="37" fontId="16" fillId="0" borderId="1" xfId="0" applyNumberFormat="1" applyFont="1" applyFill="1" applyBorder="1"/>
    <xf numFmtId="0" fontId="15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69" fontId="18" fillId="0" borderId="1" xfId="0" applyNumberFormat="1" applyFont="1" applyFill="1" applyBorder="1"/>
    <xf numFmtId="0" fontId="26" fillId="0" borderId="0" xfId="0" applyFont="1" applyFill="1"/>
    <xf numFmtId="0" fontId="46" fillId="0" borderId="0" xfId="0" applyFont="1"/>
    <xf numFmtId="166" fontId="12" fillId="0" borderId="1" xfId="0" applyNumberFormat="1" applyFont="1" applyBorder="1"/>
    <xf numFmtId="166" fontId="14" fillId="0" borderId="1" xfId="0" applyNumberFormat="1" applyFont="1" applyBorder="1"/>
    <xf numFmtId="166" fontId="13" fillId="0" borderId="1" xfId="0" applyNumberFormat="1" applyFont="1" applyFill="1" applyBorder="1"/>
    <xf numFmtId="0" fontId="13" fillId="0" borderId="1" xfId="0" applyFont="1" applyFill="1" applyBorder="1"/>
    <xf numFmtId="166" fontId="12" fillId="0" borderId="1" xfId="0" applyNumberFormat="1" applyFont="1" applyFill="1" applyBorder="1"/>
    <xf numFmtId="166" fontId="14" fillId="0" borderId="1" xfId="0" applyNumberFormat="1" applyFont="1" applyFill="1" applyBorder="1"/>
    <xf numFmtId="0" fontId="8" fillId="0" borderId="0" xfId="0" applyFont="1" applyFill="1"/>
    <xf numFmtId="169" fontId="27" fillId="3" borderId="100" xfId="0" applyNumberFormat="1" applyFont="1" applyFill="1" applyBorder="1"/>
    <xf numFmtId="0" fontId="18" fillId="0" borderId="101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8" fillId="0" borderId="70" xfId="0" applyFont="1" applyBorder="1"/>
    <xf numFmtId="0" fontId="46" fillId="9" borderId="1" xfId="0" applyFont="1" applyFill="1" applyBorder="1"/>
    <xf numFmtId="0" fontId="49" fillId="0" borderId="77" xfId="0" applyFont="1" applyBorder="1"/>
    <xf numFmtId="4" fontId="50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7" fillId="3" borderId="17" xfId="0" applyNumberFormat="1" applyFont="1" applyFill="1" applyBorder="1" applyAlignment="1">
      <alignment horizontal="center"/>
    </xf>
    <xf numFmtId="39" fontId="39" fillId="10" borderId="44" xfId="0" applyNumberFormat="1" applyFont="1" applyFill="1" applyBorder="1" applyAlignment="1">
      <alignment horizontal="left" vertical="top"/>
    </xf>
    <xf numFmtId="37" fontId="27" fillId="12" borderId="17" xfId="0" applyNumberFormat="1" applyFont="1" applyFill="1" applyBorder="1"/>
    <xf numFmtId="0" fontId="8" fillId="0" borderId="102" xfId="0" applyFont="1" applyBorder="1"/>
    <xf numFmtId="166" fontId="51" fillId="0" borderId="50" xfId="0" applyNumberFormat="1" applyFont="1" applyBorder="1"/>
    <xf numFmtId="164" fontId="12" fillId="0" borderId="7" xfId="0" applyNumberFormat="1" applyFont="1" applyBorder="1"/>
    <xf numFmtId="164" fontId="13" fillId="3" borderId="9" xfId="0" applyNumberFormat="1" applyFont="1" applyFill="1" applyBorder="1"/>
    <xf numFmtId="164" fontId="13" fillId="3" borderId="11" xfId="0" applyNumberFormat="1" applyFont="1" applyFill="1" applyBorder="1"/>
    <xf numFmtId="164" fontId="14" fillId="0" borderId="5" xfId="0" applyNumberFormat="1" applyFont="1" applyBorder="1"/>
    <xf numFmtId="164" fontId="8" fillId="0" borderId="7" xfId="0" applyNumberFormat="1" applyFont="1" applyBorder="1"/>
    <xf numFmtId="164" fontId="12" fillId="0" borderId="51" xfId="0" applyNumberFormat="1" applyFont="1" applyBorder="1"/>
    <xf numFmtId="164" fontId="14" fillId="0" borderId="51" xfId="0" applyNumberFormat="1" applyFont="1" applyBorder="1"/>
    <xf numFmtId="164" fontId="12" fillId="0" borderId="3" xfId="0" applyNumberFormat="1" applyFont="1" applyBorder="1"/>
    <xf numFmtId="0" fontId="18" fillId="0" borderId="13" xfId="0" applyFont="1" applyBorder="1" applyAlignment="1"/>
    <xf numFmtId="3" fontId="18" fillId="0" borderId="12" xfId="0" applyNumberFormat="1" applyFont="1" applyBorder="1" applyAlignment="1"/>
    <xf numFmtId="0" fontId="0" fillId="0" borderId="0" xfId="0" applyFont="1" applyAlignment="1"/>
    <xf numFmtId="39" fontId="39" fillId="10" borderId="1" xfId="0" applyNumberFormat="1" applyFont="1" applyFill="1" applyBorder="1" applyAlignment="1">
      <alignment horizontal="left" vertical="top"/>
    </xf>
    <xf numFmtId="4" fontId="8" fillId="13" borderId="0" xfId="0" applyNumberFormat="1" applyFont="1" applyFill="1" applyAlignment="1">
      <alignment horizontal="center" vertical="top"/>
    </xf>
    <xf numFmtId="39" fontId="43" fillId="0" borderId="103" xfId="0" applyNumberFormat="1" applyFont="1" applyBorder="1"/>
    <xf numFmtId="165" fontId="3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165" fontId="8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8" fillId="15" borderId="0" xfId="0" applyNumberFormat="1" applyFont="1" applyFill="1" applyAlignment="1">
      <alignment horizontal="left" vertical="top"/>
    </xf>
    <xf numFmtId="165" fontId="8" fillId="15" borderId="0" xfId="0" applyNumberFormat="1" applyFont="1" applyFill="1" applyAlignment="1">
      <alignment horizontal="center" vertical="top"/>
    </xf>
    <xf numFmtId="4" fontId="8" fillId="15" borderId="0" xfId="0" applyNumberFormat="1" applyFont="1" applyFill="1" applyAlignment="1">
      <alignment horizontal="center" vertical="top"/>
    </xf>
    <xf numFmtId="37" fontId="19" fillId="3" borderId="17" xfId="0" applyNumberFormat="1" applyFont="1" applyFill="1" applyBorder="1"/>
    <xf numFmtId="0" fontId="18" fillId="3" borderId="20" xfId="0" applyFont="1" applyFill="1" applyBorder="1"/>
    <xf numFmtId="0" fontId="6" fillId="0" borderId="1" xfId="2"/>
    <xf numFmtId="0" fontId="52" fillId="0" borderId="1" xfId="2" applyFont="1" applyAlignment="1">
      <alignment horizontal="center"/>
    </xf>
    <xf numFmtId="0" fontId="52" fillId="0" borderId="1" xfId="2" applyFont="1"/>
    <xf numFmtId="0" fontId="52" fillId="0" borderId="1" xfId="2" applyFont="1" applyAlignment="1">
      <alignment horizontal="center"/>
    </xf>
    <xf numFmtId="0" fontId="53" fillId="0" borderId="1" xfId="2" applyFont="1"/>
    <xf numFmtId="168" fontId="54" fillId="0" borderId="1" xfId="2" applyNumberFormat="1" applyFont="1" applyAlignment="1">
      <alignment horizontal="left"/>
    </xf>
    <xf numFmtId="0" fontId="54" fillId="0" borderId="1" xfId="2" applyFont="1"/>
    <xf numFmtId="0" fontId="55" fillId="0" borderId="1" xfId="2" applyFont="1"/>
    <xf numFmtId="0" fontId="43" fillId="0" borderId="1" xfId="2" applyFont="1"/>
    <xf numFmtId="0" fontId="56" fillId="0" borderId="1" xfId="2" applyFont="1"/>
    <xf numFmtId="0" fontId="57" fillId="0" borderId="1" xfId="2" applyFont="1"/>
    <xf numFmtId="0" fontId="58" fillId="0" borderId="1" xfId="2" applyFont="1"/>
    <xf numFmtId="0" fontId="60" fillId="16" borderId="1" xfId="2" applyFont="1" applyFill="1"/>
    <xf numFmtId="0" fontId="58" fillId="16" borderId="1" xfId="2" applyFont="1" applyFill="1"/>
    <xf numFmtId="0" fontId="61" fillId="16" borderId="1" xfId="2" applyFont="1" applyFill="1"/>
    <xf numFmtId="0" fontId="62" fillId="16" borderId="1" xfId="2" applyFont="1" applyFill="1" applyAlignment="1">
      <alignment horizontal="centerContinuous" vertical="center"/>
    </xf>
    <xf numFmtId="0" fontId="58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/>
    </xf>
    <xf numFmtId="0" fontId="58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"/>
    </xf>
    <xf numFmtId="169" fontId="58" fillId="16" borderId="1" xfId="2" applyNumberFormat="1" applyFont="1" applyFill="1"/>
    <xf numFmtId="37" fontId="58" fillId="16" borderId="1" xfId="2" applyNumberFormat="1" applyFont="1" applyFill="1"/>
    <xf numFmtId="169" fontId="60" fillId="16" borderId="1" xfId="2" applyNumberFormat="1" applyFont="1" applyFill="1"/>
    <xf numFmtId="37" fontId="60" fillId="16" borderId="1" xfId="2" applyNumberFormat="1" applyFont="1" applyFill="1"/>
    <xf numFmtId="0" fontId="64" fillId="16" borderId="1" xfId="2" applyFont="1" applyFill="1"/>
    <xf numFmtId="0" fontId="63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left"/>
    </xf>
    <xf numFmtId="0" fontId="65" fillId="16" borderId="1" xfId="2" applyFont="1" applyFill="1" applyProtection="1">
      <protection locked="0"/>
    </xf>
    <xf numFmtId="0" fontId="58" fillId="16" borderId="1" xfId="2" applyFont="1" applyFill="1" applyAlignment="1">
      <alignment horizontal="center"/>
    </xf>
    <xf numFmtId="0" fontId="66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left"/>
    </xf>
    <xf numFmtId="0" fontId="6" fillId="0" borderId="1" xfId="2" applyAlignment="1">
      <alignment horizontal="center"/>
    </xf>
    <xf numFmtId="0" fontId="67" fillId="0" borderId="1" xfId="2" applyFont="1" applyBorder="1" applyAlignment="1">
      <alignment horizontal="center"/>
    </xf>
    <xf numFmtId="0" fontId="52" fillId="13" borderId="54" xfId="2" applyFont="1" applyFill="1" applyBorder="1" applyAlignment="1">
      <alignment horizontal="center"/>
    </xf>
    <xf numFmtId="0" fontId="55" fillId="0" borderId="1" xfId="2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" xfId="2" applyFill="1" applyAlignment="1">
      <alignment horizontal="center"/>
    </xf>
    <xf numFmtId="0" fontId="67" fillId="0" borderId="1" xfId="2" applyFont="1" applyFill="1" applyBorder="1" applyAlignment="1">
      <alignment horizontal="center"/>
    </xf>
    <xf numFmtId="0" fontId="52" fillId="0" borderId="1" xfId="2" applyFont="1" applyFill="1" applyBorder="1" applyAlignment="1">
      <alignment horizontal="center"/>
    </xf>
    <xf numFmtId="0" fontId="6" fillId="0" borderId="1" xfId="2" applyFill="1"/>
    <xf numFmtId="0" fontId="17" fillId="17" borderId="0" xfId="0" applyFont="1" applyFill="1"/>
    <xf numFmtId="169" fontId="18" fillId="0" borderId="1" xfId="1" applyNumberFormat="1" applyFont="1" applyFill="1" applyBorder="1"/>
    <xf numFmtId="169" fontId="19" fillId="0" borderId="9" xfId="0" applyNumberFormat="1" applyFont="1" applyFill="1" applyBorder="1"/>
    <xf numFmtId="3" fontId="18" fillId="0" borderId="22" xfId="0" applyNumberFormat="1" applyFont="1" applyBorder="1" applyAlignment="1">
      <alignment horizontal="right"/>
    </xf>
    <xf numFmtId="0" fontId="68" fillId="0" borderId="0" xfId="0" applyFont="1" applyAlignment="1"/>
    <xf numFmtId="0" fontId="20" fillId="0" borderId="0" xfId="0" applyFont="1" applyAlignment="1"/>
    <xf numFmtId="3" fontId="18" fillId="0" borderId="167" xfId="0" applyNumberFormat="1" applyFont="1" applyBorder="1"/>
    <xf numFmtId="3" fontId="18" fillId="0" borderId="168" xfId="0" applyNumberFormat="1" applyFont="1" applyBorder="1"/>
    <xf numFmtId="3" fontId="18" fillId="0" borderId="169" xfId="0" applyNumberFormat="1" applyFont="1" applyBorder="1"/>
    <xf numFmtId="3" fontId="18" fillId="0" borderId="24" xfId="0" applyNumberFormat="1" applyFont="1" applyFill="1" applyBorder="1"/>
    <xf numFmtId="3" fontId="18" fillId="0" borderId="25" xfId="0" applyNumberFormat="1" applyFont="1" applyFill="1" applyBorder="1"/>
    <xf numFmtId="0" fontId="69" fillId="0" borderId="0" xfId="0" applyFont="1" applyAlignment="1"/>
    <xf numFmtId="0" fontId="43" fillId="0" borderId="108" xfId="0" applyFont="1" applyBorder="1"/>
    <xf numFmtId="169" fontId="27" fillId="3" borderId="57" xfId="0" applyNumberFormat="1" applyFont="1" applyFill="1" applyBorder="1"/>
    <xf numFmtId="0" fontId="5" fillId="0" borderId="1" xfId="3"/>
    <xf numFmtId="0" fontId="70" fillId="0" borderId="172" xfId="3" applyFont="1" applyBorder="1"/>
    <xf numFmtId="0" fontId="5" fillId="0" borderId="172" xfId="3" applyBorder="1"/>
    <xf numFmtId="0" fontId="5" fillId="0" borderId="172" xfId="3" applyBorder="1" applyAlignment="1">
      <alignment horizontal="left" indent="1"/>
    </xf>
    <xf numFmtId="0" fontId="70" fillId="0" borderId="189" xfId="3" applyFont="1" applyBorder="1"/>
    <xf numFmtId="0" fontId="70" fillId="18" borderId="170" xfId="3" applyFont="1" applyFill="1" applyBorder="1" applyAlignment="1">
      <alignment horizontal="center"/>
    </xf>
    <xf numFmtId="0" fontId="70" fillId="18" borderId="177" xfId="3" applyFont="1" applyFill="1" applyBorder="1" applyAlignment="1">
      <alignment horizontal="center"/>
    </xf>
    <xf numFmtId="0" fontId="70" fillId="18" borderId="178" xfId="3" applyFont="1" applyFill="1" applyBorder="1" applyAlignment="1">
      <alignment horizontal="center"/>
    </xf>
    <xf numFmtId="0" fontId="70" fillId="18" borderId="127" xfId="3" applyFont="1" applyFill="1" applyBorder="1" applyAlignment="1">
      <alignment horizontal="center"/>
    </xf>
    <xf numFmtId="0" fontId="70" fillId="18" borderId="171" xfId="3" applyFont="1" applyFill="1" applyBorder="1" applyAlignment="1">
      <alignment horizontal="center"/>
    </xf>
    <xf numFmtId="0" fontId="70" fillId="19" borderId="170" xfId="3" applyFont="1" applyFill="1" applyBorder="1" applyAlignment="1">
      <alignment horizontal="center"/>
    </xf>
    <xf numFmtId="0" fontId="70" fillId="19" borderId="177" xfId="3" applyFont="1" applyFill="1" applyBorder="1" applyAlignment="1">
      <alignment horizontal="center"/>
    </xf>
    <xf numFmtId="0" fontId="70" fillId="19" borderId="178" xfId="3" applyFont="1" applyFill="1" applyBorder="1" applyAlignment="1">
      <alignment horizontal="center"/>
    </xf>
    <xf numFmtId="0" fontId="70" fillId="19" borderId="179" xfId="3" applyFont="1" applyFill="1" applyBorder="1" applyAlignment="1">
      <alignment horizontal="center"/>
    </xf>
    <xf numFmtId="0" fontId="70" fillId="19" borderId="127" xfId="3" applyFont="1" applyFill="1" applyBorder="1" applyAlignment="1">
      <alignment horizontal="center"/>
    </xf>
    <xf numFmtId="0" fontId="70" fillId="19" borderId="171" xfId="3" applyFont="1" applyFill="1" applyBorder="1" applyAlignment="1">
      <alignment horizontal="center"/>
    </xf>
    <xf numFmtId="0" fontId="5" fillId="0" borderId="1" xfId="3" applyAlignment="1">
      <alignment horizontal="center"/>
    </xf>
    <xf numFmtId="0" fontId="70" fillId="11" borderId="170" xfId="3" applyFont="1" applyFill="1" applyBorder="1" applyAlignment="1">
      <alignment horizontal="center"/>
    </xf>
    <xf numFmtId="0" fontId="70" fillId="11" borderId="177" xfId="3" applyFont="1" applyFill="1" applyBorder="1" applyAlignment="1">
      <alignment horizontal="center"/>
    </xf>
    <xf numFmtId="0" fontId="70" fillId="11" borderId="178" xfId="3" applyFont="1" applyFill="1" applyBorder="1" applyAlignment="1">
      <alignment horizontal="center"/>
    </xf>
    <xf numFmtId="0" fontId="70" fillId="11" borderId="127" xfId="3" applyFont="1" applyFill="1" applyBorder="1" applyAlignment="1">
      <alignment horizontal="center"/>
    </xf>
    <xf numFmtId="0" fontId="70" fillId="11" borderId="171" xfId="3" applyFont="1" applyFill="1" applyBorder="1" applyAlignment="1">
      <alignment horizontal="center"/>
    </xf>
    <xf numFmtId="37" fontId="70" fillId="0" borderId="180" xfId="3" applyNumberFormat="1" applyFont="1" applyBorder="1" applyAlignment="1">
      <alignment horizontal="center"/>
    </xf>
    <xf numFmtId="1" fontId="70" fillId="0" borderId="181" xfId="3" applyNumberFormat="1" applyFont="1" applyBorder="1" applyAlignment="1">
      <alignment horizontal="center"/>
    </xf>
    <xf numFmtId="1" fontId="70" fillId="0" borderId="161" xfId="3" applyNumberFormat="1" applyFont="1" applyBorder="1" applyAlignment="1">
      <alignment horizontal="center"/>
    </xf>
    <xf numFmtId="1" fontId="70" fillId="0" borderId="173" xfId="3" applyNumberFormat="1" applyFont="1" applyBorder="1" applyAlignment="1">
      <alignment horizontal="center"/>
    </xf>
    <xf numFmtId="165" fontId="70" fillId="0" borderId="180" xfId="3" applyNumberFormat="1" applyFont="1" applyBorder="1" applyAlignment="1">
      <alignment horizontal="center"/>
    </xf>
    <xf numFmtId="165" fontId="70" fillId="0" borderId="181" xfId="3" applyNumberFormat="1" applyFont="1" applyBorder="1" applyAlignment="1">
      <alignment horizontal="center"/>
    </xf>
    <xf numFmtId="165" fontId="70" fillId="0" borderId="161" xfId="3" applyNumberFormat="1" applyFont="1" applyBorder="1" applyAlignment="1">
      <alignment horizontal="center"/>
    </xf>
    <xf numFmtId="165" fontId="70" fillId="0" borderId="173" xfId="3" applyNumberFormat="1" applyFont="1" applyBorder="1" applyAlignment="1">
      <alignment horizontal="center"/>
    </xf>
    <xf numFmtId="0" fontId="5" fillId="0" borderId="174" xfId="3" applyBorder="1"/>
    <xf numFmtId="0" fontId="70" fillId="20" borderId="170" xfId="3" applyFont="1" applyFill="1" applyBorder="1" applyAlignment="1">
      <alignment horizontal="center"/>
    </xf>
    <xf numFmtId="0" fontId="70" fillId="20" borderId="177" xfId="3" applyFont="1" applyFill="1" applyBorder="1" applyAlignment="1">
      <alignment horizontal="center"/>
    </xf>
    <xf numFmtId="0" fontId="70" fillId="20" borderId="178" xfId="3" applyFont="1" applyFill="1" applyBorder="1" applyAlignment="1">
      <alignment horizontal="center"/>
    </xf>
    <xf numFmtId="0" fontId="70" fillId="20" borderId="127" xfId="3" applyFont="1" applyFill="1" applyBorder="1" applyAlignment="1">
      <alignment horizontal="center"/>
    </xf>
    <xf numFmtId="0" fontId="70" fillId="20" borderId="171" xfId="3" applyFont="1" applyFill="1" applyBorder="1" applyAlignment="1">
      <alignment horizontal="center"/>
    </xf>
    <xf numFmtId="0" fontId="70" fillId="0" borderId="172" xfId="3" applyFont="1" applyBorder="1" applyAlignment="1">
      <alignment horizontal="left"/>
    </xf>
    <xf numFmtId="9" fontId="70" fillId="0" borderId="183" xfId="4" applyFont="1" applyBorder="1" applyAlignment="1">
      <alignment horizontal="center"/>
    </xf>
    <xf numFmtId="9" fontId="70" fillId="0" borderId="184" xfId="4" applyFont="1" applyBorder="1" applyAlignment="1">
      <alignment horizontal="center"/>
    </xf>
    <xf numFmtId="9" fontId="70" fillId="0" borderId="185" xfId="4" applyFont="1" applyBorder="1" applyAlignment="1">
      <alignment horizontal="center"/>
    </xf>
    <xf numFmtId="9" fontId="70" fillId="0" borderId="180" xfId="4" applyFont="1" applyBorder="1" applyAlignment="1">
      <alignment horizontal="center"/>
    </xf>
    <xf numFmtId="9" fontId="70" fillId="0" borderId="181" xfId="4" applyFont="1" applyBorder="1" applyAlignment="1">
      <alignment horizontal="center"/>
    </xf>
    <xf numFmtId="9" fontId="70" fillId="0" borderId="182" xfId="4" applyFont="1" applyBorder="1" applyAlignment="1">
      <alignment horizontal="center"/>
    </xf>
    <xf numFmtId="0" fontId="70" fillId="21" borderId="170" xfId="3" applyFont="1" applyFill="1" applyBorder="1" applyAlignment="1">
      <alignment horizontal="center"/>
    </xf>
    <xf numFmtId="0" fontId="70" fillId="21" borderId="177" xfId="3" applyFont="1" applyFill="1" applyBorder="1" applyAlignment="1">
      <alignment horizontal="center"/>
    </xf>
    <xf numFmtId="0" fontId="70" fillId="21" borderId="178" xfId="3" applyFont="1" applyFill="1" applyBorder="1" applyAlignment="1">
      <alignment horizontal="center"/>
    </xf>
    <xf numFmtId="0" fontId="70" fillId="21" borderId="127" xfId="3" applyFont="1" applyFill="1" applyBorder="1" applyAlignment="1">
      <alignment horizontal="center"/>
    </xf>
    <xf numFmtId="0" fontId="70" fillId="21" borderId="171" xfId="3" applyFont="1" applyFill="1" applyBorder="1" applyAlignment="1">
      <alignment horizontal="center"/>
    </xf>
    <xf numFmtId="0" fontId="5" fillId="13" borderId="172" xfId="3" applyFill="1" applyBorder="1" applyAlignment="1">
      <alignment horizontal="left" indent="1"/>
    </xf>
    <xf numFmtId="0" fontId="5" fillId="13" borderId="174" xfId="3" applyFill="1" applyBorder="1" applyAlignment="1">
      <alignment horizontal="left" indent="1"/>
    </xf>
    <xf numFmtId="0" fontId="21" fillId="0" borderId="101" xfId="0" applyFont="1" applyBorder="1"/>
    <xf numFmtId="0" fontId="21" fillId="0" borderId="195" xfId="0" applyFont="1" applyBorder="1"/>
    <xf numFmtId="0" fontId="21" fillId="0" borderId="54" xfId="0" applyFont="1" applyBorder="1" applyAlignment="1">
      <alignment horizontal="right"/>
    </xf>
    <xf numFmtId="0" fontId="21" fillId="0" borderId="54" xfId="0" applyFont="1" applyBorder="1"/>
    <xf numFmtId="37" fontId="21" fillId="0" borderId="196" xfId="0" applyNumberFormat="1" applyFont="1" applyBorder="1"/>
    <xf numFmtId="0" fontId="21" fillId="0" borderId="197" xfId="0" applyFont="1" applyBorder="1"/>
    <xf numFmtId="170" fontId="21" fillId="0" borderId="54" xfId="0" applyNumberFormat="1" applyFont="1" applyBorder="1"/>
    <xf numFmtId="37" fontId="21" fillId="0" borderId="197" xfId="0" applyNumberFormat="1" applyFont="1" applyBorder="1"/>
    <xf numFmtId="37" fontId="21" fillId="0" borderId="54" xfId="0" applyNumberFormat="1" applyFont="1" applyBorder="1"/>
    <xf numFmtId="169" fontId="21" fillId="0" borderId="54" xfId="0" applyNumberFormat="1" applyFont="1" applyBorder="1"/>
    <xf numFmtId="37" fontId="21" fillId="0" borderId="198" xfId="0" applyNumberFormat="1" applyFont="1" applyBorder="1"/>
    <xf numFmtId="169" fontId="21" fillId="0" borderId="199" xfId="0" applyNumberFormat="1" applyFont="1" applyBorder="1"/>
    <xf numFmtId="1" fontId="40" fillId="10" borderId="44" xfId="0" applyNumberFormat="1" applyFont="1" applyFill="1" applyBorder="1" applyAlignment="1">
      <alignment horizontal="left" vertical="top"/>
    </xf>
    <xf numFmtId="0" fontId="44" fillId="22" borderId="104" xfId="0" applyFont="1" applyFill="1" applyBorder="1" applyAlignment="1">
      <alignment horizontal="center"/>
    </xf>
    <xf numFmtId="0" fontId="43" fillId="22" borderId="107" xfId="0" applyFont="1" applyFill="1" applyBorder="1"/>
    <xf numFmtId="3" fontId="43" fillId="22" borderId="108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09" xfId="0" applyNumberFormat="1" applyFont="1" applyFill="1" applyBorder="1" applyAlignment="1">
      <alignment horizontal="center"/>
    </xf>
    <xf numFmtId="0" fontId="43" fillId="22" borderId="110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103" xfId="0" applyNumberFormat="1" applyFont="1" applyFill="1" applyBorder="1" applyAlignment="1">
      <alignment horizontal="center"/>
    </xf>
    <xf numFmtId="3" fontId="43" fillId="22" borderId="111" xfId="0" applyNumberFormat="1" applyFont="1" applyFill="1" applyBorder="1" applyAlignment="1">
      <alignment horizontal="right"/>
    </xf>
    <xf numFmtId="3" fontId="43" fillId="22" borderId="111" xfId="0" applyNumberFormat="1" applyFont="1" applyFill="1" applyBorder="1" applyAlignment="1" applyProtection="1">
      <alignment horizontal="right"/>
      <protection locked="0"/>
    </xf>
    <xf numFmtId="0" fontId="43" fillId="22" borderId="108" xfId="0" applyFont="1" applyFill="1" applyBorder="1"/>
    <xf numFmtId="3" fontId="43" fillId="22" borderId="108" xfId="0" applyNumberFormat="1" applyFont="1" applyFill="1" applyBorder="1"/>
    <xf numFmtId="3" fontId="43" fillId="22" borderId="0" xfId="0" applyNumberFormat="1" applyFont="1" applyFill="1"/>
    <xf numFmtId="3" fontId="43" fillId="22" borderId="109" xfId="0" applyNumberFormat="1" applyFont="1" applyFill="1" applyBorder="1"/>
    <xf numFmtId="3" fontId="43" fillId="22" borderId="108" xfId="0" applyNumberFormat="1" applyFont="1" applyFill="1" applyBorder="1" applyProtection="1">
      <protection locked="0"/>
    </xf>
    <xf numFmtId="3" fontId="43" fillId="22" borderId="109" xfId="0" applyNumberFormat="1" applyFont="1" applyFill="1" applyBorder="1" applyProtection="1">
      <protection locked="0"/>
    </xf>
    <xf numFmtId="0" fontId="44" fillId="22" borderId="107" xfId="0" applyFont="1" applyFill="1" applyBorder="1"/>
    <xf numFmtId="3" fontId="44" fillId="22" borderId="107" xfId="0" applyNumberFormat="1" applyFont="1" applyFill="1" applyBorder="1"/>
    <xf numFmtId="3" fontId="44" fillId="22" borderId="112" xfId="0" applyNumberFormat="1" applyFont="1" applyFill="1" applyBorder="1"/>
    <xf numFmtId="3" fontId="44" fillId="22" borderId="113" xfId="0" applyNumberFormat="1" applyFont="1" applyFill="1" applyBorder="1"/>
    <xf numFmtId="0" fontId="43" fillId="22" borderId="109" xfId="0" applyFont="1" applyFill="1" applyBorder="1"/>
    <xf numFmtId="0" fontId="44" fillId="22" borderId="114" xfId="0" applyFont="1" applyFill="1" applyBorder="1"/>
    <xf numFmtId="3" fontId="43" fillId="22" borderId="114" xfId="0" applyNumberFormat="1" applyFont="1" applyFill="1" applyBorder="1"/>
    <xf numFmtId="3" fontId="43" fillId="22" borderId="53" xfId="0" applyNumberFormat="1" applyFont="1" applyFill="1" applyBorder="1"/>
    <xf numFmtId="3" fontId="43" fillId="22" borderId="115" xfId="0" applyNumberFormat="1" applyFont="1" applyFill="1" applyBorder="1"/>
    <xf numFmtId="3" fontId="43" fillId="22" borderId="114" xfId="0" applyNumberFormat="1" applyFont="1" applyFill="1" applyBorder="1" applyProtection="1">
      <protection locked="0"/>
    </xf>
    <xf numFmtId="3" fontId="43" fillId="22" borderId="115" xfId="0" applyNumberFormat="1" applyFont="1" applyFill="1" applyBorder="1" applyProtection="1">
      <protection locked="0"/>
    </xf>
    <xf numFmtId="0" fontId="44" fillId="22" borderId="108" xfId="0" applyFont="1" applyFill="1" applyBorder="1"/>
    <xf numFmtId="3" fontId="43" fillId="22" borderId="107" xfId="0" applyNumberFormat="1" applyFont="1" applyFill="1" applyBorder="1"/>
    <xf numFmtId="3" fontId="43" fillId="22" borderId="112" xfId="0" applyNumberFormat="1" applyFont="1" applyFill="1" applyBorder="1"/>
    <xf numFmtId="3" fontId="43" fillId="22" borderId="113" xfId="0" applyNumberFormat="1" applyFont="1" applyFill="1" applyBorder="1"/>
    <xf numFmtId="0" fontId="44" fillId="22" borderId="110" xfId="0" applyFont="1" applyFill="1" applyBorder="1"/>
    <xf numFmtId="0" fontId="43" fillId="22" borderId="0" xfId="0" applyFont="1" applyFill="1"/>
    <xf numFmtId="37" fontId="43" fillId="22" borderId="109" xfId="0" applyNumberFormat="1" applyFont="1" applyFill="1" applyBorder="1"/>
    <xf numFmtId="0" fontId="44" fillId="23" borderId="116" xfId="0" applyFont="1" applyFill="1" applyBorder="1"/>
    <xf numFmtId="37" fontId="44" fillId="23" borderId="116" xfId="0" applyNumberFormat="1" applyFont="1" applyFill="1" applyBorder="1"/>
    <xf numFmtId="170" fontId="44" fillId="23" borderId="117" xfId="0" applyNumberFormat="1" applyFont="1" applyFill="1" applyBorder="1"/>
    <xf numFmtId="37" fontId="44" fillId="23" borderId="118" xfId="0" applyNumberFormat="1" applyFont="1" applyFill="1" applyBorder="1"/>
    <xf numFmtId="0" fontId="44" fillId="23" borderId="119" xfId="0" applyFont="1" applyFill="1" applyBorder="1"/>
    <xf numFmtId="0" fontId="44" fillId="23" borderId="120" xfId="0" applyFont="1" applyFill="1" applyBorder="1"/>
    <xf numFmtId="0" fontId="44" fillId="23" borderId="121" xfId="0" applyFont="1" applyFill="1" applyBorder="1"/>
    <xf numFmtId="0" fontId="44" fillId="24" borderId="108" xfId="0" applyFont="1" applyFill="1" applyBorder="1"/>
    <xf numFmtId="0" fontId="44" fillId="24" borderId="0" xfId="0" applyFont="1" applyFill="1"/>
    <xf numFmtId="0" fontId="44" fillId="24" borderId="109" xfId="0" applyFont="1" applyFill="1" applyBorder="1"/>
    <xf numFmtId="0" fontId="44" fillId="22" borderId="108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08" xfId="1" applyFont="1" applyFill="1" applyBorder="1"/>
    <xf numFmtId="37" fontId="43" fillId="22" borderId="0" xfId="0" applyNumberFormat="1" applyFont="1" applyFill="1"/>
    <xf numFmtId="37" fontId="43" fillId="22" borderId="109" xfId="0" applyNumberFormat="1" applyFont="1" applyFill="1" applyBorder="1" applyProtection="1">
      <protection locked="0"/>
    </xf>
    <xf numFmtId="9" fontId="43" fillId="22" borderId="110" xfId="1" applyFont="1" applyFill="1" applyBorder="1"/>
    <xf numFmtId="37" fontId="43" fillId="22" borderId="103" xfId="0" applyNumberFormat="1" applyFont="1" applyFill="1" applyBorder="1"/>
    <xf numFmtId="37" fontId="43" fillId="22" borderId="111" xfId="0" applyNumberFormat="1" applyFont="1" applyFill="1" applyBorder="1"/>
    <xf numFmtId="37" fontId="43" fillId="22" borderId="111" xfId="0" applyNumberFormat="1" applyFont="1" applyFill="1" applyBorder="1" applyProtection="1">
      <protection locked="0"/>
    </xf>
    <xf numFmtId="0" fontId="44" fillId="23" borderId="122" xfId="0" applyFont="1" applyFill="1" applyBorder="1"/>
    <xf numFmtId="0" fontId="44" fillId="23" borderId="122" xfId="0" applyFont="1" applyFill="1" applyBorder="1" applyAlignment="1">
      <alignment horizontal="center"/>
    </xf>
    <xf numFmtId="169" fontId="44" fillId="23" borderId="123" xfId="0" applyNumberFormat="1" applyFont="1" applyFill="1" applyBorder="1"/>
    <xf numFmtId="37" fontId="44" fillId="23" borderId="124" xfId="0" applyNumberFormat="1" applyFont="1" applyFill="1" applyBorder="1"/>
    <xf numFmtId="0" fontId="47" fillId="22" borderId="108" xfId="0" applyFont="1" applyFill="1" applyBorder="1"/>
    <xf numFmtId="0" fontId="47" fillId="22" borderId="110" xfId="0" applyFont="1" applyFill="1" applyBorder="1"/>
    <xf numFmtId="0" fontId="43" fillId="22" borderId="112" xfId="0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7" fillId="24" borderId="108" xfId="0" applyFont="1" applyFill="1" applyBorder="1"/>
    <xf numFmtId="0" fontId="43" fillId="22" borderId="103" xfId="0" applyFont="1" applyFill="1" applyBorder="1"/>
    <xf numFmtId="0" fontId="43" fillId="22" borderId="114" xfId="0" applyFont="1" applyFill="1" applyBorder="1"/>
    <xf numFmtId="0" fontId="43" fillId="22" borderId="53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4" fillId="23" borderId="125" xfId="0" applyFont="1" applyFill="1" applyBorder="1"/>
    <xf numFmtId="37" fontId="44" fillId="23" borderId="126" xfId="0" applyNumberFormat="1" applyFont="1" applyFill="1" applyBorder="1"/>
    <xf numFmtId="0" fontId="44" fillId="23" borderId="127" xfId="0" applyFont="1" applyFill="1" applyBorder="1"/>
    <xf numFmtId="0" fontId="44" fillId="23" borderId="128" xfId="0" applyFont="1" applyFill="1" applyBorder="1" applyAlignment="1">
      <alignment horizontal="center"/>
    </xf>
    <xf numFmtId="169" fontId="44" fillId="23" borderId="129" xfId="0" applyNumberFormat="1" applyFont="1" applyFill="1" applyBorder="1"/>
    <xf numFmtId="37" fontId="44" fillId="23" borderId="130" xfId="0" applyNumberFormat="1" applyFont="1" applyFill="1" applyBorder="1"/>
    <xf numFmtId="0" fontId="43" fillId="24" borderId="110" xfId="0" applyFont="1" applyFill="1" applyBorder="1"/>
    <xf numFmtId="0" fontId="43" fillId="24" borderId="103" xfId="0" applyFont="1" applyFill="1" applyBorder="1"/>
    <xf numFmtId="37" fontId="44" fillId="24" borderId="109" xfId="0" applyNumberFormat="1" applyFont="1" applyFill="1" applyBorder="1"/>
    <xf numFmtId="0" fontId="44" fillId="23" borderId="131" xfId="0" applyFont="1" applyFill="1" applyBorder="1"/>
    <xf numFmtId="0" fontId="43" fillId="23" borderId="131" xfId="0" applyFont="1" applyFill="1" applyBorder="1"/>
    <xf numFmtId="0" fontId="43" fillId="23" borderId="132" xfId="0" applyFont="1" applyFill="1" applyBorder="1"/>
    <xf numFmtId="37" fontId="44" fillId="23" borderId="133" xfId="0" applyNumberFormat="1" applyFont="1" applyFill="1" applyBorder="1"/>
    <xf numFmtId="0" fontId="56" fillId="22" borderId="0" xfId="0" applyFont="1" applyFill="1"/>
    <xf numFmtId="37" fontId="56" fillId="22" borderId="0" xfId="0" applyNumberFormat="1" applyFont="1" applyFill="1"/>
    <xf numFmtId="0" fontId="54" fillId="22" borderId="0" xfId="0" applyFont="1" applyFill="1"/>
    <xf numFmtId="0" fontId="53" fillId="22" borderId="0" xfId="0" applyFont="1" applyFill="1"/>
    <xf numFmtId="0" fontId="52" fillId="22" borderId="0" xfId="0" applyFont="1" applyFill="1"/>
    <xf numFmtId="168" fontId="54" fillId="22" borderId="0" xfId="0" applyNumberFormat="1" applyFont="1" applyFill="1" applyAlignment="1">
      <alignment horizontal="left"/>
    </xf>
    <xf numFmtId="0" fontId="43" fillId="22" borderId="108" xfId="0" applyFont="1" applyFill="1" applyBorder="1" applyAlignment="1">
      <alignment horizontal="center"/>
    </xf>
    <xf numFmtId="0" fontId="43" fillId="22" borderId="109" xfId="0" applyFont="1" applyFill="1" applyBorder="1" applyAlignment="1">
      <alignment horizontal="center"/>
    </xf>
    <xf numFmtId="3" fontId="43" fillId="22" borderId="111" xfId="0" applyNumberFormat="1" applyFont="1" applyFill="1" applyBorder="1" applyAlignment="1" applyProtection="1">
      <alignment horizontal="center"/>
      <protection locked="0"/>
    </xf>
    <xf numFmtId="3" fontId="43" fillId="22" borderId="110" xfId="0" applyNumberFormat="1" applyFont="1" applyFill="1" applyBorder="1"/>
    <xf numFmtId="3" fontId="43" fillId="22" borderId="103" xfId="0" applyNumberFormat="1" applyFont="1" applyFill="1" applyBorder="1"/>
    <xf numFmtId="3" fontId="43" fillId="22" borderId="111" xfId="0" applyNumberFormat="1" applyFont="1" applyFill="1" applyBorder="1"/>
    <xf numFmtId="0" fontId="44" fillId="22" borderId="0" xfId="0" applyFont="1" applyFill="1"/>
    <xf numFmtId="0" fontId="44" fillId="22" borderId="109" xfId="0" applyFont="1" applyFill="1" applyBorder="1"/>
    <xf numFmtId="169" fontId="43" fillId="22" borderId="108" xfId="1" applyNumberFormat="1" applyFont="1" applyFill="1" applyBorder="1"/>
    <xf numFmtId="0" fontId="43" fillId="22" borderId="108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5" xfId="0" applyFont="1" applyFill="1" applyBorder="1" applyAlignment="1">
      <alignment horizontal="center"/>
    </xf>
    <xf numFmtId="169" fontId="44" fillId="23" borderId="134" xfId="0" applyNumberFormat="1" applyFont="1" applyFill="1" applyBorder="1"/>
    <xf numFmtId="0" fontId="44" fillId="23" borderId="132" xfId="0" applyFont="1" applyFill="1" applyBorder="1"/>
    <xf numFmtId="37" fontId="54" fillId="22" borderId="0" xfId="0" applyNumberFormat="1" applyFont="1" applyFill="1"/>
    <xf numFmtId="37" fontId="43" fillId="22" borderId="108" xfId="0" applyNumberFormat="1" applyFont="1" applyFill="1" applyBorder="1"/>
    <xf numFmtId="37" fontId="43" fillId="22" borderId="108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09" xfId="0" applyNumberFormat="1" applyFont="1" applyFill="1" applyBorder="1"/>
    <xf numFmtId="37" fontId="43" fillId="22" borderId="110" xfId="0" applyNumberFormat="1" applyFont="1" applyFill="1" applyBorder="1"/>
    <xf numFmtId="2" fontId="43" fillId="22" borderId="103" xfId="0" applyNumberFormat="1" applyFont="1" applyFill="1" applyBorder="1"/>
    <xf numFmtId="169" fontId="43" fillId="22" borderId="111" xfId="0" applyNumberFormat="1" applyFont="1" applyFill="1" applyBorder="1"/>
    <xf numFmtId="37" fontId="43" fillId="22" borderId="107" xfId="0" applyNumberFormat="1" applyFont="1" applyFill="1" applyBorder="1"/>
    <xf numFmtId="37" fontId="43" fillId="22" borderId="112" xfId="0" applyNumberFormat="1" applyFont="1" applyFill="1" applyBorder="1"/>
    <xf numFmtId="37" fontId="43" fillId="22" borderId="107" xfId="0" applyNumberFormat="1" applyFont="1" applyFill="1" applyBorder="1" applyProtection="1">
      <protection locked="0"/>
    </xf>
    <xf numFmtId="37" fontId="43" fillId="22" borderId="112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08" xfId="0" applyNumberFormat="1" applyFont="1" applyFill="1" applyBorder="1"/>
    <xf numFmtId="170" fontId="44" fillId="22" borderId="0" xfId="0" applyNumberFormat="1" applyFont="1" applyFill="1"/>
    <xf numFmtId="37" fontId="44" fillId="22" borderId="110" xfId="0" applyNumberFormat="1" applyFont="1" applyFill="1" applyBorder="1"/>
    <xf numFmtId="171" fontId="43" fillId="22" borderId="103" xfId="0" applyNumberFormat="1" applyFont="1" applyFill="1" applyBorder="1"/>
    <xf numFmtId="0" fontId="44" fillId="24" borderId="116" xfId="0" applyFont="1" applyFill="1" applyBorder="1"/>
    <xf numFmtId="37" fontId="44" fillId="24" borderId="116" xfId="0" applyNumberFormat="1" applyFont="1" applyFill="1" applyBorder="1"/>
    <xf numFmtId="37" fontId="44" fillId="24" borderId="117" xfId="0" applyNumberFormat="1" applyFont="1" applyFill="1" applyBorder="1"/>
    <xf numFmtId="37" fontId="44" fillId="24" borderId="118" xfId="0" applyNumberFormat="1" applyFont="1" applyFill="1" applyBorder="1"/>
    <xf numFmtId="0" fontId="44" fillId="24" borderId="110" xfId="0" applyFont="1" applyFill="1" applyBorder="1"/>
    <xf numFmtId="37" fontId="44" fillId="24" borderId="110" xfId="0" applyNumberFormat="1" applyFont="1" applyFill="1" applyBorder="1"/>
    <xf numFmtId="39" fontId="44" fillId="24" borderId="103" xfId="0" applyNumberFormat="1" applyFont="1" applyFill="1" applyBorder="1"/>
    <xf numFmtId="169" fontId="44" fillId="22" borderId="109" xfId="0" applyNumberFormat="1" applyFont="1" applyFill="1" applyBorder="1"/>
    <xf numFmtId="0" fontId="44" fillId="24" borderId="107" xfId="0" applyFont="1" applyFill="1" applyBorder="1"/>
    <xf numFmtId="37" fontId="43" fillId="22" borderId="135" xfId="0" applyNumberFormat="1" applyFont="1" applyFill="1" applyBorder="1"/>
    <xf numFmtId="0" fontId="43" fillId="24" borderId="108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6" xfId="0" applyFont="1" applyFill="1" applyBorder="1"/>
    <xf numFmtId="170" fontId="43" fillId="22" borderId="112" xfId="0" applyNumberFormat="1" applyFont="1" applyFill="1" applyBorder="1"/>
    <xf numFmtId="170" fontId="43" fillId="22" borderId="112" xfId="0" applyNumberFormat="1" applyFont="1" applyFill="1" applyBorder="1" applyProtection="1">
      <protection locked="0"/>
    </xf>
    <xf numFmtId="170" fontId="43" fillId="22" borderId="103" xfId="0" applyNumberFormat="1" applyFont="1" applyFill="1" applyBorder="1"/>
    <xf numFmtId="37" fontId="44" fillId="24" borderId="107" xfId="0" applyNumberFormat="1" applyFont="1" applyFill="1" applyBorder="1"/>
    <xf numFmtId="170" fontId="44" fillId="24" borderId="112" xfId="0" applyNumberFormat="1" applyFont="1" applyFill="1" applyBorder="1"/>
    <xf numFmtId="37" fontId="44" fillId="24" borderId="113" xfId="0" applyNumberFormat="1" applyFont="1" applyFill="1" applyBorder="1"/>
    <xf numFmtId="37" fontId="44" fillId="23" borderId="117" xfId="0" applyNumberFormat="1" applyFont="1" applyFill="1" applyBorder="1"/>
    <xf numFmtId="169" fontId="44" fillId="23" borderId="121" xfId="0" applyNumberFormat="1" applyFont="1" applyFill="1" applyBorder="1"/>
    <xf numFmtId="169" fontId="44" fillId="24" borderId="109" xfId="0" applyNumberFormat="1" applyFont="1" applyFill="1" applyBorder="1"/>
    <xf numFmtId="0" fontId="47" fillId="22" borderId="107" xfId="0" applyFont="1" applyFill="1" applyBorder="1"/>
    <xf numFmtId="0" fontId="47" fillId="22" borderId="136" xfId="0" applyFont="1" applyFill="1" applyBorder="1"/>
    <xf numFmtId="0" fontId="44" fillId="23" borderId="137" xfId="0" applyFont="1" applyFill="1" applyBorder="1"/>
    <xf numFmtId="37" fontId="44" fillId="22" borderId="107" xfId="0" applyNumberFormat="1" applyFont="1" applyFill="1" applyBorder="1"/>
    <xf numFmtId="169" fontId="44" fillId="22" borderId="112" xfId="0" applyNumberFormat="1" applyFont="1" applyFill="1" applyBorder="1"/>
    <xf numFmtId="37" fontId="44" fillId="22" borderId="113" xfId="0" applyNumberFormat="1" applyFont="1" applyFill="1" applyBorder="1"/>
    <xf numFmtId="0" fontId="43" fillId="22" borderId="111" xfId="0" applyFont="1" applyFill="1" applyBorder="1"/>
    <xf numFmtId="37" fontId="43" fillId="22" borderId="114" xfId="0" applyNumberFormat="1" applyFont="1" applyFill="1" applyBorder="1"/>
    <xf numFmtId="169" fontId="43" fillId="22" borderId="53" xfId="0" applyNumberFormat="1" applyFont="1" applyFill="1" applyBorder="1"/>
    <xf numFmtId="37" fontId="43" fillId="22" borderId="114" xfId="0" applyNumberFormat="1" applyFont="1" applyFill="1" applyBorder="1" applyProtection="1">
      <protection locked="0"/>
    </xf>
    <xf numFmtId="169" fontId="44" fillId="23" borderId="117" xfId="0" applyNumberFormat="1" applyFont="1" applyFill="1" applyBorder="1"/>
    <xf numFmtId="0" fontId="44" fillId="23" borderId="138" xfId="0" applyFont="1" applyFill="1" applyBorder="1"/>
    <xf numFmtId="37" fontId="44" fillId="23" borderId="138" xfId="0" applyNumberFormat="1" applyFont="1" applyFill="1" applyBorder="1"/>
    <xf numFmtId="170" fontId="44" fillId="23" borderId="139" xfId="0" applyNumberFormat="1" applyFont="1" applyFill="1" applyBorder="1"/>
    <xf numFmtId="37" fontId="44" fillId="23" borderId="140" xfId="0" applyNumberFormat="1" applyFont="1" applyFill="1" applyBorder="1"/>
    <xf numFmtId="37" fontId="44" fillId="24" borderId="108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1" xfId="0" applyFont="1" applyFill="1" applyBorder="1"/>
    <xf numFmtId="0" fontId="43" fillId="23" borderId="141" xfId="0" applyFont="1" applyFill="1" applyBorder="1"/>
    <xf numFmtId="0" fontId="43" fillId="23" borderId="142" xfId="0" applyFont="1" applyFill="1" applyBorder="1"/>
    <xf numFmtId="37" fontId="44" fillId="23" borderId="143" xfId="0" applyNumberFormat="1" applyFont="1" applyFill="1" applyBorder="1"/>
    <xf numFmtId="0" fontId="59" fillId="22" borderId="1" xfId="0" applyFont="1" applyFill="1" applyBorder="1" applyAlignment="1">
      <alignment horizontal="center" vertical="center"/>
    </xf>
    <xf numFmtId="0" fontId="54" fillId="22" borderId="1" xfId="0" applyFont="1" applyFill="1" applyBorder="1" applyAlignment="1">
      <alignment horizontal="center"/>
    </xf>
    <xf numFmtId="0" fontId="54" fillId="22" borderId="120" xfId="0" applyFont="1" applyFill="1" applyBorder="1" applyAlignment="1">
      <alignment horizontal="center"/>
    </xf>
    <xf numFmtId="0" fontId="44" fillId="22" borderId="144" xfId="0" applyFont="1" applyFill="1" applyBorder="1" applyAlignment="1">
      <alignment horizontal="center"/>
    </xf>
    <xf numFmtId="0" fontId="43" fillId="22" borderId="145" xfId="0" applyFont="1" applyFill="1" applyBorder="1"/>
    <xf numFmtId="0" fontId="43" fillId="22" borderId="145" xfId="0" applyFont="1" applyFill="1" applyBorder="1" applyAlignment="1">
      <alignment horizontal="center"/>
    </xf>
    <xf numFmtId="0" fontId="43" fillId="22" borderId="103" xfId="0" applyFont="1" applyFill="1" applyBorder="1" applyAlignment="1">
      <alignment horizontal="center"/>
    </xf>
    <xf numFmtId="0" fontId="43" fillId="22" borderId="146" xfId="0" applyFont="1" applyFill="1" applyBorder="1" applyAlignment="1">
      <alignment horizontal="center"/>
    </xf>
    <xf numFmtId="0" fontId="47" fillId="22" borderId="145" xfId="0" applyFont="1" applyFill="1" applyBorder="1"/>
    <xf numFmtId="37" fontId="47" fillId="22" borderId="145" xfId="0" applyNumberFormat="1" applyFont="1" applyFill="1" applyBorder="1"/>
    <xf numFmtId="37" fontId="47" fillId="22" borderId="103" xfId="0" applyNumberFormat="1" applyFont="1" applyFill="1" applyBorder="1"/>
    <xf numFmtId="37" fontId="47" fillId="22" borderId="146" xfId="0" applyNumberFormat="1" applyFont="1" applyFill="1" applyBorder="1"/>
    <xf numFmtId="0" fontId="59" fillId="23" borderId="145" xfId="0" applyFont="1" applyFill="1" applyBorder="1"/>
    <xf numFmtId="37" fontId="59" fillId="23" borderId="145" xfId="0" applyNumberFormat="1" applyFont="1" applyFill="1" applyBorder="1"/>
    <xf numFmtId="37" fontId="59" fillId="23" borderId="103" xfId="0" applyNumberFormat="1" applyFont="1" applyFill="1" applyBorder="1"/>
    <xf numFmtId="37" fontId="59" fillId="23" borderId="146" xfId="0" applyNumberFormat="1" applyFont="1" applyFill="1" applyBorder="1"/>
    <xf numFmtId="0" fontId="59" fillId="22" borderId="70" xfId="0" applyFont="1" applyFill="1" applyBorder="1"/>
    <xf numFmtId="37" fontId="47" fillId="22" borderId="70" xfId="0" applyNumberFormat="1" applyFont="1" applyFill="1" applyBorder="1"/>
    <xf numFmtId="0" fontId="47" fillId="22" borderId="1" xfId="0" applyFont="1" applyFill="1" applyBorder="1"/>
    <xf numFmtId="37" fontId="47" fillId="22" borderId="55" xfId="0" applyNumberFormat="1" applyFont="1" applyFill="1" applyBorder="1"/>
    <xf numFmtId="0" fontId="47" fillId="22" borderId="70" xfId="0" applyFont="1" applyFill="1" applyBorder="1"/>
    <xf numFmtId="169" fontId="47" fillId="22" borderId="70" xfId="1" applyNumberFormat="1" applyFont="1" applyFill="1" applyBorder="1"/>
    <xf numFmtId="170" fontId="47" fillId="22" borderId="1" xfId="0" applyNumberFormat="1" applyFont="1" applyFill="1" applyBorder="1"/>
    <xf numFmtId="169" fontId="47" fillId="22" borderId="145" xfId="1" applyNumberFormat="1" applyFont="1" applyFill="1" applyBorder="1"/>
    <xf numFmtId="170" fontId="47" fillId="22" borderId="103" xfId="0" applyNumberFormat="1" applyFont="1" applyFill="1" applyBorder="1"/>
    <xf numFmtId="0" fontId="43" fillId="22" borderId="70" xfId="0" applyFont="1" applyFill="1" applyBorder="1"/>
    <xf numFmtId="0" fontId="59" fillId="23" borderId="147" xfId="0" applyFont="1" applyFill="1" applyBorder="1"/>
    <xf numFmtId="169" fontId="59" fillId="23" borderId="147" xfId="0" applyNumberFormat="1" applyFont="1" applyFill="1" applyBorder="1"/>
    <xf numFmtId="0" fontId="59" fillId="23" borderId="123" xfId="0" applyFont="1" applyFill="1" applyBorder="1"/>
    <xf numFmtId="37" fontId="59" fillId="23" borderId="148" xfId="0" applyNumberFormat="1" applyFont="1" applyFill="1" applyBorder="1"/>
    <xf numFmtId="37" fontId="47" fillId="22" borderId="55" xfId="0" applyNumberFormat="1" applyFont="1" applyFill="1" applyBorder="1" applyProtection="1">
      <protection locked="0"/>
    </xf>
    <xf numFmtId="0" fontId="47" fillId="24" borderId="70" xfId="0" applyFont="1" applyFill="1" applyBorder="1"/>
    <xf numFmtId="170" fontId="59" fillId="23" borderId="123" xfId="0" applyNumberFormat="1" applyFont="1" applyFill="1" applyBorder="1"/>
    <xf numFmtId="0" fontId="47" fillId="22" borderId="149" xfId="0" applyFont="1" applyFill="1" applyBorder="1"/>
    <xf numFmtId="170" fontId="47" fillId="22" borderId="112" xfId="0" applyNumberFormat="1" applyFont="1" applyFill="1" applyBorder="1"/>
    <xf numFmtId="37" fontId="47" fillId="22" borderId="150" xfId="0" applyNumberFormat="1" applyFont="1" applyFill="1" applyBorder="1"/>
    <xf numFmtId="37" fontId="47" fillId="22" borderId="146" xfId="0" applyNumberFormat="1" applyFont="1" applyFill="1" applyBorder="1" applyProtection="1">
      <protection locked="0"/>
    </xf>
    <xf numFmtId="0" fontId="47" fillId="22" borderId="55" xfId="0" applyFont="1" applyFill="1" applyBorder="1"/>
    <xf numFmtId="169" fontId="59" fillId="22" borderId="149" xfId="0" applyNumberFormat="1" applyFont="1" applyFill="1" applyBorder="1"/>
    <xf numFmtId="0" fontId="59" fillId="22" borderId="112" xfId="0" applyFont="1" applyFill="1" applyBorder="1"/>
    <xf numFmtId="37" fontId="47" fillId="24" borderId="150" xfId="0" applyNumberFormat="1" applyFont="1" applyFill="1" applyBorder="1"/>
    <xf numFmtId="169" fontId="59" fillId="22" borderId="70" xfId="0" applyNumberFormat="1" applyFont="1" applyFill="1" applyBorder="1"/>
    <xf numFmtId="0" fontId="59" fillId="22" borderId="1" xfId="0" applyFont="1" applyFill="1" applyBorder="1"/>
    <xf numFmtId="169" fontId="59" fillId="22" borderId="145" xfId="0" applyNumberFormat="1" applyFont="1" applyFill="1" applyBorder="1"/>
    <xf numFmtId="0" fontId="47" fillId="23" borderId="123" xfId="0" applyFont="1" applyFill="1" applyBorder="1"/>
    <xf numFmtId="0" fontId="59" fillId="24" borderId="149" xfId="0" applyFont="1" applyFill="1" applyBorder="1"/>
    <xf numFmtId="0" fontId="47" fillId="24" borderId="112" xfId="0" applyFont="1" applyFill="1" applyBorder="1"/>
    <xf numFmtId="0" fontId="59" fillId="23" borderId="151" xfId="0" applyFont="1" applyFill="1" applyBorder="1"/>
    <xf numFmtId="0" fontId="59" fillId="23" borderId="151" xfId="0" applyFont="1" applyFill="1" applyBorder="1" applyAlignment="1">
      <alignment horizontal="center"/>
    </xf>
    <xf numFmtId="169" fontId="59" fillId="23" borderId="152" xfId="0" applyNumberFormat="1" applyFont="1" applyFill="1" applyBorder="1"/>
    <xf numFmtId="37" fontId="59" fillId="23" borderId="153" xfId="0" applyNumberFormat="1" applyFont="1" applyFill="1" applyBorder="1"/>
    <xf numFmtId="0" fontId="59" fillId="23" borderId="154" xfId="0" applyFont="1" applyFill="1" applyBorder="1" applyAlignment="1">
      <alignment horizontal="center"/>
    </xf>
    <xf numFmtId="169" fontId="59" fillId="23" borderId="142" xfId="0" applyNumberFormat="1" applyFont="1" applyFill="1" applyBorder="1"/>
    <xf numFmtId="37" fontId="59" fillId="23" borderId="155" xfId="0" applyNumberFormat="1" applyFont="1" applyFill="1" applyBorder="1"/>
    <xf numFmtId="39" fontId="47" fillId="22" borderId="0" xfId="0" applyNumberFormat="1" applyFont="1" applyFill="1"/>
    <xf numFmtId="0" fontId="59" fillId="23" borderId="156" xfId="0" applyFont="1" applyFill="1" applyBorder="1"/>
    <xf numFmtId="0" fontId="59" fillId="23" borderId="158" xfId="0" applyFont="1" applyFill="1" applyBorder="1" applyAlignment="1">
      <alignment horizontal="center"/>
    </xf>
    <xf numFmtId="169" fontId="59" fillId="23" borderId="157" xfId="0" applyNumberFormat="1" applyFont="1" applyFill="1" applyBorder="1"/>
    <xf numFmtId="37" fontId="59" fillId="23" borderId="159" xfId="0" applyNumberFormat="1" applyFont="1" applyFill="1" applyBorder="1"/>
    <xf numFmtId="0" fontId="58" fillId="22" borderId="160" xfId="0" applyFont="1" applyFill="1" applyBorder="1"/>
    <xf numFmtId="0" fontId="58" fillId="22" borderId="70" xfId="0" applyFont="1" applyFill="1" applyBorder="1"/>
    <xf numFmtId="0" fontId="58" fillId="22" borderId="1" xfId="0" applyFont="1" applyFill="1" applyBorder="1"/>
    <xf numFmtId="0" fontId="58" fillId="22" borderId="55" xfId="0" applyFont="1" applyFill="1" applyBorder="1"/>
    <xf numFmtId="0" fontId="47" fillId="22" borderId="160" xfId="0" applyFont="1" applyFill="1" applyBorder="1"/>
    <xf numFmtId="0" fontId="54" fillId="22" borderId="70" xfId="0" applyFont="1" applyFill="1" applyBorder="1"/>
    <xf numFmtId="0" fontId="43" fillId="22" borderId="1" xfId="0" applyFont="1" applyFill="1" applyBorder="1"/>
    <xf numFmtId="0" fontId="44" fillId="22" borderId="70" xfId="0" applyFont="1" applyFill="1" applyBorder="1"/>
    <xf numFmtId="0" fontId="44" fillId="22" borderId="1" xfId="0" applyFont="1" applyFill="1" applyBorder="1"/>
    <xf numFmtId="0" fontId="43" fillId="22" borderId="160" xfId="0" applyFont="1" applyFill="1" applyBorder="1"/>
    <xf numFmtId="0" fontId="43" fillId="22" borderId="162" xfId="0" applyFont="1" applyFill="1" applyBorder="1"/>
    <xf numFmtId="0" fontId="59" fillId="23" borderId="163" xfId="0" applyFont="1" applyFill="1" applyBorder="1"/>
    <xf numFmtId="0" fontId="59" fillId="23" borderId="165" xfId="0" applyFont="1" applyFill="1" applyBorder="1" applyAlignment="1">
      <alignment horizontal="center"/>
    </xf>
    <xf numFmtId="169" fontId="59" fillId="23" borderId="164" xfId="0" applyNumberFormat="1" applyFont="1" applyFill="1" applyBorder="1"/>
    <xf numFmtId="37" fontId="59" fillId="23" borderId="166" xfId="0" applyNumberFormat="1" applyFont="1" applyFill="1" applyBorder="1"/>
    <xf numFmtId="167" fontId="59" fillId="23" borderId="123" xfId="5" applyNumberFormat="1" applyFont="1" applyFill="1" applyBorder="1"/>
    <xf numFmtId="0" fontId="59" fillId="23" borderId="157" xfId="0" applyFont="1" applyFill="1" applyBorder="1" applyAlignment="1">
      <alignment horizontal="center"/>
    </xf>
    <xf numFmtId="37" fontId="59" fillId="23" borderId="157" xfId="0" applyNumberFormat="1" applyFont="1" applyFill="1" applyBorder="1"/>
    <xf numFmtId="37" fontId="47" fillId="22" borderId="1" xfId="0" applyNumberFormat="1" applyFont="1" applyFill="1" applyBorder="1"/>
    <xf numFmtId="0" fontId="54" fillId="22" borderId="1" xfId="0" applyFont="1" applyFill="1" applyBorder="1"/>
    <xf numFmtId="0" fontId="59" fillId="23" borderId="164" xfId="0" applyFont="1" applyFill="1" applyBorder="1" applyAlignment="1">
      <alignment horizontal="center"/>
    </xf>
    <xf numFmtId="37" fontId="59" fillId="23" borderId="164" xfId="0" applyNumberFormat="1" applyFont="1" applyFill="1" applyBorder="1"/>
    <xf numFmtId="49" fontId="73" fillId="13" borderId="1" xfId="6" applyNumberFormat="1" applyFont="1" applyFill="1" applyAlignment="1">
      <alignment horizontal="left" vertical="center"/>
    </xf>
    <xf numFmtId="174" fontId="73" fillId="13" borderId="1" xfId="6" applyNumberFormat="1" applyFont="1" applyFill="1" applyAlignment="1">
      <alignment horizontal="right" vertical="center"/>
    </xf>
    <xf numFmtId="49" fontId="4" fillId="13" borderId="1" xfId="6" applyNumberFormat="1" applyFill="1" applyAlignment="1">
      <alignment horizontal="left" vertical="center"/>
    </xf>
    <xf numFmtId="174" fontId="4" fillId="13" borderId="1" xfId="6" applyNumberFormat="1" applyFill="1" applyAlignment="1">
      <alignment horizontal="right" vertical="center"/>
    </xf>
    <xf numFmtId="0" fontId="4" fillId="13" borderId="1" xfId="6" applyFill="1"/>
    <xf numFmtId="0" fontId="0" fillId="13" borderId="0" xfId="0" applyFont="1" applyFill="1" applyAlignment="1"/>
    <xf numFmtId="49" fontId="40" fillId="10" borderId="47" xfId="0" applyNumberFormat="1" applyFont="1" applyFill="1" applyBorder="1" applyAlignment="1">
      <alignment horizontal="left" vertical="top"/>
    </xf>
    <xf numFmtId="49" fontId="40" fillId="10" borderId="44" xfId="0" applyNumberFormat="1" applyFont="1" applyFill="1" applyBorder="1" applyAlignment="1">
      <alignment horizontal="left" vertical="top"/>
    </xf>
    <xf numFmtId="1" fontId="40" fillId="14" borderId="47" xfId="0" applyNumberFormat="1" applyFont="1" applyFill="1" applyBorder="1" applyAlignment="1">
      <alignment horizontal="left" vertical="top"/>
    </xf>
    <xf numFmtId="49" fontId="40" fillId="10" borderId="1" xfId="0" applyNumberFormat="1" applyFont="1" applyFill="1" applyBorder="1" applyAlignment="1">
      <alignment horizontal="left" vertical="top"/>
    </xf>
    <xf numFmtId="0" fontId="40" fillId="10" borderId="45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37" fillId="25" borderId="0" xfId="0" applyFont="1" applyFill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0" fontId="39" fillId="10" borderId="48" xfId="0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39" fontId="39" fillId="10" borderId="46" xfId="0" applyNumberFormat="1" applyFont="1" applyFill="1" applyBorder="1" applyAlignment="1">
      <alignment horizontal="left" vertical="top"/>
    </xf>
    <xf numFmtId="0" fontId="40" fillId="10" borderId="44" xfId="0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0" fillId="10" borderId="0" xfId="0" applyFont="1" applyFill="1" applyAlignment="1">
      <alignment horizontal="left" vertical="top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0" fillId="0" borderId="0" xfId="0"/>
    <xf numFmtId="0" fontId="3" fillId="13" borderId="1" xfId="7" applyFill="1"/>
    <xf numFmtId="174" fontId="3" fillId="13" borderId="1" xfId="7" applyNumberFormat="1" applyFill="1" applyAlignment="1">
      <alignment horizontal="righ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top"/>
    </xf>
    <xf numFmtId="0" fontId="8" fillId="13" borderId="1" xfId="0" applyFont="1" applyFill="1" applyBorder="1"/>
    <xf numFmtId="172" fontId="8" fillId="13" borderId="1" xfId="0" applyNumberFormat="1" applyFont="1" applyFill="1" applyBorder="1" applyAlignment="1">
      <alignment horizontal="right" vertical="center"/>
    </xf>
    <xf numFmtId="169" fontId="18" fillId="0" borderId="12" xfId="1" applyNumberFormat="1" applyFont="1" applyBorder="1"/>
    <xf numFmtId="169" fontId="18" fillId="0" borderId="13" xfId="1" applyNumberFormat="1" applyFont="1" applyBorder="1"/>
    <xf numFmtId="3" fontId="17" fillId="0" borderId="0" xfId="0" applyNumberFormat="1" applyFont="1" applyFill="1"/>
    <xf numFmtId="3" fontId="18" fillId="0" borderId="0" xfId="0" applyNumberFormat="1" applyFont="1" applyFill="1"/>
    <xf numFmtId="167" fontId="18" fillId="0" borderId="15" xfId="5" applyNumberFormat="1" applyFont="1" applyBorder="1"/>
    <xf numFmtId="6" fontId="18" fillId="0" borderId="0" xfId="0" applyNumberFormat="1" applyFont="1" applyFill="1"/>
    <xf numFmtId="10" fontId="0" fillId="0" borderId="0" xfId="0" applyNumberFormat="1"/>
    <xf numFmtId="0" fontId="74" fillId="0" borderId="0" xfId="0" applyFont="1"/>
    <xf numFmtId="10" fontId="74" fillId="0" borderId="0" xfId="0" applyNumberFormat="1" applyFont="1"/>
    <xf numFmtId="3" fontId="43" fillId="0" borderId="15" xfId="0" applyNumberFormat="1" applyFont="1" applyFill="1" applyBorder="1"/>
    <xf numFmtId="169" fontId="19" fillId="0" borderId="1" xfId="0" applyNumberFormat="1" applyFont="1" applyFill="1" applyBorder="1"/>
    <xf numFmtId="3" fontId="18" fillId="26" borderId="12" xfId="0" applyNumberFormat="1" applyFont="1" applyFill="1" applyBorder="1"/>
    <xf numFmtId="0" fontId="19" fillId="0" borderId="88" xfId="0" applyFont="1" applyBorder="1" applyAlignment="1">
      <alignment horizontal="center" vertical="center"/>
    </xf>
    <xf numFmtId="0" fontId="70" fillId="27" borderId="170" xfId="3" applyFont="1" applyFill="1" applyBorder="1" applyAlignment="1">
      <alignment horizontal="center"/>
    </xf>
    <xf numFmtId="0" fontId="70" fillId="27" borderId="177" xfId="3" applyFont="1" applyFill="1" applyBorder="1" applyAlignment="1">
      <alignment horizontal="center"/>
    </xf>
    <xf numFmtId="0" fontId="70" fillId="27" borderId="127" xfId="3" applyFont="1" applyFill="1" applyBorder="1" applyAlignment="1">
      <alignment horizontal="center"/>
    </xf>
    <xf numFmtId="0" fontId="70" fillId="27" borderId="178" xfId="3" applyFont="1" applyFill="1" applyBorder="1" applyAlignment="1">
      <alignment horizontal="center"/>
    </xf>
    <xf numFmtId="0" fontId="70" fillId="27" borderId="171" xfId="3" applyFont="1" applyFill="1" applyBorder="1" applyAlignment="1">
      <alignment horizontal="center"/>
    </xf>
    <xf numFmtId="0" fontId="5" fillId="0" borderId="172" xfId="3" applyBorder="1" applyAlignment="1">
      <alignment horizontal="left"/>
    </xf>
    <xf numFmtId="165" fontId="5" fillId="0" borderId="200" xfId="3" applyNumberFormat="1" applyBorder="1" applyAlignment="1">
      <alignment horizontal="center"/>
    </xf>
    <xf numFmtId="165" fontId="5" fillId="0" borderId="184" xfId="3" applyNumberFormat="1" applyBorder="1" applyAlignment="1">
      <alignment horizontal="center"/>
    </xf>
    <xf numFmtId="165" fontId="5" fillId="0" borderId="201" xfId="3" applyNumberFormat="1" applyBorder="1" applyAlignment="1">
      <alignment horizontal="center"/>
    </xf>
    <xf numFmtId="2" fontId="5" fillId="0" borderId="161" xfId="3" applyNumberFormat="1" applyBorder="1" applyAlignment="1">
      <alignment horizontal="center"/>
    </xf>
    <xf numFmtId="2" fontId="5" fillId="0" borderId="181" xfId="3" applyNumberFormat="1" applyBorder="1" applyAlignment="1">
      <alignment horizontal="center"/>
    </xf>
    <xf numFmtId="2" fontId="5" fillId="0" borderId="173" xfId="3" applyNumberFormat="1" applyBorder="1" applyAlignment="1">
      <alignment horizontal="center"/>
    </xf>
    <xf numFmtId="165" fontId="5" fillId="0" borderId="161" xfId="3" applyNumberFormat="1" applyBorder="1" applyAlignment="1">
      <alignment horizontal="center"/>
    </xf>
    <xf numFmtId="165" fontId="5" fillId="0" borderId="181" xfId="3" applyNumberFormat="1" applyBorder="1" applyAlignment="1">
      <alignment horizontal="center"/>
    </xf>
    <xf numFmtId="165" fontId="5" fillId="0" borderId="173" xfId="3" applyNumberFormat="1" applyBorder="1" applyAlignment="1">
      <alignment horizontal="center"/>
    </xf>
    <xf numFmtId="0" fontId="5" fillId="0" borderId="174" xfId="3" applyBorder="1" applyAlignment="1">
      <alignment horizontal="left"/>
    </xf>
    <xf numFmtId="2" fontId="5" fillId="0" borderId="175" xfId="3" applyNumberFormat="1" applyBorder="1" applyAlignment="1">
      <alignment horizontal="center"/>
    </xf>
    <xf numFmtId="2" fontId="5" fillId="0" borderId="187" xfId="3" applyNumberFormat="1" applyBorder="1" applyAlignment="1">
      <alignment horizontal="center"/>
    </xf>
    <xf numFmtId="2" fontId="5" fillId="0" borderId="176" xfId="3" applyNumberFormat="1" applyBorder="1" applyAlignment="1">
      <alignment horizontal="center"/>
    </xf>
    <xf numFmtId="0" fontId="70" fillId="0" borderId="1" xfId="3" applyFont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NumberFormat="1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49" fontId="2" fillId="13" borderId="1" xfId="8" applyNumberFormat="1" applyFill="1" applyAlignment="1">
      <alignment horizontal="left" vertical="center"/>
    </xf>
    <xf numFmtId="0" fontId="2" fillId="13" borderId="1" xfId="8" applyFill="1"/>
    <xf numFmtId="174" fontId="2" fillId="13" borderId="1" xfId="8" applyNumberFormat="1" applyFill="1" applyAlignment="1">
      <alignment horizontal="right" vertical="center"/>
    </xf>
    <xf numFmtId="49" fontId="8" fillId="5" borderId="47" xfId="0" applyNumberFormat="1" applyFont="1" applyFill="1" applyBorder="1" applyAlignment="1">
      <alignment horizontal="left" vertical="center"/>
    </xf>
    <xf numFmtId="1" fontId="40" fillId="10" borderId="1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49" fontId="40" fillId="13" borderId="47" xfId="0" applyNumberFormat="1" applyFont="1" applyFill="1" applyBorder="1" applyAlignment="1">
      <alignment horizontal="left" vertical="top"/>
    </xf>
    <xf numFmtId="49" fontId="40" fillId="10" borderId="202" xfId="0" applyNumberFormat="1" applyFont="1" applyFill="1" applyBorder="1" applyAlignment="1">
      <alignment horizontal="left" vertical="top"/>
    </xf>
    <xf numFmtId="0" fontId="39" fillId="10" borderId="202" xfId="0" applyFont="1" applyFill="1" applyBorder="1" applyAlignment="1">
      <alignment horizontal="left" vertical="top"/>
    </xf>
    <xf numFmtId="0" fontId="39" fillId="10" borderId="43" xfId="0" applyFont="1" applyFill="1" applyBorder="1" applyAlignment="1">
      <alignment horizontal="left" vertical="top"/>
    </xf>
    <xf numFmtId="1" fontId="40" fillId="10" borderId="202" xfId="0" applyNumberFormat="1" applyFont="1" applyFill="1" applyBorder="1" applyAlignment="1">
      <alignment horizontal="left" vertical="top"/>
    </xf>
    <xf numFmtId="49" fontId="39" fillId="10" borderId="203" xfId="0" applyNumberFormat="1" applyFont="1" applyFill="1" applyBorder="1" applyAlignment="1">
      <alignment horizontal="left" vertical="top"/>
    </xf>
    <xf numFmtId="0" fontId="39" fillId="10" borderId="203" xfId="0" applyFont="1" applyFill="1" applyBorder="1" applyAlignment="1">
      <alignment horizontal="left" vertical="top"/>
    </xf>
    <xf numFmtId="49" fontId="39" fillId="10" borderId="202" xfId="0" applyNumberFormat="1" applyFont="1" applyFill="1" applyBorder="1" applyAlignment="1">
      <alignment horizontal="left" vertical="top"/>
    </xf>
    <xf numFmtId="49" fontId="39" fillId="10" borderId="204" xfId="0" applyNumberFormat="1" applyFont="1" applyFill="1" applyBorder="1" applyAlignment="1">
      <alignment horizontal="left" vertical="top"/>
    </xf>
    <xf numFmtId="0" fontId="40" fillId="10" borderId="202" xfId="0" applyFont="1" applyFill="1" applyBorder="1" applyAlignment="1">
      <alignment horizontal="left" vertical="top"/>
    </xf>
    <xf numFmtId="39" fontId="39" fillId="10" borderId="204" xfId="0" applyNumberFormat="1" applyFont="1" applyFill="1" applyBorder="1" applyAlignment="1">
      <alignment horizontal="left" vertical="top"/>
    </xf>
    <xf numFmtId="39" fontId="39" fillId="10" borderId="202" xfId="0" applyNumberFormat="1" applyFont="1" applyFill="1" applyBorder="1" applyAlignment="1">
      <alignment horizontal="left" vertical="top"/>
    </xf>
    <xf numFmtId="0" fontId="39" fillId="10" borderId="204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37" fontId="75" fillId="0" borderId="0" xfId="0" applyNumberFormat="1" applyFont="1"/>
    <xf numFmtId="37" fontId="21" fillId="0" borderId="32" xfId="0" applyNumberFormat="1" applyFont="1" applyFill="1" applyBorder="1"/>
    <xf numFmtId="4" fontId="2" fillId="13" borderId="1" xfId="8" applyNumberFormat="1" applyFill="1"/>
    <xf numFmtId="4" fontId="4" fillId="13" borderId="1" xfId="6" applyNumberFormat="1" applyFill="1"/>
    <xf numFmtId="0" fontId="44" fillId="22" borderId="104" xfId="0" applyFont="1" applyFill="1" applyBorder="1"/>
    <xf numFmtId="0" fontId="44" fillId="22" borderId="105" xfId="0" applyFont="1" applyFill="1" applyBorder="1"/>
    <xf numFmtId="0" fontId="44" fillId="22" borderId="106" xfId="0" applyFont="1" applyFill="1" applyBorder="1"/>
    <xf numFmtId="3" fontId="18" fillId="0" borderId="12" xfId="0" applyNumberFormat="1" applyFont="1" applyFill="1" applyBorder="1"/>
    <xf numFmtId="3" fontId="45" fillId="0" borderId="13" xfId="0" applyNumberFormat="1" applyFont="1" applyFill="1" applyBorder="1"/>
    <xf numFmtId="165" fontId="1" fillId="0" borderId="180" xfId="3" applyNumberFormat="1" applyFont="1" applyBorder="1" applyAlignment="1">
      <alignment horizontal="center"/>
    </xf>
    <xf numFmtId="165" fontId="1" fillId="0" borderId="161" xfId="3" applyNumberFormat="1" applyFont="1" applyBorder="1" applyAlignment="1">
      <alignment horizontal="center"/>
    </xf>
    <xf numFmtId="165" fontId="1" fillId="0" borderId="181" xfId="3" applyNumberFormat="1" applyFont="1" applyBorder="1" applyAlignment="1">
      <alignment horizontal="center"/>
    </xf>
    <xf numFmtId="165" fontId="1" fillId="0" borderId="173" xfId="3" applyNumberFormat="1" applyFont="1" applyBorder="1" applyAlignment="1">
      <alignment horizontal="center"/>
    </xf>
    <xf numFmtId="9" fontId="1" fillId="0" borderId="180" xfId="4" applyFont="1" applyBorder="1" applyAlignment="1">
      <alignment horizontal="center"/>
    </xf>
    <xf numFmtId="9" fontId="1" fillId="0" borderId="181" xfId="4" applyFont="1" applyBorder="1" applyAlignment="1">
      <alignment horizontal="center"/>
    </xf>
    <xf numFmtId="9" fontId="1" fillId="0" borderId="182" xfId="4" applyFont="1" applyBorder="1" applyAlignment="1">
      <alignment horizontal="center"/>
    </xf>
    <xf numFmtId="9" fontId="1" fillId="0" borderId="180" xfId="4" applyFont="1" applyFill="1" applyBorder="1" applyAlignment="1">
      <alignment horizontal="center"/>
    </xf>
    <xf numFmtId="2" fontId="1" fillId="0" borderId="161" xfId="4" applyNumberFormat="1" applyFont="1" applyBorder="1" applyAlignment="1">
      <alignment horizontal="center"/>
    </xf>
    <xf numFmtId="2" fontId="1" fillId="0" borderId="181" xfId="4" applyNumberFormat="1" applyFont="1" applyBorder="1" applyAlignment="1">
      <alignment horizontal="center"/>
    </xf>
    <xf numFmtId="2" fontId="1" fillId="0" borderId="173" xfId="4" applyNumberFormat="1" applyFont="1" applyBorder="1" applyAlignment="1">
      <alignment horizontal="center"/>
    </xf>
    <xf numFmtId="9" fontId="1" fillId="0" borderId="161" xfId="4" applyFont="1" applyBorder="1" applyAlignment="1">
      <alignment horizontal="center"/>
    </xf>
    <xf numFmtId="9" fontId="1" fillId="0" borderId="173" xfId="4" applyFont="1" applyBorder="1" applyAlignment="1">
      <alignment horizontal="center"/>
    </xf>
    <xf numFmtId="0" fontId="1" fillId="0" borderId="190" xfId="3" applyFont="1" applyBorder="1"/>
    <xf numFmtId="165" fontId="1" fillId="0" borderId="193" xfId="3" applyNumberFormat="1" applyFont="1" applyBorder="1" applyAlignment="1">
      <alignment horizontal="center"/>
    </xf>
    <xf numFmtId="165" fontId="1" fillId="0" borderId="191" xfId="3" applyNumberFormat="1" applyFont="1" applyBorder="1" applyAlignment="1">
      <alignment horizontal="center"/>
    </xf>
    <xf numFmtId="165" fontId="1" fillId="0" borderId="194" xfId="3" applyNumberFormat="1" applyFont="1" applyBorder="1" applyAlignment="1">
      <alignment horizontal="center"/>
    </xf>
    <xf numFmtId="9" fontId="1" fillId="0" borderId="190" xfId="4" applyFont="1" applyBorder="1" applyAlignment="1">
      <alignment horizontal="center"/>
    </xf>
    <xf numFmtId="9" fontId="1" fillId="0" borderId="191" xfId="4" applyFont="1" applyBorder="1" applyAlignment="1">
      <alignment horizontal="center"/>
    </xf>
    <xf numFmtId="9" fontId="1" fillId="0" borderId="192" xfId="4" applyFont="1" applyBorder="1" applyAlignment="1">
      <alignment horizontal="center"/>
    </xf>
    <xf numFmtId="0" fontId="1" fillId="13" borderId="180" xfId="3" applyFont="1" applyFill="1" applyBorder="1" applyAlignment="1">
      <alignment horizontal="center"/>
    </xf>
    <xf numFmtId="165" fontId="1" fillId="13" borderId="186" xfId="3" applyNumberFormat="1" applyFont="1" applyFill="1" applyBorder="1" applyAlignment="1">
      <alignment horizontal="center"/>
    </xf>
    <xf numFmtId="165" fontId="1" fillId="0" borderId="175" xfId="3" applyNumberFormat="1" applyFont="1" applyBorder="1" applyAlignment="1">
      <alignment horizontal="center"/>
    </xf>
    <xf numFmtId="165" fontId="1" fillId="0" borderId="187" xfId="3" applyNumberFormat="1" applyFont="1" applyBorder="1" applyAlignment="1">
      <alignment horizontal="center"/>
    </xf>
    <xf numFmtId="165" fontId="1" fillId="0" borderId="176" xfId="3" applyNumberFormat="1" applyFont="1" applyBorder="1" applyAlignment="1">
      <alignment horizontal="center"/>
    </xf>
    <xf numFmtId="9" fontId="1" fillId="0" borderId="186" xfId="4" applyFont="1" applyBorder="1" applyAlignment="1">
      <alignment horizontal="center"/>
    </xf>
    <xf numFmtId="9" fontId="1" fillId="0" borderId="187" xfId="4" applyFont="1" applyBorder="1" applyAlignment="1">
      <alignment horizontal="center"/>
    </xf>
    <xf numFmtId="9" fontId="1" fillId="0" borderId="188" xfId="4" applyFont="1" applyBorder="1" applyAlignment="1">
      <alignment horizontal="center"/>
    </xf>
    <xf numFmtId="0" fontId="1" fillId="0" borderId="1" xfId="3" applyFont="1"/>
    <xf numFmtId="165" fontId="1" fillId="0" borderId="180" xfId="4" applyNumberFormat="1" applyFont="1" applyFill="1" applyBorder="1" applyAlignment="1">
      <alignment horizontal="center"/>
    </xf>
    <xf numFmtId="9" fontId="1" fillId="0" borderId="180" xfId="1" applyFont="1" applyBorder="1" applyAlignment="1">
      <alignment horizontal="center"/>
    </xf>
    <xf numFmtId="2" fontId="1" fillId="0" borderId="161" xfId="3" applyNumberFormat="1" applyFont="1" applyBorder="1" applyAlignment="1">
      <alignment horizontal="center"/>
    </xf>
    <xf numFmtId="2" fontId="1" fillId="0" borderId="181" xfId="3" applyNumberFormat="1" applyFont="1" applyBorder="1" applyAlignment="1">
      <alignment horizontal="center"/>
    </xf>
    <xf numFmtId="2" fontId="1" fillId="0" borderId="173" xfId="3" applyNumberFormat="1" applyFont="1" applyBorder="1" applyAlignment="1">
      <alignment horizontal="center"/>
    </xf>
    <xf numFmtId="165" fontId="1" fillId="0" borderId="186" xfId="3" applyNumberFormat="1" applyFont="1" applyBorder="1" applyAlignment="1">
      <alignment horizontal="center"/>
    </xf>
    <xf numFmtId="0" fontId="1" fillId="0" borderId="172" xfId="3" applyFont="1" applyBorder="1" applyAlignment="1">
      <alignment horizontal="left" indent="1"/>
    </xf>
    <xf numFmtId="0" fontId="1" fillId="0" borderId="172" xfId="3" applyFont="1" applyBorder="1" applyAlignment="1">
      <alignment horizontal="left"/>
    </xf>
    <xf numFmtId="0" fontId="1" fillId="13" borderId="172" xfId="3" applyFont="1" applyFill="1" applyBorder="1" applyAlignment="1">
      <alignment horizontal="left"/>
    </xf>
    <xf numFmtId="1" fontId="1" fillId="13" borderId="180" xfId="3" applyNumberFormat="1" applyFont="1" applyFill="1" applyBorder="1" applyAlignment="1">
      <alignment horizontal="center"/>
    </xf>
    <xf numFmtId="1" fontId="1" fillId="0" borderId="161" xfId="3" applyNumberFormat="1" applyFont="1" applyBorder="1" applyAlignment="1">
      <alignment horizontal="center"/>
    </xf>
    <xf numFmtId="1" fontId="1" fillId="0" borderId="181" xfId="3" applyNumberFormat="1" applyFont="1" applyBorder="1" applyAlignment="1">
      <alignment horizontal="center"/>
    </xf>
    <xf numFmtId="1" fontId="1" fillId="0" borderId="173" xfId="3" applyNumberFormat="1" applyFont="1" applyBorder="1" applyAlignment="1">
      <alignment horizontal="center"/>
    </xf>
    <xf numFmtId="0" fontId="1" fillId="0" borderId="174" xfId="3" applyFont="1" applyBorder="1" applyAlignment="1">
      <alignment horizontal="left"/>
    </xf>
    <xf numFmtId="165" fontId="1" fillId="0" borderId="180" xfId="1" applyNumberFormat="1" applyFont="1" applyBorder="1" applyAlignment="1">
      <alignment horizontal="center"/>
    </xf>
    <xf numFmtId="169" fontId="1" fillId="0" borderId="180" xfId="1" applyNumberFormat="1" applyFont="1" applyBorder="1" applyAlignment="1">
      <alignment horizontal="center"/>
    </xf>
    <xf numFmtId="169" fontId="1" fillId="0" borderId="186" xfId="1" applyNumberFormat="1" applyFont="1" applyBorder="1" applyAlignment="1">
      <alignment horizontal="center"/>
    </xf>
    <xf numFmtId="3" fontId="17" fillId="0" borderId="0" xfId="0" applyNumberFormat="1" applyFont="1"/>
    <xf numFmtId="43" fontId="17" fillId="0" borderId="0" xfId="5" applyFont="1" applyFill="1"/>
    <xf numFmtId="0" fontId="18" fillId="26" borderId="1" xfId="0" applyFont="1" applyFill="1" applyBorder="1"/>
    <xf numFmtId="0" fontId="7" fillId="29" borderId="208" xfId="0" applyFont="1" applyFill="1" applyBorder="1" applyAlignment="1">
      <alignment horizontal="center"/>
    </xf>
    <xf numFmtId="0" fontId="7" fillId="30" borderId="208" xfId="0" applyFont="1" applyFill="1" applyBorder="1" applyAlignment="1">
      <alignment horizontal="center"/>
    </xf>
    <xf numFmtId="0" fontId="7" fillId="31" borderId="208" xfId="0" applyFont="1" applyFill="1" applyBorder="1" applyAlignment="1">
      <alignment horizontal="center"/>
    </xf>
    <xf numFmtId="0" fontId="7" fillId="32" borderId="208" xfId="0" applyFont="1" applyFill="1" applyBorder="1" applyAlignment="1">
      <alignment horizontal="center"/>
    </xf>
    <xf numFmtId="0" fontId="7" fillId="33" borderId="208" xfId="0" applyFont="1" applyFill="1" applyBorder="1" applyAlignment="1">
      <alignment horizontal="center"/>
    </xf>
    <xf numFmtId="37" fontId="21" fillId="26" borderId="24" xfId="0" applyNumberFormat="1" applyFont="1" applyFill="1" applyBorder="1"/>
    <xf numFmtId="37" fontId="21" fillId="26" borderId="37" xfId="0" applyNumberFormat="1" applyFont="1" applyFill="1" applyBorder="1"/>
    <xf numFmtId="3" fontId="18" fillId="26" borderId="15" xfId="0" applyNumberFormat="1" applyFont="1" applyFill="1" applyBorder="1"/>
    <xf numFmtId="37" fontId="21" fillId="26" borderId="32" xfId="0" applyNumberFormat="1" applyFont="1" applyFill="1" applyBorder="1"/>
    <xf numFmtId="3" fontId="18" fillId="26" borderId="50" xfId="0" applyNumberFormat="1" applyFont="1" applyFill="1" applyBorder="1"/>
    <xf numFmtId="3" fontId="18" fillId="26" borderId="51" xfId="0" applyNumberFormat="1" applyFont="1" applyFill="1" applyBorder="1"/>
    <xf numFmtId="39" fontId="19" fillId="0" borderId="0" xfId="0" applyNumberFormat="1" applyFont="1"/>
    <xf numFmtId="169" fontId="19" fillId="0" borderId="9" xfId="0" applyNumberFormat="1" applyFont="1" applyBorder="1"/>
    <xf numFmtId="0" fontId="43" fillId="0" borderId="1" xfId="0" applyFont="1" applyBorder="1"/>
    <xf numFmtId="37" fontId="19" fillId="0" borderId="1" xfId="0" applyNumberFormat="1" applyFont="1" applyBorder="1"/>
    <xf numFmtId="0" fontId="42" fillId="0" borderId="0" xfId="0" applyFont="1"/>
    <xf numFmtId="3" fontId="16" fillId="0" borderId="0" xfId="0" applyNumberFormat="1" applyFont="1"/>
    <xf numFmtId="43" fontId="16" fillId="0" borderId="0" xfId="5" applyFont="1"/>
    <xf numFmtId="2" fontId="0" fillId="0" borderId="0" xfId="0" applyNumberFormat="1"/>
    <xf numFmtId="3" fontId="0" fillId="0" borderId="0" xfId="0" applyNumberFormat="1"/>
    <xf numFmtId="4" fontId="16" fillId="0" borderId="0" xfId="0" applyNumberFormat="1" applyFont="1"/>
    <xf numFmtId="169" fontId="16" fillId="0" borderId="0" xfId="1" applyNumberFormat="1" applyFont="1"/>
    <xf numFmtId="43" fontId="26" fillId="0" borderId="0" xfId="5" applyFont="1"/>
    <xf numFmtId="169" fontId="26" fillId="0" borderId="0" xfId="1" applyNumberFormat="1" applyFont="1"/>
    <xf numFmtId="43" fontId="0" fillId="0" borderId="0" xfId="0" applyNumberFormat="1"/>
    <xf numFmtId="169" fontId="0" fillId="0" borderId="0" xfId="1" applyNumberFormat="1" applyFont="1" applyAlignment="1"/>
    <xf numFmtId="43" fontId="0" fillId="0" borderId="0" xfId="5" applyFont="1" applyAlignment="1"/>
    <xf numFmtId="4" fontId="26" fillId="0" borderId="0" xfId="0" applyNumberFormat="1" applyFont="1"/>
    <xf numFmtId="4" fontId="0" fillId="0" borderId="0" xfId="0" applyNumberFormat="1"/>
    <xf numFmtId="9" fontId="16" fillId="0" borderId="0" xfId="1" applyFont="1"/>
    <xf numFmtId="0" fontId="44" fillId="0" borderId="104" xfId="2" applyFont="1" applyBorder="1" applyAlignment="1">
      <alignment horizontal="center"/>
    </xf>
    <xf numFmtId="0" fontId="44" fillId="0" borderId="105" xfId="2" applyFont="1" applyBorder="1" applyAlignment="1">
      <alignment horizontal="center"/>
    </xf>
    <xf numFmtId="0" fontId="44" fillId="0" borderId="106" xfId="2" applyFont="1" applyBorder="1" applyAlignment="1">
      <alignment horizontal="center"/>
    </xf>
    <xf numFmtId="0" fontId="52" fillId="0" borderId="53" xfId="2" applyFont="1" applyBorder="1" applyAlignment="1">
      <alignment horizontal="center"/>
    </xf>
    <xf numFmtId="0" fontId="52" fillId="0" borderId="1" xfId="2" applyFont="1" applyAlignment="1">
      <alignment horizontal="center"/>
    </xf>
    <xf numFmtId="0" fontId="8" fillId="28" borderId="205" xfId="0" applyFont="1" applyFill="1" applyBorder="1" applyAlignment="1">
      <alignment horizontal="left" vertical="top" wrapText="1"/>
    </xf>
    <xf numFmtId="0" fontId="20" fillId="0" borderId="206" xfId="0" applyFont="1" applyBorder="1"/>
    <xf numFmtId="0" fontId="20" fillId="0" borderId="207" xfId="0" applyFont="1" applyBorder="1"/>
    <xf numFmtId="0" fontId="71" fillId="0" borderId="53" xfId="3" applyFont="1" applyBorder="1" applyAlignment="1">
      <alignment horizontal="center"/>
    </xf>
    <xf numFmtId="0" fontId="44" fillId="22" borderId="104" xfId="0" applyFont="1" applyFill="1" applyBorder="1" applyAlignment="1">
      <alignment horizontal="center"/>
    </xf>
    <xf numFmtId="0" fontId="44" fillId="22" borderId="105" xfId="0" applyFont="1" applyFill="1" applyBorder="1" applyAlignment="1">
      <alignment horizontal="center"/>
    </xf>
    <xf numFmtId="0" fontId="44" fillId="22" borderId="106" xfId="0" applyFont="1" applyFill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0" fillId="0" borderId="66" xfId="0" applyFont="1" applyBorder="1"/>
    <xf numFmtId="0" fontId="20" fillId="0" borderId="67" xfId="0" applyFont="1" applyBorder="1"/>
    <xf numFmtId="0" fontId="19" fillId="0" borderId="69" xfId="0" applyFont="1" applyBorder="1" applyAlignment="1">
      <alignment horizontal="center"/>
    </xf>
    <xf numFmtId="0" fontId="20" fillId="0" borderId="62" xfId="0" applyFont="1" applyBorder="1"/>
    <xf numFmtId="0" fontId="19" fillId="0" borderId="90" xfId="0" applyFont="1" applyBorder="1" applyAlignment="1">
      <alignment horizontal="center" vertical="center"/>
    </xf>
    <xf numFmtId="0" fontId="20" fillId="0" borderId="88" xfId="0" applyFont="1" applyBorder="1"/>
    <xf numFmtId="0" fontId="20" fillId="0" borderId="91" xfId="0" applyFont="1" applyBorder="1"/>
    <xf numFmtId="0" fontId="19" fillId="0" borderId="88" xfId="0" applyFont="1" applyBorder="1" applyAlignment="1">
      <alignment horizontal="center" vertical="center"/>
    </xf>
    <xf numFmtId="0" fontId="20" fillId="0" borderId="89" xfId="0" applyFont="1" applyBorder="1"/>
    <xf numFmtId="39" fontId="21" fillId="0" borderId="35" xfId="0" applyNumberFormat="1" applyFont="1" applyBorder="1"/>
  </cellXfs>
  <cellStyles count="9">
    <cellStyle name="Milliers" xfId="5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Pourcentage" xfId="1" builtinId="5"/>
    <cellStyle name="Pourcentage 2" xfId="4" xr:uid="{00000000-0005-0000-0000-000008000000}"/>
  </cellStyles>
  <dxfs count="69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2"/>
      <tableStyleElement type="firstRowStripe" dxfId="691"/>
      <tableStyleElement type="secondRowStripe" dxfId="690"/>
    </tableStyle>
    <tableStyle name="Data_Validation ex-style" pivot="0" count="3" xr9:uid="{00000000-0011-0000-FFFF-FFFF01000000}">
      <tableStyleElement type="headerRow" dxfId="689"/>
      <tableStyleElement type="firstRowStripe" dxfId="688"/>
      <tableStyleElement type="secondRowStripe" dxfId="687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JLR%20de%20Brossard/R&#233;alis&#233;%20JLR%20de%20Brossard/Combin&#233;/2021/2021-03-R&#233;alis&#233;%20JLR%20nouve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E111"/>
          <cell r="F111"/>
          <cell r="G111">
            <v>8500</v>
          </cell>
          <cell r="H111"/>
          <cell r="I111"/>
          <cell r="J111">
            <v>8500</v>
          </cell>
          <cell r="K111"/>
          <cell r="L111"/>
          <cell r="M111">
            <v>8500</v>
          </cell>
          <cell r="N111"/>
          <cell r="O111"/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</sheetNames>
    <sheetDataSet>
      <sheetData sheetId="0"/>
      <sheetData sheetId="1"/>
      <sheetData sheetId="2"/>
      <sheetData sheetId="3"/>
      <sheetData sheetId="4">
        <row r="3"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8">
          <cell r="A8" t="str">
            <v>Véhicules neufsVentes nettes</v>
          </cell>
          <cell r="E8">
            <v>45857674.483054951</v>
          </cell>
          <cell r="H8">
            <v>2353133.2084280737</v>
          </cell>
          <cell r="K8">
            <v>2770144.4902407108</v>
          </cell>
          <cell r="N8">
            <v>4625658.5430406909</v>
          </cell>
          <cell r="Q8">
            <v>4034231.1327759749</v>
          </cell>
          <cell r="T8">
            <v>4379415.6593114845</v>
          </cell>
          <cell r="W8">
            <v>4401738.6219329443</v>
          </cell>
          <cell r="Z8">
            <v>3454264.6416730788</v>
          </cell>
          <cell r="AC8">
            <v>3827443.2789444821</v>
          </cell>
          <cell r="AF8">
            <v>4054597.893516555</v>
          </cell>
          <cell r="AI8">
            <v>4393037.7907726178</v>
          </cell>
          <cell r="AL8">
            <v>3913812.5903967749</v>
          </cell>
          <cell r="AO8">
            <v>3650196.6320215594</v>
          </cell>
        </row>
        <row r="9">
          <cell r="A9" t="str">
            <v>Véhicules neufsAutos détail</v>
          </cell>
          <cell r="C9">
            <v>17</v>
          </cell>
          <cell r="D9">
            <v>2694.4444444444443</v>
          </cell>
          <cell r="E9">
            <v>45805.555555555555</v>
          </cell>
          <cell r="F9">
            <v>0.97199999999999975</v>
          </cell>
          <cell r="G9">
            <v>2694.4444444444443</v>
          </cell>
          <cell r="H9">
            <v>2618.9999999999991</v>
          </cell>
          <cell r="I9">
            <v>1.1340000000000001</v>
          </cell>
          <cell r="J9">
            <v>2694.4444444444443</v>
          </cell>
          <cell r="K9">
            <v>3055.5</v>
          </cell>
          <cell r="L9">
            <v>2.1599999999999997</v>
          </cell>
          <cell r="M9">
            <v>2694.4444444444443</v>
          </cell>
          <cell r="N9">
            <v>5819.9999999999991</v>
          </cell>
          <cell r="O9">
            <v>2.0340000000000003</v>
          </cell>
          <cell r="P9">
            <v>2694.4444444444443</v>
          </cell>
          <cell r="Q9">
            <v>5480.5000000000009</v>
          </cell>
          <cell r="R9">
            <v>0.78200000000000003</v>
          </cell>
          <cell r="S9">
            <v>2694.4444444444443</v>
          </cell>
          <cell r="T9">
            <v>2107.0555555555557</v>
          </cell>
          <cell r="U9">
            <v>1.53</v>
          </cell>
          <cell r="V9">
            <v>2694.4444444444443</v>
          </cell>
          <cell r="W9">
            <v>4122.5</v>
          </cell>
          <cell r="X9">
            <v>1.26</v>
          </cell>
          <cell r="Y9">
            <v>2694.4444444444443</v>
          </cell>
          <cell r="Z9">
            <v>3395</v>
          </cell>
          <cell r="AA9">
            <v>1.4040000000000001</v>
          </cell>
          <cell r="AB9">
            <v>2694.4444444444443</v>
          </cell>
          <cell r="AC9">
            <v>3783</v>
          </cell>
          <cell r="AD9">
            <v>1.6560000000000001</v>
          </cell>
          <cell r="AE9">
            <v>2694.4444444444443</v>
          </cell>
          <cell r="AF9">
            <v>4462</v>
          </cell>
          <cell r="AG9">
            <v>1.4040000000000001</v>
          </cell>
          <cell r="AH9">
            <v>2694.4444444444443</v>
          </cell>
          <cell r="AI9">
            <v>3783</v>
          </cell>
          <cell r="AJ9">
            <v>1.26</v>
          </cell>
          <cell r="AK9">
            <v>2694.4444444444443</v>
          </cell>
          <cell r="AL9">
            <v>3395</v>
          </cell>
          <cell r="AM9">
            <v>1.4040000000000001</v>
          </cell>
          <cell r="AN9">
            <v>2694.4444444444443</v>
          </cell>
          <cell r="AO9">
            <v>3783</v>
          </cell>
        </row>
        <row r="10">
          <cell r="A10" t="str">
            <v>Véhicules neufsCamions détail</v>
          </cell>
          <cell r="C10">
            <v>332.01011408121514</v>
          </cell>
          <cell r="D10">
            <v>3451.2552621507839</v>
          </cell>
          <cell r="E10">
            <v>1145851.6533100759</v>
          </cell>
          <cell r="F10">
            <v>17.599364852809995</v>
          </cell>
          <cell r="G10">
            <v>3451.2552621507843</v>
          </cell>
          <cell r="H10">
            <v>60739.90055877206</v>
          </cell>
          <cell r="I10">
            <v>10.82741148825065</v>
          </cell>
          <cell r="J10">
            <v>3451.2552621507843</v>
          </cell>
          <cell r="K10">
            <v>37368.160874296911</v>
          </cell>
          <cell r="L10">
            <v>25.778840780911064</v>
          </cell>
          <cell r="M10">
            <v>3451.2552621507843</v>
          </cell>
          <cell r="N10">
            <v>88969.35989726655</v>
          </cell>
          <cell r="O10">
            <v>30.199023741194878</v>
          </cell>
          <cell r="P10">
            <v>3451.2552621507843</v>
          </cell>
          <cell r="Q10">
            <v>104224.53959861529</v>
          </cell>
          <cell r="R10">
            <v>34.613347292418773</v>
          </cell>
          <cell r="S10">
            <v>3451.2552621507843</v>
          </cell>
          <cell r="T10">
            <v>119459.49698361289</v>
          </cell>
          <cell r="U10">
            <v>34.009797988264879</v>
          </cell>
          <cell r="V10">
            <v>3451.2552621507843</v>
          </cell>
          <cell r="W10">
            <v>117376.49427168432</v>
          </cell>
          <cell r="X10">
            <v>26.445518439500155</v>
          </cell>
          <cell r="Y10">
            <v>3451.2552621507843</v>
          </cell>
          <cell r="Z10">
            <v>91270.234674630512</v>
          </cell>
          <cell r="AA10">
            <v>29.398716763005787</v>
          </cell>
          <cell r="AB10">
            <v>3451.2552621507843</v>
          </cell>
          <cell r="AC10">
            <v>101462.4759288042</v>
          </cell>
          <cell r="AD10">
            <v>31.029565375617359</v>
          </cell>
          <cell r="AE10">
            <v>3451.2552621507843</v>
          </cell>
          <cell r="AF10">
            <v>107090.95078485119</v>
          </cell>
          <cell r="AG10">
            <v>33.993387862796837</v>
          </cell>
          <cell r="AH10">
            <v>3451.2552621507843</v>
          </cell>
          <cell r="AI10">
            <v>117319.85873981018</v>
          </cell>
          <cell r="AJ10">
            <v>30.178817032153912</v>
          </cell>
          <cell r="AK10">
            <v>3451.2552621507843</v>
          </cell>
          <cell r="AL10">
            <v>104154.8010877069</v>
          </cell>
          <cell r="AM10">
            <v>27.936322464290861</v>
          </cell>
          <cell r="AN10">
            <v>3451.2552621507843</v>
          </cell>
          <cell r="AO10">
            <v>96415.379910025003</v>
          </cell>
        </row>
        <row r="11">
          <cell r="A11" t="str">
            <v>Véhicules neufsSprinter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C16">
            <v>349.01011408121514</v>
          </cell>
          <cell r="D16">
            <v>3414.3916201475213</v>
          </cell>
          <cell r="E16">
            <v>1191657.2088656314</v>
          </cell>
          <cell r="F16">
            <v>18.571364852809996</v>
          </cell>
          <cell r="G16">
            <v>3411.6448123728155</v>
          </cell>
          <cell r="H16">
            <v>63358.90055877206</v>
          </cell>
          <cell r="I16">
            <v>11.961411488250651</v>
          </cell>
          <cell r="J16">
            <v>3379.5059148332039</v>
          </cell>
          <cell r="K16">
            <v>40423.660874296911</v>
          </cell>
          <cell r="L16">
            <v>27.938840780911065</v>
          </cell>
          <cell r="M16">
            <v>3392.7449116654275</v>
          </cell>
          <cell r="N16">
            <v>94789.35989726655</v>
          </cell>
          <cell r="O16">
            <v>32.233023741194877</v>
          </cell>
          <cell r="P16">
            <v>3403.4982407936054</v>
          </cell>
          <cell r="Q16">
            <v>109705.03959861529</v>
          </cell>
          <cell r="R16">
            <v>35.395347292418776</v>
          </cell>
          <cell r="S16">
            <v>3434.5348142750508</v>
          </cell>
          <cell r="T16">
            <v>121566.55253916845</v>
          </cell>
          <cell r="U16">
            <v>35.53979798826488</v>
          </cell>
          <cell r="V16">
            <v>3418.6743073723401</v>
          </cell>
          <cell r="W16">
            <v>121498.99427168432</v>
          </cell>
          <cell r="X16">
            <v>27.705518439500157</v>
          </cell>
          <cell r="Y16">
            <v>3416.8367894413745</v>
          </cell>
          <cell r="Z16">
            <v>94665.234674630512</v>
          </cell>
          <cell r="AA16">
            <v>30.802716763005787</v>
          </cell>
          <cell r="AB16">
            <v>3416.7595260689645</v>
          </cell>
          <cell r="AC16">
            <v>105245.4759288042</v>
          </cell>
          <cell r="AD16">
            <v>32.685565375617358</v>
          </cell>
          <cell r="AE16">
            <v>3412.9117701622195</v>
          </cell>
          <cell r="AF16">
            <v>111552.95078485119</v>
          </cell>
          <cell r="AG16">
            <v>35.39738786279684</v>
          </cell>
          <cell r="AH16">
            <v>3421.2371604711266</v>
          </cell>
          <cell r="AI16">
            <v>121102.85873981018</v>
          </cell>
          <cell r="AJ16">
            <v>31.438817032153914</v>
          </cell>
          <cell r="AK16">
            <v>3420.9239163709885</v>
          </cell>
          <cell r="AL16">
            <v>107549.8010877069</v>
          </cell>
          <cell r="AM16">
            <v>29.34032246429086</v>
          </cell>
          <cell r="AN16">
            <v>3415.040173194182</v>
          </cell>
          <cell r="AO16">
            <v>100198.379910025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C18">
            <v>110.9920378509583</v>
          </cell>
          <cell r="D18">
            <v>1500</v>
          </cell>
          <cell r="E18">
            <v>166488.05677643744</v>
          </cell>
          <cell r="F18">
            <v>5.6622872435325595</v>
          </cell>
          <cell r="G18">
            <v>1499.9999999999998</v>
          </cell>
          <cell r="H18">
            <v>8493.4308652988384</v>
          </cell>
          <cell r="I18">
            <v>7.2493143603133179</v>
          </cell>
          <cell r="J18">
            <v>1500</v>
          </cell>
          <cell r="K18">
            <v>10873.971540469976</v>
          </cell>
          <cell r="L18">
            <v>11.085167895878525</v>
          </cell>
          <cell r="M18">
            <v>1499.9999999999998</v>
          </cell>
          <cell r="N18">
            <v>16627.751843817787</v>
          </cell>
          <cell r="O18">
            <v>9.9372366292721104</v>
          </cell>
          <cell r="P18">
            <v>1500</v>
          </cell>
          <cell r="Q18">
            <v>14905.854943908165</v>
          </cell>
          <cell r="R18">
            <v>10.489620216606498</v>
          </cell>
          <cell r="S18">
            <v>1500</v>
          </cell>
          <cell r="T18">
            <v>15734.430324909748</v>
          </cell>
          <cell r="U18">
            <v>10.569563285834032</v>
          </cell>
          <cell r="V18">
            <v>1500</v>
          </cell>
          <cell r="W18">
            <v>15854.344928751048</v>
          </cell>
          <cell r="X18">
            <v>8.2868046327339222</v>
          </cell>
          <cell r="Y18">
            <v>1500</v>
          </cell>
          <cell r="Z18">
            <v>12430.206949100882</v>
          </cell>
          <cell r="AA18">
            <v>9.1738612716762997</v>
          </cell>
          <cell r="AB18">
            <v>1500</v>
          </cell>
          <cell r="AC18">
            <v>13760.791907514449</v>
          </cell>
          <cell r="AD18">
            <v>9.7132357681310104</v>
          </cell>
          <cell r="AE18">
            <v>1500</v>
          </cell>
          <cell r="AF18">
            <v>14569.853652196516</v>
          </cell>
          <cell r="AG18">
            <v>10.620269129287598</v>
          </cell>
          <cell r="AH18">
            <v>1500</v>
          </cell>
          <cell r="AI18">
            <v>15930.403693931397</v>
          </cell>
          <cell r="AJ18">
            <v>9.4619099959639446</v>
          </cell>
          <cell r="AK18">
            <v>1500</v>
          </cell>
          <cell r="AL18">
            <v>14192.864993945917</v>
          </cell>
          <cell r="AM18">
            <v>8.7427674217284679</v>
          </cell>
          <cell r="AN18">
            <v>1500</v>
          </cell>
          <cell r="AO18">
            <v>13114.151132592702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C20">
            <v>67.997848067826553</v>
          </cell>
          <cell r="D20">
            <v>506</v>
          </cell>
          <cell r="E20">
            <v>34406.911122320234</v>
          </cell>
          <cell r="F20">
            <v>2.6703479036574485</v>
          </cell>
          <cell r="G20">
            <v>506</v>
          </cell>
          <cell r="H20">
            <v>1351.1960392506689</v>
          </cell>
          <cell r="I20">
            <v>15.259274151436031</v>
          </cell>
          <cell r="J20">
            <v>506</v>
          </cell>
          <cell r="K20">
            <v>7721.1927206266319</v>
          </cell>
          <cell r="L20">
            <v>16.295991323210412</v>
          </cell>
          <cell r="M20">
            <v>506</v>
          </cell>
          <cell r="N20">
            <v>8245.7716095444684</v>
          </cell>
          <cell r="O20">
            <v>3.8257396295330031</v>
          </cell>
          <cell r="P20">
            <v>506</v>
          </cell>
          <cell r="Q20">
            <v>1935.8242525436995</v>
          </cell>
          <cell r="R20">
            <v>3.975032490974729</v>
          </cell>
          <cell r="S20">
            <v>506</v>
          </cell>
          <cell r="T20">
            <v>2011.3664404332128</v>
          </cell>
          <cell r="U20">
            <v>3.9966387259010903</v>
          </cell>
          <cell r="V20">
            <v>506</v>
          </cell>
          <cell r="W20">
            <v>2022.2991953059516</v>
          </cell>
          <cell r="X20">
            <v>3.3796769277659244</v>
          </cell>
          <cell r="Y20">
            <v>506</v>
          </cell>
          <cell r="Z20">
            <v>1710.1165254495577</v>
          </cell>
          <cell r="AA20">
            <v>3.6194219653179189</v>
          </cell>
          <cell r="AB20">
            <v>506</v>
          </cell>
          <cell r="AC20">
            <v>1831.427514450867</v>
          </cell>
          <cell r="AD20">
            <v>3.7651988562516241</v>
          </cell>
          <cell r="AE20">
            <v>506</v>
          </cell>
          <cell r="AF20">
            <v>1905.1906212633219</v>
          </cell>
          <cell r="AG20">
            <v>4.0103430079155666</v>
          </cell>
          <cell r="AH20">
            <v>506</v>
          </cell>
          <cell r="AI20">
            <v>2029.2335620052768</v>
          </cell>
          <cell r="AJ20">
            <v>3.6972729718821471</v>
          </cell>
          <cell r="AK20">
            <v>506</v>
          </cell>
          <cell r="AL20">
            <v>1870.8201237723665</v>
          </cell>
          <cell r="AM20">
            <v>3.5029101139806667</v>
          </cell>
          <cell r="AN20">
            <v>505.99999999999994</v>
          </cell>
          <cell r="AO20">
            <v>1772.4725176742172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E22">
            <v>49996.413446377614</v>
          </cell>
          <cell r="H22">
            <v>2550.5798394290805</v>
          </cell>
          <cell r="K22">
            <v>3265.4569190600532</v>
          </cell>
          <cell r="N22">
            <v>4993.3188720173539</v>
          </cell>
          <cell r="Q22">
            <v>4476.2327158883381</v>
          </cell>
          <cell r="T22">
            <v>4725.0541516245494</v>
          </cell>
          <cell r="W22">
            <v>4761.0645431684834</v>
          </cell>
          <cell r="Z22">
            <v>3732.7948796098749</v>
          </cell>
          <cell r="AC22">
            <v>4132.3699421965312</v>
          </cell>
          <cell r="AF22">
            <v>4375.3314270860401</v>
          </cell>
          <cell r="AI22">
            <v>4783.9050131926124</v>
          </cell>
          <cell r="AL22">
            <v>4262.1216198035781</v>
          </cell>
          <cell r="AO22">
            <v>3938.1835233011116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</row>
        <row r="25">
          <cell r="A25" t="str">
            <v>Véhicules neufsRev. Protections</v>
          </cell>
          <cell r="D25">
            <v>892.50000000000011</v>
          </cell>
          <cell r="E25">
            <v>410551.92059946485</v>
          </cell>
          <cell r="G25">
            <v>892.5</v>
          </cell>
          <cell r="H25">
            <v>21628.534495985732</v>
          </cell>
          <cell r="J25">
            <v>892.50000000000011</v>
          </cell>
          <cell r="K25">
            <v>17145.572819843343</v>
          </cell>
          <cell r="M25">
            <v>892.50000000000011</v>
          </cell>
          <cell r="N25">
            <v>34828.927744034714</v>
          </cell>
          <cell r="P25">
            <v>892.5</v>
          </cell>
          <cell r="Q25">
            <v>37636.95738064179</v>
          </cell>
          <cell r="S25">
            <v>892.5</v>
          </cell>
          <cell r="T25">
            <v>40952.333501805057</v>
          </cell>
          <cell r="V25">
            <v>892.5</v>
          </cell>
          <cell r="W25">
            <v>41152.604937133285</v>
          </cell>
          <cell r="Y25">
            <v>892.5</v>
          </cell>
          <cell r="Z25">
            <v>32123.148341968914</v>
          </cell>
          <cell r="AB25">
            <v>892.5</v>
          </cell>
          <cell r="AC25">
            <v>35679.09589595376</v>
          </cell>
          <cell r="AE25">
            <v>892.5</v>
          </cell>
          <cell r="AF25">
            <v>37840.930020795422</v>
          </cell>
          <cell r="AH25">
            <v>892.5</v>
          </cell>
          <cell r="AI25">
            <v>41070.75886543536</v>
          </cell>
          <cell r="AK25">
            <v>892.5</v>
          </cell>
          <cell r="AL25">
            <v>36503.898872595186</v>
          </cell>
          <cell r="AN25">
            <v>892.50000000000011</v>
          </cell>
          <cell r="AO25">
            <v>33989.157723272256</v>
          </cell>
        </row>
        <row r="26">
          <cell r="A26" t="str">
            <v>Véhicules neufsRev. Autres</v>
          </cell>
          <cell r="D26">
            <v>157.50000000000003</v>
          </cell>
          <cell r="E26">
            <v>72450.338929317324</v>
          </cell>
          <cell r="G26">
            <v>157.5</v>
          </cell>
          <cell r="H26">
            <v>3816.8002051739527</v>
          </cell>
          <cell r="J26">
            <v>157.5</v>
          </cell>
          <cell r="K26">
            <v>3025.689321148825</v>
          </cell>
          <cell r="M26">
            <v>157.5</v>
          </cell>
          <cell r="N26">
            <v>6146.2813665943604</v>
          </cell>
          <cell r="P26">
            <v>157.5</v>
          </cell>
          <cell r="Q26">
            <v>6641.8160083485509</v>
          </cell>
          <cell r="S26">
            <v>157.5</v>
          </cell>
          <cell r="T26">
            <v>7226.8823826714806</v>
          </cell>
          <cell r="V26">
            <v>157.5</v>
          </cell>
          <cell r="W26">
            <v>7262.2244006705796</v>
          </cell>
          <cell r="Y26">
            <v>157.5</v>
          </cell>
          <cell r="Z26">
            <v>5668.7908838768672</v>
          </cell>
          <cell r="AB26">
            <v>157.5</v>
          </cell>
          <cell r="AC26">
            <v>6296.3110404624285</v>
          </cell>
          <cell r="AE26">
            <v>157.5</v>
          </cell>
          <cell r="AF26">
            <v>6677.8111801403684</v>
          </cell>
          <cell r="AH26">
            <v>157.5</v>
          </cell>
          <cell r="AI26">
            <v>7247.7809762532997</v>
          </cell>
          <cell r="AK26">
            <v>157.5</v>
          </cell>
          <cell r="AL26">
            <v>6441.8645069285622</v>
          </cell>
          <cell r="AN26">
            <v>157.5</v>
          </cell>
          <cell r="AO26">
            <v>5998.0866570480448</v>
          </cell>
        </row>
        <row r="27">
          <cell r="A27" t="str">
            <v>Véhicules neufsTotal F&amp;I</v>
          </cell>
          <cell r="C27">
            <v>460.00215193217343</v>
          </cell>
          <cell r="D27">
            <v>1050.0000000000002</v>
          </cell>
          <cell r="E27">
            <v>483002.25952878216</v>
          </cell>
          <cell r="F27">
            <v>24.233652096342556</v>
          </cell>
          <cell r="G27">
            <v>1050</v>
          </cell>
          <cell r="H27">
            <v>25445.334701159685</v>
          </cell>
          <cell r="I27">
            <v>19.210725848563968</v>
          </cell>
          <cell r="J27">
            <v>1050</v>
          </cell>
          <cell r="K27">
            <v>20171.262140992167</v>
          </cell>
          <cell r="L27">
            <v>39.024008676789592</v>
          </cell>
          <cell r="M27">
            <v>1050</v>
          </cell>
          <cell r="N27">
            <v>40975.209110629075</v>
          </cell>
          <cell r="O27">
            <v>42.170260370466991</v>
          </cell>
          <cell r="P27">
            <v>1050</v>
          </cell>
          <cell r="Q27">
            <v>44278.773388990339</v>
          </cell>
          <cell r="R27">
            <v>45.884967509025273</v>
          </cell>
          <cell r="S27">
            <v>1050</v>
          </cell>
          <cell r="T27">
            <v>48179.215884476536</v>
          </cell>
          <cell r="U27">
            <v>46.109361274098916</v>
          </cell>
          <cell r="V27">
            <v>1050</v>
          </cell>
          <cell r="W27">
            <v>48414.829337803865</v>
          </cell>
          <cell r="X27">
            <v>35.992323072234079</v>
          </cell>
          <cell r="Y27">
            <v>1050</v>
          </cell>
          <cell r="Z27">
            <v>37791.939225845781</v>
          </cell>
          <cell r="AA27">
            <v>39.976578034682085</v>
          </cell>
          <cell r="AB27">
            <v>1050</v>
          </cell>
          <cell r="AC27">
            <v>41975.406936416191</v>
          </cell>
          <cell r="AD27">
            <v>42.398801143748372</v>
          </cell>
          <cell r="AE27">
            <v>1050</v>
          </cell>
          <cell r="AF27">
            <v>44518.741200935794</v>
          </cell>
          <cell r="AG27">
            <v>46.01765699208444</v>
          </cell>
          <cell r="AH27">
            <v>1050</v>
          </cell>
          <cell r="AI27">
            <v>48318.53984168866</v>
          </cell>
          <cell r="AJ27">
            <v>40.900727028117856</v>
          </cell>
          <cell r="AK27">
            <v>1050</v>
          </cell>
          <cell r="AL27">
            <v>42945.763379523749</v>
          </cell>
          <cell r="AM27">
            <v>38.08308988601933</v>
          </cell>
          <cell r="AN27">
            <v>1050</v>
          </cell>
          <cell r="AO27">
            <v>39987.244380320299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C30">
            <v>528</v>
          </cell>
          <cell r="D30">
            <v>3646.8766093552058</v>
          </cell>
          <cell r="E30">
            <v>1925550.8497395488</v>
          </cell>
          <cell r="F30">
            <v>26.904000000000003</v>
          </cell>
          <cell r="G30">
            <v>3761.501709928275</v>
          </cell>
          <cell r="H30">
            <v>101199.44200391033</v>
          </cell>
          <cell r="I30">
            <v>34.47</v>
          </cell>
          <cell r="J30">
            <v>2392.0958571350666</v>
          </cell>
          <cell r="K30">
            <v>82455.544195445749</v>
          </cell>
          <cell r="L30">
            <v>55.320000000000007</v>
          </cell>
          <cell r="M30">
            <v>2994.0602193289083</v>
          </cell>
          <cell r="N30">
            <v>165631.41133327523</v>
          </cell>
          <cell r="O30">
            <v>45.995999999999995</v>
          </cell>
          <cell r="P30">
            <v>3811.2384750836122</v>
          </cell>
          <cell r="Q30">
            <v>175301.72489994581</v>
          </cell>
          <cell r="R30">
            <v>49.86</v>
          </cell>
          <cell r="S30">
            <v>3855.1267416889791</v>
          </cell>
          <cell r="T30">
            <v>192216.61934061249</v>
          </cell>
          <cell r="U30">
            <v>50.106000000000009</v>
          </cell>
          <cell r="V30">
            <v>3842.8837320223856</v>
          </cell>
          <cell r="W30">
            <v>192551.5322767137</v>
          </cell>
          <cell r="X30">
            <v>39.372</v>
          </cell>
          <cell r="Y30">
            <v>3818.2030949567361</v>
          </cell>
          <cell r="Z30">
            <v>150330.29225463662</v>
          </cell>
          <cell r="AA30">
            <v>43.596000000000004</v>
          </cell>
          <cell r="AB30">
            <v>3829.3759113079691</v>
          </cell>
          <cell r="AC30">
            <v>166945.47222938223</v>
          </cell>
          <cell r="AD30">
            <v>46.163999999999994</v>
          </cell>
          <cell r="AE30">
            <v>3832.4683235060411</v>
          </cell>
          <cell r="AF30">
            <v>176922.06768633286</v>
          </cell>
          <cell r="AG30">
            <v>50.028000000000006</v>
          </cell>
          <cell r="AH30">
            <v>3841.1477742589773</v>
          </cell>
          <cell r="AI30">
            <v>192164.94085062813</v>
          </cell>
          <cell r="AJ30">
            <v>44.598000000000006</v>
          </cell>
          <cell r="AK30">
            <v>3830.247347521245</v>
          </cell>
          <cell r="AL30">
            <v>170821.3712047525</v>
          </cell>
          <cell r="AM30">
            <v>41.585999999999999</v>
          </cell>
          <cell r="AN30">
            <v>3823.6529472397769</v>
          </cell>
          <cell r="AO30">
            <v>159010.43146391335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</row>
        <row r="34">
          <cell r="A34" t="str">
            <v>Véhicules neufsComm. vendeurs</v>
          </cell>
          <cell r="C34">
            <v>0.34046689066881919</v>
          </cell>
          <cell r="D34">
            <v>1005.2202880518552</v>
          </cell>
          <cell r="E34">
            <v>462403.49566973263</v>
          </cell>
          <cell r="G34">
            <v>1135.6760397443363</v>
          </cell>
          <cell r="H34">
            <v>27521.578041316348</v>
          </cell>
          <cell r="J34">
            <v>1155.238493168757</v>
          </cell>
          <cell r="K34">
            <v>22192.969981973129</v>
          </cell>
          <cell r="M34">
            <v>993.25426440929732</v>
          </cell>
          <cell r="N34">
            <v>38760.763032566683</v>
          </cell>
          <cell r="P34">
            <v>976.81711419767873</v>
          </cell>
          <cell r="Q34">
            <v>41192.6320400443</v>
          </cell>
          <cell r="S34">
            <v>976.26770788234546</v>
          </cell>
          <cell r="T34">
            <v>44796.012056291998</v>
          </cell>
          <cell r="V34">
            <v>971.99576181166981</v>
          </cell>
          <cell r="W34">
            <v>44818.10373826728</v>
          </cell>
          <cell r="Y34">
            <v>1027.9014737101606</v>
          </cell>
          <cell r="Z34">
            <v>36996.561928201627</v>
          </cell>
          <cell r="AB34">
            <v>1002.4410346535506</v>
          </cell>
          <cell r="AC34">
            <v>40074.162246995111</v>
          </cell>
          <cell r="AE34">
            <v>988.56655466023471</v>
          </cell>
          <cell r="AF34">
            <v>41914.036768399747</v>
          </cell>
          <cell r="AH34">
            <v>964.30685497108072</v>
          </cell>
          <cell r="AI34">
            <v>44375.142087174907</v>
          </cell>
          <cell r="AK34">
            <v>997.30989377494916</v>
          </cell>
          <cell r="AL34">
            <v>40790.699727730411</v>
          </cell>
          <cell r="AN34">
            <v>1023.3107171032759</v>
          </cell>
          <cell r="AO34">
            <v>38970.834020770955</v>
          </cell>
        </row>
        <row r="35">
          <cell r="A35" t="str">
            <v>Véhicules neufsComm. F&amp;I</v>
          </cell>
          <cell r="C35">
            <v>0.25</v>
          </cell>
          <cell r="D35">
            <v>262.50000000000006</v>
          </cell>
          <cell r="E35">
            <v>120750.56488219554</v>
          </cell>
          <cell r="G35">
            <v>262.5</v>
          </cell>
          <cell r="H35">
            <v>6361.3336752899213</v>
          </cell>
          <cell r="J35">
            <v>262.5</v>
          </cell>
          <cell r="K35">
            <v>5042.8155352480417</v>
          </cell>
          <cell r="M35">
            <v>262.5</v>
          </cell>
          <cell r="N35">
            <v>10243.802277657269</v>
          </cell>
          <cell r="P35">
            <v>262.5</v>
          </cell>
          <cell r="Q35">
            <v>11069.693347247585</v>
          </cell>
          <cell r="S35">
            <v>262.5</v>
          </cell>
          <cell r="T35">
            <v>12044.803971119134</v>
          </cell>
          <cell r="V35">
            <v>262.5</v>
          </cell>
          <cell r="W35">
            <v>12103.707334450966</v>
          </cell>
          <cell r="Y35">
            <v>262.5</v>
          </cell>
          <cell r="Z35">
            <v>9447.9848064614453</v>
          </cell>
          <cell r="AB35">
            <v>262.5</v>
          </cell>
          <cell r="AC35">
            <v>10493.851734104048</v>
          </cell>
          <cell r="AE35">
            <v>262.5</v>
          </cell>
          <cell r="AF35">
            <v>11129.685300233949</v>
          </cell>
          <cell r="AH35">
            <v>262.5</v>
          </cell>
          <cell r="AI35">
            <v>12079.634960422165</v>
          </cell>
          <cell r="AK35">
            <v>262.5</v>
          </cell>
          <cell r="AL35">
            <v>10736.440844880937</v>
          </cell>
          <cell r="AN35">
            <v>262.5</v>
          </cell>
          <cell r="AO35">
            <v>9996.8110950800747</v>
          </cell>
        </row>
        <row r="36">
          <cell r="A36" t="str">
            <v>Véhicules neufsFrais de livraison</v>
          </cell>
          <cell r="D36">
            <v>140.00000000000003</v>
          </cell>
          <cell r="E36">
            <v>64400.301270504293</v>
          </cell>
          <cell r="G36">
            <v>140</v>
          </cell>
          <cell r="H36">
            <v>3392.7112934879578</v>
          </cell>
          <cell r="J36">
            <v>140</v>
          </cell>
          <cell r="K36">
            <v>2689.5016187989554</v>
          </cell>
          <cell r="M36">
            <v>140</v>
          </cell>
          <cell r="N36">
            <v>5463.3612147505428</v>
          </cell>
          <cell r="P36">
            <v>140</v>
          </cell>
          <cell r="Q36">
            <v>5903.8364518653789</v>
          </cell>
          <cell r="S36">
            <v>140</v>
          </cell>
          <cell r="T36">
            <v>6423.8954512635382</v>
          </cell>
          <cell r="V36">
            <v>140</v>
          </cell>
          <cell r="W36">
            <v>6455.3105783738483</v>
          </cell>
          <cell r="Y36">
            <v>140</v>
          </cell>
          <cell r="Z36">
            <v>5038.9252301127708</v>
          </cell>
          <cell r="AB36">
            <v>140</v>
          </cell>
          <cell r="AC36">
            <v>5596.7209248554918</v>
          </cell>
          <cell r="AE36">
            <v>140</v>
          </cell>
          <cell r="AF36">
            <v>5935.8321601247717</v>
          </cell>
          <cell r="AH36">
            <v>140</v>
          </cell>
          <cell r="AI36">
            <v>6442.4719788918219</v>
          </cell>
          <cell r="AK36">
            <v>140</v>
          </cell>
          <cell r="AL36">
            <v>5726.1017839364995</v>
          </cell>
          <cell r="AN36">
            <v>140</v>
          </cell>
          <cell r="AO36">
            <v>5331.6325840427062</v>
          </cell>
        </row>
        <row r="37">
          <cell r="A37" t="str">
            <v>Véhicules neufsService gratuit 1</v>
          </cell>
          <cell r="D37">
            <v>60.000000000000007</v>
          </cell>
          <cell r="E37">
            <v>27600.129115930409</v>
          </cell>
          <cell r="G37">
            <v>60</v>
          </cell>
          <cell r="H37">
            <v>1454.0191257805534</v>
          </cell>
          <cell r="J37">
            <v>60</v>
          </cell>
          <cell r="K37">
            <v>1152.643550913838</v>
          </cell>
          <cell r="M37">
            <v>60.000000000000007</v>
          </cell>
          <cell r="N37">
            <v>2341.4405206073757</v>
          </cell>
          <cell r="P37">
            <v>60</v>
          </cell>
          <cell r="Q37">
            <v>2530.2156222280196</v>
          </cell>
          <cell r="S37">
            <v>60</v>
          </cell>
          <cell r="T37">
            <v>2753.0980505415164</v>
          </cell>
          <cell r="V37">
            <v>60</v>
          </cell>
          <cell r="W37">
            <v>2766.5616764459351</v>
          </cell>
          <cell r="Y37">
            <v>60</v>
          </cell>
          <cell r="Z37">
            <v>2159.5393843340448</v>
          </cell>
          <cell r="AB37">
            <v>59.999999999999993</v>
          </cell>
          <cell r="AC37">
            <v>2398.5946820809249</v>
          </cell>
          <cell r="AE37">
            <v>59.999999999999993</v>
          </cell>
          <cell r="AF37">
            <v>2543.9280686249022</v>
          </cell>
          <cell r="AH37">
            <v>60</v>
          </cell>
          <cell r="AI37">
            <v>2761.0594195250665</v>
          </cell>
          <cell r="AK37">
            <v>59.999999999999993</v>
          </cell>
          <cell r="AL37">
            <v>2454.0436216870712</v>
          </cell>
          <cell r="AN37">
            <v>59.999999999999993</v>
          </cell>
          <cell r="AO37">
            <v>2284.9853931611597</v>
          </cell>
        </row>
        <row r="38">
          <cell r="A38" t="str">
            <v>Véhicules neufsEntretien stock</v>
          </cell>
          <cell r="D38">
            <v>207.82605034537056</v>
          </cell>
          <cell r="E38">
            <v>95600.430386434673</v>
          </cell>
          <cell r="G38">
            <v>212.37947952736673</v>
          </cell>
          <cell r="H38">
            <v>5146.7304192685115</v>
          </cell>
          <cell r="J38">
            <v>215.6162761555637</v>
          </cell>
          <cell r="K38">
            <v>4142.1451697127941</v>
          </cell>
          <cell r="M38">
            <v>207.68757516647517</v>
          </cell>
          <cell r="N38">
            <v>8104.801735357918</v>
          </cell>
          <cell r="P38">
            <v>207.11401820535352</v>
          </cell>
          <cell r="Q38">
            <v>8734.0520740933989</v>
          </cell>
          <cell r="S38">
            <v>206.5380889708812</v>
          </cell>
          <cell r="T38">
            <v>9476.9935018050546</v>
          </cell>
          <cell r="V38">
            <v>206.5062709981307</v>
          </cell>
          <cell r="W38">
            <v>9521.8722548197838</v>
          </cell>
          <cell r="Y38">
            <v>208.33511077898254</v>
          </cell>
          <cell r="Z38">
            <v>7498.4646144468161</v>
          </cell>
          <cell r="AB38">
            <v>207.50439419151212</v>
          </cell>
          <cell r="AC38">
            <v>8295.3156069364159</v>
          </cell>
          <cell r="AE38">
            <v>207.07567176210674</v>
          </cell>
          <cell r="AF38">
            <v>8779.7602287496738</v>
          </cell>
          <cell r="AH38">
            <v>206.51923673670746</v>
          </cell>
          <cell r="AI38">
            <v>9503.5313984168879</v>
          </cell>
          <cell r="AK38">
            <v>207.33483294303693</v>
          </cell>
          <cell r="AL38">
            <v>8480.1454056235707</v>
          </cell>
          <cell r="AN38">
            <v>207.87751206369768</v>
          </cell>
          <cell r="AO38">
            <v>7916.6179772038658</v>
          </cell>
        </row>
        <row r="39">
          <cell r="A39" t="str">
            <v>Véhicules neufsPublicité 1</v>
          </cell>
          <cell r="D39">
            <v>368.24780948363838</v>
          </cell>
          <cell r="E39">
            <v>169394.78480678267</v>
          </cell>
          <cell r="G39">
            <v>368.24780948363843</v>
          </cell>
          <cell r="H39">
            <v>8923.9893002667286</v>
          </cell>
          <cell r="J39">
            <v>368.24780948363843</v>
          </cell>
          <cell r="K39">
            <v>7074.307712324392</v>
          </cell>
          <cell r="M39">
            <v>368.24780948363843</v>
          </cell>
          <cell r="N39">
            <v>14370.505712498267</v>
          </cell>
          <cell r="P39">
            <v>368.24780948363838</v>
          </cell>
          <cell r="Q39">
            <v>15529.106006779155</v>
          </cell>
          <cell r="S39">
            <v>368.24780948363838</v>
          </cell>
          <cell r="T39">
            <v>16897.038773426477</v>
          </cell>
          <cell r="V39">
            <v>368.24780948363832</v>
          </cell>
          <cell r="W39">
            <v>16979.67128587663</v>
          </cell>
          <cell r="Y39">
            <v>368.24780948363843</v>
          </cell>
          <cell r="Z39">
            <v>13254.094129577619</v>
          </cell>
          <cell r="AB39">
            <v>368.24780948363843</v>
          </cell>
          <cell r="AC39">
            <v>14721.287291923412</v>
          </cell>
          <cell r="AE39">
            <v>368.24780948363843</v>
          </cell>
          <cell r="AF39">
            <v>15613.265645917721</v>
          </cell>
          <cell r="AH39">
            <v>368.24780948363838</v>
          </cell>
          <cell r="AI39">
            <v>16945.90138490453</v>
          </cell>
          <cell r="AK39">
            <v>368.24780948363843</v>
          </cell>
          <cell r="AL39">
            <v>15061.603134392646</v>
          </cell>
          <cell r="AN39">
            <v>368.24780948363832</v>
          </cell>
          <cell r="AO39">
            <v>14024.01442889512</v>
          </cell>
        </row>
        <row r="40">
          <cell r="A40" t="str">
            <v>Véhicules neufsIntérêt de gros</v>
          </cell>
          <cell r="D40">
            <v>675.55448195557233</v>
          </cell>
          <cell r="E40">
            <v>310756.51544698788</v>
          </cell>
          <cell r="G40">
            <v>779.87948933888242</v>
          </cell>
          <cell r="H40">
            <v>18899.32822171177</v>
          </cell>
          <cell r="J40">
            <v>1084.3525766351245</v>
          </cell>
          <cell r="K40">
            <v>20831.200072921325</v>
          </cell>
          <cell r="M40">
            <v>707.2479279274678</v>
          </cell>
          <cell r="N40">
            <v>27599.649276082964</v>
          </cell>
          <cell r="P40">
            <v>730.83160896697791</v>
          </cell>
          <cell r="Q40">
            <v>30819.359237104778</v>
          </cell>
          <cell r="S40">
            <v>677.75528097624476</v>
          </cell>
          <cell r="T40">
            <v>31098.779046665284</v>
          </cell>
          <cell r="V40">
            <v>633.03367983366172</v>
          </cell>
          <cell r="W40">
            <v>29188.778642122572</v>
          </cell>
          <cell r="Y40">
            <v>698.90692884088276</v>
          </cell>
          <cell r="Z40">
            <v>25155.283980263965</v>
          </cell>
          <cell r="AB40">
            <v>640.80123341330716</v>
          </cell>
          <cell r="AC40">
            <v>25617.040512267602</v>
          </cell>
          <cell r="AE40">
            <v>614.50610898388993</v>
          </cell>
          <cell r="AF40">
            <v>26054.322316426515</v>
          </cell>
          <cell r="AH40">
            <v>615.88961939494493</v>
          </cell>
          <cell r="AI40">
            <v>28341.79725030201</v>
          </cell>
          <cell r="AK40">
            <v>620.37833373719047</v>
          </cell>
          <cell r="AL40">
            <v>25373.924882343425</v>
          </cell>
          <cell r="AN40">
            <v>571.82996636967255</v>
          </cell>
          <cell r="AO40">
            <v>21777.052008775652</v>
          </cell>
        </row>
        <row r="41">
          <cell r="A41" t="str">
            <v>Véhicules neufs[...]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C44" t="str">
            <v>% brut</v>
          </cell>
          <cell r="D44">
            <v>0.64963551689521282</v>
          </cell>
          <cell r="E44">
            <v>1250906.221578568</v>
          </cell>
          <cell r="F44" t="str">
            <v>% brut</v>
          </cell>
          <cell r="G44">
            <v>0.70849886775414561</v>
          </cell>
          <cell r="H44">
            <v>71699.690077121792</v>
          </cell>
          <cell r="I44" t="str">
            <v>% brut</v>
          </cell>
          <cell r="J44">
            <v>0.7655711239048385</v>
          </cell>
          <cell r="K44">
            <v>63125.583641892481</v>
          </cell>
          <cell r="L44" t="str">
            <v>% brut</v>
          </cell>
          <cell r="M44">
            <v>0.64531433324838217</v>
          </cell>
          <cell r="N44">
            <v>106884.32376952103</v>
          </cell>
          <cell r="O44" t="str">
            <v>% brut</v>
          </cell>
          <cell r="P44">
            <v>0.66045496611880961</v>
          </cell>
          <cell r="Q44">
            <v>115778.8947793626</v>
          </cell>
          <cell r="R44" t="str">
            <v>% brut</v>
          </cell>
          <cell r="S44">
            <v>0.64245548212605197</v>
          </cell>
          <cell r="T44">
            <v>123490.62085111301</v>
          </cell>
          <cell r="U44" t="str">
            <v>% brut</v>
          </cell>
          <cell r="V44">
            <v>0.63273454160453368</v>
          </cell>
          <cell r="W44">
            <v>121834.00551035702</v>
          </cell>
          <cell r="X44" t="str">
            <v>% brut</v>
          </cell>
          <cell r="Y44">
            <v>0.66221419901701717</v>
          </cell>
          <cell r="Z44">
            <v>99550.854073398281</v>
          </cell>
          <cell r="AA44" t="str">
            <v>% brut</v>
          </cell>
          <cell r="AB44">
            <v>0.64210769880524166</v>
          </cell>
          <cell r="AC44">
            <v>107196.972999163</v>
          </cell>
          <cell r="AD44" t="str">
            <v>% brut</v>
          </cell>
          <cell r="AE44">
            <v>0.63288221731045802</v>
          </cell>
          <cell r="AF44">
            <v>111970.83048847728</v>
          </cell>
          <cell r="AG44" t="str">
            <v>% brut</v>
          </cell>
          <cell r="AH44">
            <v>0.62680288062151834</v>
          </cell>
          <cell r="AI44">
            <v>120449.5384796374</v>
          </cell>
          <cell r="AJ44" t="str">
            <v>% brut</v>
          </cell>
          <cell r="AK44">
            <v>0.63588623972813829</v>
          </cell>
          <cell r="AL44">
            <v>108622.95940059455</v>
          </cell>
          <cell r="AM44" t="str">
            <v>% brut</v>
          </cell>
          <cell r="AN44">
            <v>0.63078847459572218</v>
          </cell>
          <cell r="AO44">
            <v>100301.94750792952</v>
          </cell>
        </row>
        <row r="45">
          <cell r="A45" t="str">
            <v>Véhicules neufsSalaires cadres</v>
          </cell>
          <cell r="E45">
            <v>266532.59999999998</v>
          </cell>
          <cell r="H45">
            <v>21668.427586206897</v>
          </cell>
          <cell r="K45">
            <v>20944.931034482761</v>
          </cell>
          <cell r="N45">
            <v>23115.420689655177</v>
          </cell>
          <cell r="Q45">
            <v>21668.427586206897</v>
          </cell>
          <cell r="T45">
            <v>22391.924137931033</v>
          </cell>
          <cell r="W45">
            <v>22391.924137931033</v>
          </cell>
          <cell r="Z45">
            <v>22391.924137931033</v>
          </cell>
          <cell r="AC45">
            <v>22391.924137931033</v>
          </cell>
          <cell r="AF45">
            <v>22391.924137931033</v>
          </cell>
          <cell r="AI45">
            <v>21668.427586206897</v>
          </cell>
          <cell r="AL45">
            <v>22391.924137931033</v>
          </cell>
          <cell r="AO45">
            <v>23115.420689655177</v>
          </cell>
        </row>
        <row r="46">
          <cell r="A46" t="str">
            <v>Véhicules neufsSalaires commis</v>
          </cell>
          <cell r="E46">
            <v>78337.169999999984</v>
          </cell>
          <cell r="H46">
            <v>6302.9906896551729</v>
          </cell>
          <cell r="K46">
            <v>6002.8482758620685</v>
          </cell>
          <cell r="N46">
            <v>6903.2755172413799</v>
          </cell>
          <cell r="Q46">
            <v>6302.9906896551729</v>
          </cell>
          <cell r="T46">
            <v>6603.1331034482755</v>
          </cell>
          <cell r="W46">
            <v>6603.1331034482755</v>
          </cell>
          <cell r="Z46">
            <v>6603.1331034482755</v>
          </cell>
          <cell r="AC46">
            <v>6603.1331034482755</v>
          </cell>
          <cell r="AF46">
            <v>6603.1331034482755</v>
          </cell>
          <cell r="AI46">
            <v>6302.9906896551729</v>
          </cell>
          <cell r="AL46">
            <v>6603.1331034482755</v>
          </cell>
          <cell r="AO46">
            <v>6903.2755172413799</v>
          </cell>
        </row>
        <row r="47">
          <cell r="A47" t="str">
            <v>Véhicules neufsSalaires autres</v>
          </cell>
          <cell r="E47">
            <v>14607.04896</v>
          </cell>
          <cell r="H47">
            <v>1175.2798013793104</v>
          </cell>
          <cell r="K47">
            <v>1119.3140965517241</v>
          </cell>
          <cell r="N47">
            <v>1287.2112110344829</v>
          </cell>
          <cell r="Q47">
            <v>1175.2798013793104</v>
          </cell>
          <cell r="T47">
            <v>1231.2455062068966</v>
          </cell>
          <cell r="W47">
            <v>1231.2455062068966</v>
          </cell>
          <cell r="Z47">
            <v>1231.2455062068966</v>
          </cell>
          <cell r="AC47">
            <v>1231.2455062068966</v>
          </cell>
          <cell r="AF47">
            <v>1231.2455062068966</v>
          </cell>
          <cell r="AI47">
            <v>1175.2798013793104</v>
          </cell>
          <cell r="AL47">
            <v>1231.2455062068966</v>
          </cell>
          <cell r="AO47">
            <v>1287.2112110344829</v>
          </cell>
        </row>
        <row r="48">
          <cell r="A48" t="str">
            <v>Véhicules neufsSalaires spécialistes</v>
          </cell>
          <cell r="E48">
            <v>0</v>
          </cell>
        </row>
        <row r="49">
          <cell r="A49" t="str">
            <v>Véhicules neufs[...]</v>
          </cell>
          <cell r="E49">
            <v>0</v>
          </cell>
        </row>
        <row r="50">
          <cell r="A50" t="str">
            <v>Véhicules neufs[...]</v>
          </cell>
          <cell r="E50">
            <v>0</v>
          </cell>
        </row>
        <row r="51">
          <cell r="A51" t="str">
            <v>Véhicules neufs[...]</v>
          </cell>
          <cell r="E51">
            <v>0</v>
          </cell>
        </row>
        <row r="52">
          <cell r="A52" t="str">
            <v>Véhicules neufsSalaires en absences</v>
          </cell>
          <cell r="E52">
            <v>98322.177827214458</v>
          </cell>
          <cell r="H52">
            <v>6673.5718784001529</v>
          </cell>
          <cell r="K52">
            <v>5905.1250091703187</v>
          </cell>
          <cell r="N52">
            <v>8387.7235327600283</v>
          </cell>
          <cell r="Q52">
            <v>8456.3750044566568</v>
          </cell>
          <cell r="T52">
            <v>9024.1642244377035</v>
          </cell>
          <cell r="W52">
            <v>9032.0207438324942</v>
          </cell>
          <cell r="Z52">
            <v>8015.7261030411419</v>
          </cell>
          <cell r="AC52">
            <v>8415.7024259454429</v>
          </cell>
          <cell r="AF52">
            <v>8655.8461104362923</v>
          </cell>
          <cell r="AI52">
            <v>8863.04281550626</v>
          </cell>
          <cell r="AL52">
            <v>8508.7377053221244</v>
          </cell>
          <cell r="AO52">
            <v>8384.1422739058562</v>
          </cell>
        </row>
        <row r="53">
          <cell r="A53" t="str">
            <v>Véhicules neufsDéduction à la source</v>
          </cell>
          <cell r="E53">
            <v>73995.041045223261</v>
          </cell>
          <cell r="H53">
            <v>5022.3788363217645</v>
          </cell>
          <cell r="K53">
            <v>4444.0631512312702</v>
          </cell>
          <cell r="N53">
            <v>6312.4104937266184</v>
          </cell>
          <cell r="Q53">
            <v>6364.0760342818139</v>
          </cell>
          <cell r="T53">
            <v>6791.3813235458992</v>
          </cell>
          <cell r="W53">
            <v>6797.2939618533192</v>
          </cell>
          <cell r="Z53">
            <v>6032.4536651752915</v>
          </cell>
          <cell r="AC53">
            <v>6333.4667741651265</v>
          </cell>
          <cell r="AF53">
            <v>6514.1934645551473</v>
          </cell>
          <cell r="AI53">
            <v>6670.1250054840921</v>
          </cell>
          <cell r="AL53">
            <v>6403.483015345515</v>
          </cell>
          <cell r="AO53">
            <v>6309.7153195373958</v>
          </cell>
        </row>
        <row r="54">
          <cell r="A54" t="str">
            <v>Véhicules neufsBénéfices marginaux</v>
          </cell>
          <cell r="E54">
            <v>112513.00761670934</v>
          </cell>
          <cell r="H54">
            <v>7636.7678196125462</v>
          </cell>
          <cell r="K54">
            <v>6757.4110929680965</v>
          </cell>
          <cell r="N54">
            <v>9598.3228055295167</v>
          </cell>
          <cell r="Q54">
            <v>9676.8827370586496</v>
          </cell>
          <cell r="T54">
            <v>10326.620916624588</v>
          </cell>
          <cell r="W54">
            <v>10335.611366653678</v>
          </cell>
          <cell r="Z54">
            <v>9172.6350251295535</v>
          </cell>
          <cell r="AC54">
            <v>9630.3398894839593</v>
          </cell>
          <cell r="AF54">
            <v>9905.1434872002919</v>
          </cell>
          <cell r="AI54">
            <v>10142.244871352525</v>
          </cell>
          <cell r="AL54">
            <v>9736.802941141812</v>
          </cell>
          <cell r="AO54">
            <v>9594.2246639541227</v>
          </cell>
        </row>
        <row r="55">
          <cell r="A55" t="str">
            <v>Véhicules neufsCsst</v>
          </cell>
          <cell r="E55">
            <v>20272.613984992669</v>
          </cell>
          <cell r="H55">
            <v>1375.9942017319904</v>
          </cell>
          <cell r="K55">
            <v>1217.5515482825399</v>
          </cell>
          <cell r="N55">
            <v>1729.4275325278409</v>
          </cell>
          <cell r="Q55">
            <v>1743.5824751457026</v>
          </cell>
          <cell r="T55">
            <v>1860.6524174098356</v>
          </cell>
          <cell r="W55">
            <v>1862.2723183159781</v>
          </cell>
          <cell r="Z55">
            <v>1652.7270315548747</v>
          </cell>
          <cell r="AC55">
            <v>1735.1963764835964</v>
          </cell>
          <cell r="AF55">
            <v>1784.710538234287</v>
          </cell>
          <cell r="AI55">
            <v>1827.4315083518063</v>
          </cell>
          <cell r="AL55">
            <v>1754.3789083138399</v>
          </cell>
          <cell r="AO55">
            <v>1728.6891286403825</v>
          </cell>
        </row>
        <row r="56">
          <cell r="A56" t="str">
            <v>Véhicules neufs[...]</v>
          </cell>
          <cell r="E56">
            <v>0</v>
          </cell>
        </row>
        <row r="57">
          <cell r="A57" t="str">
            <v>Véhicules neufsTOTAL PERSONNEL</v>
          </cell>
          <cell r="C57" t="str">
            <v>% brut</v>
          </cell>
          <cell r="D57">
            <v>0.34513742367490902</v>
          </cell>
          <cell r="E57">
            <v>664579.65943413973</v>
          </cell>
          <cell r="F57" t="str">
            <v>% brut</v>
          </cell>
          <cell r="G57">
            <v>0.49264511568533581</v>
          </cell>
          <cell r="H57">
            <v>49855.410813307833</v>
          </cell>
          <cell r="I57" t="str">
            <v>% brut</v>
          </cell>
          <cell r="J57">
            <v>0.5626212847323746</v>
          </cell>
          <cell r="K57">
            <v>46391.244208548778</v>
          </cell>
          <cell r="L57" t="str">
            <v>% brut</v>
          </cell>
          <cell r="M57">
            <v>0.3461528904508992</v>
          </cell>
          <cell r="N57">
            <v>57333.791782475048</v>
          </cell>
          <cell r="O57" t="str">
            <v>% brut</v>
          </cell>
          <cell r="P57">
            <v>0.31595590037574878</v>
          </cell>
          <cell r="Q57">
            <v>55387.614328184201</v>
          </cell>
          <cell r="R57" t="str">
            <v>% brut</v>
          </cell>
          <cell r="S57">
            <v>0.30293489620905684</v>
          </cell>
          <cell r="T57">
            <v>58229.121629604233</v>
          </cell>
          <cell r="U57" t="str">
            <v>% brut</v>
          </cell>
          <cell r="V57">
            <v>0.30253460177364988</v>
          </cell>
          <cell r="W57">
            <v>58253.501138241671</v>
          </cell>
          <cell r="X57" t="str">
            <v>% brut</v>
          </cell>
          <cell r="Y57">
            <v>0.36652522752471151</v>
          </cell>
          <cell r="Z57">
            <v>55099.844572487062</v>
          </cell>
          <cell r="AA57" t="str">
            <v>% brut</v>
          </cell>
          <cell r="AB57">
            <v>0.3374814989666331</v>
          </cell>
          <cell r="AC57">
            <v>56341.008213664332</v>
          </cell>
          <cell r="AD57" t="str">
            <v>% brut</v>
          </cell>
          <cell r="AE57">
            <v>0.32266295038570875</v>
          </cell>
          <cell r="AF57">
            <v>57086.196348012221</v>
          </cell>
          <cell r="AG57" t="str">
            <v>% brut</v>
          </cell>
          <cell r="AH57">
            <v>0.29479644948331318</v>
          </cell>
          <cell r="AI57">
            <v>56649.542277936067</v>
          </cell>
          <cell r="AJ57" t="str">
            <v>% brut</v>
          </cell>
          <cell r="AK57">
            <v>0.3315141713142622</v>
          </cell>
          <cell r="AL57">
            <v>56629.705317709493</v>
          </cell>
          <cell r="AM57" t="str">
            <v>% brut</v>
          </cell>
          <cell r="AN57">
            <v>0.36049634150560683</v>
          </cell>
          <cell r="AO57">
            <v>57322.678803968796</v>
          </cell>
        </row>
        <row r="58">
          <cell r="A58" t="str">
            <v>Véhicules neufsPublicité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E60">
            <v>79624.799999999988</v>
          </cell>
          <cell r="H60">
            <v>6635.4</v>
          </cell>
          <cell r="K60">
            <v>6635.4</v>
          </cell>
          <cell r="N60">
            <v>6635.4</v>
          </cell>
          <cell r="Q60">
            <v>6635.4</v>
          </cell>
          <cell r="T60">
            <v>6635.4</v>
          </cell>
          <cell r="W60">
            <v>6635.4</v>
          </cell>
          <cell r="Z60">
            <v>6635.4</v>
          </cell>
          <cell r="AC60">
            <v>6635.4</v>
          </cell>
          <cell r="AF60">
            <v>6635.4</v>
          </cell>
          <cell r="AI60">
            <v>6635.4</v>
          </cell>
          <cell r="AL60">
            <v>6635.4</v>
          </cell>
          <cell r="AO60">
            <v>6635.4</v>
          </cell>
        </row>
        <row r="61">
          <cell r="A61" t="str">
            <v>Véhicules neufsInformatique</v>
          </cell>
          <cell r="E61">
            <v>57848.850000000013</v>
          </cell>
          <cell r="H61">
            <v>4820.7375000000002</v>
          </cell>
          <cell r="K61">
            <v>4820.7375000000002</v>
          </cell>
          <cell r="N61">
            <v>4820.7375000000002</v>
          </cell>
          <cell r="Q61">
            <v>4820.7375000000002</v>
          </cell>
          <cell r="T61">
            <v>4820.7375000000002</v>
          </cell>
          <cell r="W61">
            <v>4820.7375000000002</v>
          </cell>
          <cell r="Z61">
            <v>4820.7375000000002</v>
          </cell>
          <cell r="AC61">
            <v>4820.7375000000002</v>
          </cell>
          <cell r="AF61">
            <v>4820.7375000000002</v>
          </cell>
          <cell r="AI61">
            <v>4820.7375000000002</v>
          </cell>
          <cell r="AL61">
            <v>4820.7375000000002</v>
          </cell>
          <cell r="AO61">
            <v>4820.7375000000002</v>
          </cell>
        </row>
        <row r="62">
          <cell r="A62" t="str">
            <v>Véhicules neufsFrais de déplacement</v>
          </cell>
          <cell r="E62">
            <v>36450</v>
          </cell>
          <cell r="H62">
            <v>3037.5</v>
          </cell>
          <cell r="K62">
            <v>3037.5</v>
          </cell>
          <cell r="N62">
            <v>3037.5</v>
          </cell>
          <cell r="Q62">
            <v>3037.5</v>
          </cell>
          <cell r="T62">
            <v>3037.5</v>
          </cell>
          <cell r="W62">
            <v>3037.5</v>
          </cell>
          <cell r="Z62">
            <v>3037.5</v>
          </cell>
          <cell r="AC62">
            <v>3037.5</v>
          </cell>
          <cell r="AF62">
            <v>3037.5</v>
          </cell>
          <cell r="AI62">
            <v>3037.5</v>
          </cell>
          <cell r="AL62">
            <v>3037.5</v>
          </cell>
          <cell r="AO62">
            <v>3037.5</v>
          </cell>
        </row>
        <row r="63">
          <cell r="A63" t="str">
            <v>Véhicules neufsServices extérieurs</v>
          </cell>
          <cell r="E63">
            <v>39444.049999999996</v>
          </cell>
          <cell r="H63">
            <v>3287.0041666666666</v>
          </cell>
          <cell r="K63">
            <v>3287.0041666666666</v>
          </cell>
          <cell r="N63">
            <v>3287.0041666666666</v>
          </cell>
          <cell r="Q63">
            <v>3287.0041666666666</v>
          </cell>
          <cell r="T63">
            <v>3287.0041666666666</v>
          </cell>
          <cell r="W63">
            <v>3287.0041666666666</v>
          </cell>
          <cell r="Z63">
            <v>3287.0041666666666</v>
          </cell>
          <cell r="AC63">
            <v>3287.0041666666666</v>
          </cell>
          <cell r="AF63">
            <v>3287.0041666666666</v>
          </cell>
          <cell r="AI63">
            <v>3287.0041666666666</v>
          </cell>
          <cell r="AL63">
            <v>3287.0041666666666</v>
          </cell>
          <cell r="AO63">
            <v>3287.0041666666666</v>
          </cell>
        </row>
        <row r="64">
          <cell r="A64" t="str">
            <v>Véhicules neufsFournitures autres</v>
          </cell>
          <cell r="E64">
            <v>1314.8159999999998</v>
          </cell>
          <cell r="H64">
            <v>69.266618386174088</v>
          </cell>
          <cell r="K64">
            <v>54.909677294357124</v>
          </cell>
          <cell r="N64">
            <v>111.54163252685667</v>
          </cell>
          <cell r="Q64">
            <v>120.53450799384818</v>
          </cell>
          <cell r="T64">
            <v>131.15218958636996</v>
          </cell>
          <cell r="W64">
            <v>131.79357030900312</v>
          </cell>
          <cell r="Z64">
            <v>102.8762192823834</v>
          </cell>
          <cell r="AC64">
            <v>114.26434464375879</v>
          </cell>
          <cell r="AF64">
            <v>121.18774203655988</v>
          </cell>
          <cell r="AI64">
            <v>131.53145358464718</v>
          </cell>
          <cell r="AL64">
            <v>116.90582333652023</v>
          </cell>
          <cell r="AO64">
            <v>108.85222101952137</v>
          </cell>
        </row>
        <row r="65">
          <cell r="A65" t="str">
            <v>Véhicules neufsUniformes</v>
          </cell>
          <cell r="E65">
            <v>0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</row>
        <row r="66">
          <cell r="A66" t="str">
            <v>Véhicules neufsPapeterie</v>
          </cell>
          <cell r="E66">
            <v>5400</v>
          </cell>
          <cell r="H66">
            <v>450</v>
          </cell>
          <cell r="K66">
            <v>450</v>
          </cell>
          <cell r="N66">
            <v>450</v>
          </cell>
          <cell r="Q66">
            <v>450</v>
          </cell>
          <cell r="T66">
            <v>450</v>
          </cell>
          <cell r="W66">
            <v>450</v>
          </cell>
          <cell r="Z66">
            <v>450</v>
          </cell>
          <cell r="AC66">
            <v>450</v>
          </cell>
          <cell r="AF66">
            <v>450</v>
          </cell>
          <cell r="AI66">
            <v>450</v>
          </cell>
          <cell r="AL66">
            <v>450</v>
          </cell>
          <cell r="AO66">
            <v>450</v>
          </cell>
        </row>
        <row r="67">
          <cell r="A67" t="str">
            <v>Véhicules neufsTéléphone</v>
          </cell>
          <cell r="E67">
            <v>8293.7999999999975</v>
          </cell>
          <cell r="H67">
            <v>691.14999999999986</v>
          </cell>
          <cell r="K67">
            <v>691.14999999999986</v>
          </cell>
          <cell r="N67">
            <v>691.14999999999986</v>
          </cell>
          <cell r="Q67">
            <v>691.14999999999986</v>
          </cell>
          <cell r="T67">
            <v>691.14999999999986</v>
          </cell>
          <cell r="W67">
            <v>691.14999999999986</v>
          </cell>
          <cell r="Z67">
            <v>691.14999999999986</v>
          </cell>
          <cell r="AC67">
            <v>691.14999999999986</v>
          </cell>
          <cell r="AF67">
            <v>691.14999999999986</v>
          </cell>
          <cell r="AI67">
            <v>691.14999999999986</v>
          </cell>
          <cell r="AL67">
            <v>691.14999999999986</v>
          </cell>
          <cell r="AO67">
            <v>691.14999999999986</v>
          </cell>
        </row>
        <row r="68">
          <cell r="A68" t="str">
            <v>Véhicules neufsFrais postaux</v>
          </cell>
          <cell r="E68">
            <v>900</v>
          </cell>
          <cell r="H68">
            <v>75</v>
          </cell>
          <cell r="K68">
            <v>75</v>
          </cell>
          <cell r="N68">
            <v>75</v>
          </cell>
          <cell r="Q68">
            <v>75</v>
          </cell>
          <cell r="T68">
            <v>75</v>
          </cell>
          <cell r="W68">
            <v>75</v>
          </cell>
          <cell r="Z68">
            <v>75</v>
          </cell>
          <cell r="AC68">
            <v>75</v>
          </cell>
          <cell r="AF68">
            <v>75</v>
          </cell>
          <cell r="AI68">
            <v>75</v>
          </cell>
          <cell r="AL68">
            <v>75</v>
          </cell>
          <cell r="AO68">
            <v>75</v>
          </cell>
        </row>
        <row r="69">
          <cell r="A69" t="str">
            <v>Véhicules neufsDivers</v>
          </cell>
          <cell r="E69">
            <v>19503.45</v>
          </cell>
          <cell r="H69">
            <v>1625.2875000000001</v>
          </cell>
          <cell r="K69">
            <v>1625.2875000000001</v>
          </cell>
          <cell r="N69">
            <v>1625.2875000000001</v>
          </cell>
          <cell r="Q69">
            <v>1625.2875000000001</v>
          </cell>
          <cell r="T69">
            <v>1625.2875000000001</v>
          </cell>
          <cell r="W69">
            <v>1625.2875000000001</v>
          </cell>
          <cell r="Z69">
            <v>1625.2875000000001</v>
          </cell>
          <cell r="AC69">
            <v>1625.2875000000001</v>
          </cell>
          <cell r="AF69">
            <v>1625.2875000000001</v>
          </cell>
          <cell r="AI69">
            <v>1625.2875000000001</v>
          </cell>
          <cell r="AL69">
            <v>1625.2875000000001</v>
          </cell>
          <cell r="AO69">
            <v>1625.2875000000001</v>
          </cell>
        </row>
        <row r="70">
          <cell r="A70" t="str">
            <v>Véhicules neufsFormation</v>
          </cell>
          <cell r="E70">
            <v>7500</v>
          </cell>
          <cell r="H70">
            <v>625</v>
          </cell>
          <cell r="K70">
            <v>625</v>
          </cell>
          <cell r="N70">
            <v>625</v>
          </cell>
          <cell r="Q70">
            <v>625</v>
          </cell>
          <cell r="T70">
            <v>625</v>
          </cell>
          <cell r="W70">
            <v>625</v>
          </cell>
          <cell r="Z70">
            <v>625</v>
          </cell>
          <cell r="AC70">
            <v>625</v>
          </cell>
          <cell r="AF70">
            <v>625</v>
          </cell>
          <cell r="AI70">
            <v>625</v>
          </cell>
          <cell r="AL70">
            <v>625</v>
          </cell>
          <cell r="AO70">
            <v>625</v>
          </cell>
        </row>
        <row r="71">
          <cell r="A71" t="str">
            <v>Véhicules neufsFrais bancaires</v>
          </cell>
          <cell r="E71">
            <v>53651.728220172226</v>
          </cell>
          <cell r="H71">
            <v>2837.3110364580862</v>
          </cell>
          <cell r="K71">
            <v>3290.5517129232035</v>
          </cell>
          <cell r="N71">
            <v>5148.9189574605243</v>
          </cell>
          <cell r="Q71">
            <v>4937.283595468296</v>
          </cell>
          <cell r="T71">
            <v>5184.6953025002867</v>
          </cell>
          <cell r="W71">
            <v>5140.0221233466582</v>
          </cell>
          <cell r="Z71">
            <v>4279.1818974683074</v>
          </cell>
          <cell r="AC71">
            <v>4524.4281205211037</v>
          </cell>
          <cell r="AF71">
            <v>4653.8198165503209</v>
          </cell>
          <cell r="AI71">
            <v>5102.1824003868478</v>
          </cell>
          <cell r="AL71">
            <v>4673.2689495460663</v>
          </cell>
          <cell r="AO71">
            <v>3880.0643075425305</v>
          </cell>
        </row>
        <row r="72">
          <cell r="A72" t="str">
            <v>Véhicules neufs[...]</v>
          </cell>
          <cell r="E72">
            <v>0</v>
          </cell>
        </row>
        <row r="73">
          <cell r="A73" t="str">
            <v>Véhicules neufs[...]</v>
          </cell>
          <cell r="E73">
            <v>0</v>
          </cell>
        </row>
        <row r="74">
          <cell r="A74" t="str">
            <v>Véhicules neufs[...]</v>
          </cell>
          <cell r="E74">
            <v>0</v>
          </cell>
        </row>
        <row r="75">
          <cell r="A75" t="str">
            <v>Véhicules neufsTOTAL SEMI-FIXES</v>
          </cell>
          <cell r="C75" t="str">
            <v>% brut</v>
          </cell>
          <cell r="D75">
            <v>0.16095731476636604</v>
          </cell>
          <cell r="E75">
            <v>309931.49422017217</v>
          </cell>
          <cell r="F75" t="str">
            <v>% brut</v>
          </cell>
          <cell r="G75">
            <v>0.23867381423484166</v>
          </cell>
          <cell r="H75">
            <v>24153.656821510926</v>
          </cell>
          <cell r="I75" t="str">
            <v>% brut</v>
          </cell>
          <cell r="J75">
            <v>0.29825211629908255</v>
          </cell>
          <cell r="K75">
            <v>24592.540556884225</v>
          </cell>
          <cell r="L75" t="str">
            <v>% brut</v>
          </cell>
          <cell r="M75">
            <v>0.16003932794678</v>
          </cell>
          <cell r="N75">
            <v>26507.539756654049</v>
          </cell>
          <cell r="O75" t="str">
            <v>% brut</v>
          </cell>
          <cell r="P75">
            <v>0.1500549825459073</v>
          </cell>
          <cell r="Q75">
            <v>26304.897270128811</v>
          </cell>
          <cell r="R75" t="str">
            <v>% brut</v>
          </cell>
          <cell r="S75">
            <v>0.13819266382831952</v>
          </cell>
          <cell r="T75">
            <v>26562.926658753324</v>
          </cell>
          <cell r="U75" t="str">
            <v>% brut</v>
          </cell>
          <cell r="V75">
            <v>0.13772362414759864</v>
          </cell>
          <cell r="W75">
            <v>26518.894860322329</v>
          </cell>
          <cell r="X75" t="str">
            <v>% brut</v>
          </cell>
          <cell r="Y75">
            <v>0.17048551492207242</v>
          </cell>
          <cell r="Z75">
            <v>25629.13728341736</v>
          </cell>
          <cell r="AA75" t="str">
            <v>% brut</v>
          </cell>
          <cell r="AB75">
            <v>0.15505524819663638</v>
          </cell>
          <cell r="AC75">
            <v>25885.771631831529</v>
          </cell>
          <cell r="AD75" t="str">
            <v>% brut</v>
          </cell>
          <cell r="AE75">
            <v>0.14708219876442094</v>
          </cell>
          <cell r="AF75">
            <v>26022.086725253546</v>
          </cell>
          <cell r="AG75" t="str">
            <v>% brut</v>
          </cell>
          <cell r="AH75">
            <v>0.13780241548442476</v>
          </cell>
          <cell r="AI75">
            <v>26480.793020638164</v>
          </cell>
          <cell r="AJ75" t="str">
            <v>% brut</v>
          </cell>
          <cell r="AK75">
            <v>0.15242386684942416</v>
          </cell>
          <cell r="AL75">
            <v>26037.253939549253</v>
          </cell>
          <cell r="AM75" t="str">
            <v>% brut</v>
          </cell>
          <cell r="AN75">
            <v>0.15870654184694735</v>
          </cell>
          <cell r="AO75">
            <v>25235.995695228718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C77" t="str">
            <v>% brut</v>
          </cell>
          <cell r="D77">
            <v>1.1557302553364879</v>
          </cell>
          <cell r="E77">
            <v>2225417.37523288</v>
          </cell>
          <cell r="F77" t="str">
            <v>% brut</v>
          </cell>
          <cell r="G77">
            <v>1.4398177976743232</v>
          </cell>
          <cell r="H77">
            <v>145708.75771194056</v>
          </cell>
          <cell r="I77" t="str">
            <v>% brut</v>
          </cell>
          <cell r="J77">
            <v>1.6264445249362953</v>
          </cell>
          <cell r="K77">
            <v>134109.36840732547</v>
          </cell>
          <cell r="L77" t="str">
            <v>% brut</v>
          </cell>
          <cell r="M77">
            <v>1.1515065516460612</v>
          </cell>
          <cell r="N77">
            <v>190725.65530865011</v>
          </cell>
          <cell r="O77" t="str">
            <v>% brut</v>
          </cell>
          <cell r="P77">
            <v>1.1264658490404655</v>
          </cell>
          <cell r="Q77">
            <v>197471.40637767559</v>
          </cell>
          <cell r="R77" t="str">
            <v>% brut</v>
          </cell>
          <cell r="S77">
            <v>1.0835830421634285</v>
          </cell>
          <cell r="T77">
            <v>208282.66913947058</v>
          </cell>
          <cell r="U77" t="str">
            <v>% brut</v>
          </cell>
          <cell r="V77">
            <v>1.0729927675257822</v>
          </cell>
          <cell r="W77">
            <v>206606.40150892103</v>
          </cell>
          <cell r="X77" t="str">
            <v>% brut</v>
          </cell>
          <cell r="Y77">
            <v>1.199224941463801</v>
          </cell>
          <cell r="Z77">
            <v>180279.8359293027</v>
          </cell>
          <cell r="AA77" t="str">
            <v>% brut</v>
          </cell>
          <cell r="AB77">
            <v>1.1346444459685112</v>
          </cell>
          <cell r="AC77">
            <v>189423.75284465885</v>
          </cell>
          <cell r="AD77" t="str">
            <v>% brut</v>
          </cell>
          <cell r="AE77">
            <v>1.1026273664605879</v>
          </cell>
          <cell r="AF77">
            <v>195079.11356174306</v>
          </cell>
          <cell r="AG77" t="str">
            <v>% brut</v>
          </cell>
          <cell r="AH77">
            <v>1.0594017455892564</v>
          </cell>
          <cell r="AI77">
            <v>203579.87377821165</v>
          </cell>
          <cell r="AJ77" t="str">
            <v>% brut</v>
          </cell>
          <cell r="AK77">
            <v>1.1198242778918248</v>
          </cell>
          <cell r="AL77">
            <v>191289.91865785333</v>
          </cell>
          <cell r="AM77" t="str">
            <v>% brut</v>
          </cell>
          <cell r="AN77">
            <v>1.1499913579482763</v>
          </cell>
          <cell r="AO77">
            <v>182860.62200712704</v>
          </cell>
        </row>
        <row r="78">
          <cell r="A78" t="str">
            <v>Véhicules neufsBusiness Builder Neuf</v>
          </cell>
          <cell r="E78">
            <v>630048.16001479386</v>
          </cell>
          <cell r="H78">
            <v>33127.675091063567</v>
          </cell>
          <cell r="K78">
            <v>27220.652137782014</v>
          </cell>
          <cell r="N78">
            <v>54029.844252697229</v>
          </cell>
          <cell r="Q78">
            <v>57676.408705354261</v>
          </cell>
          <cell r="T78">
            <v>62644.788481470932</v>
          </cell>
          <cell r="W78">
            <v>62961.098374049798</v>
          </cell>
          <cell r="Z78">
            <v>49159.186232011431</v>
          </cell>
          <cell r="AC78">
            <v>54590.458533853249</v>
          </cell>
          <cell r="AF78">
            <v>57892.425217359341</v>
          </cell>
          <cell r="AI78">
            <v>62860.804993476013</v>
          </cell>
          <cell r="AL78">
            <v>55878.842730454926</v>
          </cell>
          <cell r="AO78">
            <v>52005.975265221125</v>
          </cell>
        </row>
        <row r="79">
          <cell r="A79" t="str">
            <v>Véhicules neufsProgramme neuf 2</v>
          </cell>
          <cell r="E79">
            <v>0</v>
          </cell>
        </row>
        <row r="80">
          <cell r="A80" t="str">
            <v>Véhicules neufsProgramme neuf 3</v>
          </cell>
          <cell r="E80">
            <v>0</v>
          </cell>
        </row>
        <row r="81">
          <cell r="A81" t="str">
            <v>Véhicules neufsHoldbacks</v>
          </cell>
          <cell r="E81">
            <v>0</v>
          </cell>
          <cell r="H81">
            <v>0</v>
          </cell>
          <cell r="K81">
            <v>0</v>
          </cell>
          <cell r="N81">
            <v>0</v>
          </cell>
          <cell r="Q81">
            <v>0</v>
          </cell>
          <cell r="T81">
            <v>0</v>
          </cell>
          <cell r="W81">
            <v>0</v>
          </cell>
          <cell r="Z81">
            <v>0</v>
          </cell>
          <cell r="AC81">
            <v>0</v>
          </cell>
          <cell r="AF81">
            <v>0</v>
          </cell>
          <cell r="AI81">
            <v>0</v>
          </cell>
          <cell r="AL81">
            <v>0</v>
          </cell>
          <cell r="AO81">
            <v>0</v>
          </cell>
        </row>
        <row r="82">
          <cell r="A82" t="str">
            <v>Véhicules neufs[...]</v>
          </cell>
          <cell r="E82">
            <v>0</v>
          </cell>
        </row>
        <row r="83">
          <cell r="A83" t="str">
            <v>Véhicules neufs[...]</v>
          </cell>
          <cell r="E83">
            <v>0</v>
          </cell>
        </row>
        <row r="84">
          <cell r="A84" t="str">
            <v>Véhicules neufs[...]</v>
          </cell>
          <cell r="E84">
            <v>0</v>
          </cell>
        </row>
        <row r="85">
          <cell r="A85" t="str">
            <v>Véhicules neufsFrais administration</v>
          </cell>
          <cell r="D85">
            <v>551.65</v>
          </cell>
          <cell r="E85">
            <v>253760.18711338346</v>
          </cell>
          <cell r="H85">
            <v>13368.494178947371</v>
          </cell>
          <cell r="K85">
            <v>10597.596914360312</v>
          </cell>
          <cell r="N85">
            <v>21527.594386550976</v>
          </cell>
          <cell r="Q85">
            <v>23263.224133368116</v>
          </cell>
          <cell r="T85">
            <v>25312.44232635379</v>
          </cell>
          <cell r="W85">
            <v>25436.229146856665</v>
          </cell>
          <cell r="Z85">
            <v>19855.16502279793</v>
          </cell>
          <cell r="AC85">
            <v>22053.079272832372</v>
          </cell>
          <cell r="AF85">
            <v>23389.298650948789</v>
          </cell>
          <cell r="AI85">
            <v>25385.640479683381</v>
          </cell>
          <cell r="AL85">
            <v>22562.886065061215</v>
          </cell>
          <cell r="AO85">
            <v>21008.536535622563</v>
          </cell>
        </row>
        <row r="86">
          <cell r="A86" t="str">
            <v>Véhicules neufsAUTRES REVENUS</v>
          </cell>
          <cell r="E86">
            <v>883808.34712817729</v>
          </cell>
          <cell r="H86">
            <v>46496.169270010942</v>
          </cell>
          <cell r="K86">
            <v>37818.249052142324</v>
          </cell>
          <cell r="N86">
            <v>75557.438639248197</v>
          </cell>
          <cell r="Q86">
            <v>80939.632838722377</v>
          </cell>
          <cell r="T86">
            <v>87957.23080782473</v>
          </cell>
          <cell r="W86">
            <v>88397.32752090646</v>
          </cell>
          <cell r="Z86">
            <v>69014.351254809357</v>
          </cell>
          <cell r="AC86">
            <v>76643.537806685621</v>
          </cell>
          <cell r="AF86">
            <v>81281.723868308123</v>
          </cell>
          <cell r="AI86">
            <v>88246.445473159401</v>
          </cell>
          <cell r="AL86">
            <v>78441.728795516145</v>
          </cell>
          <cell r="AO86">
            <v>73014.511800843684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E88">
            <v>583941.82163484604</v>
          </cell>
          <cell r="H88">
            <v>1986.853561980708</v>
          </cell>
          <cell r="K88">
            <v>-13835.575159737396</v>
          </cell>
          <cell r="N88">
            <v>50463.194663873321</v>
          </cell>
          <cell r="Q88">
            <v>58769.951360992593</v>
          </cell>
          <cell r="T88">
            <v>71891.18100896664</v>
          </cell>
          <cell r="W88">
            <v>74342.458288699127</v>
          </cell>
          <cell r="Z88">
            <v>39064.807580143271</v>
          </cell>
          <cell r="AC88">
            <v>54165.257191408993</v>
          </cell>
          <cell r="AF88">
            <v>63124.677992897923</v>
          </cell>
          <cell r="AI88">
            <v>76831.512545575883</v>
          </cell>
          <cell r="AL88">
            <v>57973.181342415322</v>
          </cell>
          <cell r="AO88">
            <v>49164.321257629999</v>
          </cell>
        </row>
        <row r="92">
          <cell r="C92" t="str">
            <v>Véhicules usagés</v>
          </cell>
        </row>
        <row r="94">
          <cell r="C94" t="str">
            <v>TOTAL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E96">
            <v>24365172.413793102</v>
          </cell>
          <cell r="H96">
            <v>1218258.6206896552</v>
          </cell>
          <cell r="K96">
            <v>1461910.3448275863</v>
          </cell>
          <cell r="N96">
            <v>2192865.5172413792</v>
          </cell>
          <cell r="Q96">
            <v>2436517.2413793104</v>
          </cell>
          <cell r="T96">
            <v>2436517.2413793104</v>
          </cell>
          <cell r="W96">
            <v>2436517.2413793104</v>
          </cell>
          <cell r="Z96">
            <v>2192865.5172413792</v>
          </cell>
          <cell r="AC96">
            <v>2192865.5172413792</v>
          </cell>
          <cell r="AF96">
            <v>2192865.5172413792</v>
          </cell>
          <cell r="AI96">
            <v>2192865.5172413792</v>
          </cell>
          <cell r="AL96">
            <v>1949213.7931034483</v>
          </cell>
          <cell r="AO96">
            <v>1461910.3448275863</v>
          </cell>
        </row>
        <row r="97">
          <cell r="A97" t="str">
            <v>Véhicules usagésCertifié</v>
          </cell>
          <cell r="C97">
            <v>76.000000000000014</v>
          </cell>
          <cell r="D97">
            <v>1199.9999999999998</v>
          </cell>
          <cell r="E97">
            <v>91200</v>
          </cell>
          <cell r="F97">
            <v>3.8000000000000003</v>
          </cell>
          <cell r="G97">
            <v>1200</v>
          </cell>
          <cell r="H97">
            <v>4560</v>
          </cell>
          <cell r="I97">
            <v>4.5599999999999996</v>
          </cell>
          <cell r="J97">
            <v>1200</v>
          </cell>
          <cell r="K97">
            <v>5471.9999999999991</v>
          </cell>
          <cell r="L97">
            <v>6.84</v>
          </cell>
          <cell r="M97">
            <v>1200</v>
          </cell>
          <cell r="N97">
            <v>8208</v>
          </cell>
          <cell r="O97">
            <v>7.6000000000000005</v>
          </cell>
          <cell r="P97">
            <v>1200</v>
          </cell>
          <cell r="Q97">
            <v>9120</v>
          </cell>
          <cell r="R97">
            <v>7.6000000000000005</v>
          </cell>
          <cell r="S97">
            <v>1200</v>
          </cell>
          <cell r="T97">
            <v>9120</v>
          </cell>
          <cell r="U97">
            <v>7.6000000000000005</v>
          </cell>
          <cell r="V97">
            <v>1200</v>
          </cell>
          <cell r="W97">
            <v>9120</v>
          </cell>
          <cell r="X97">
            <v>6.84</v>
          </cell>
          <cell r="Y97">
            <v>1200</v>
          </cell>
          <cell r="Z97">
            <v>8208</v>
          </cell>
          <cell r="AA97">
            <v>6.84</v>
          </cell>
          <cell r="AB97">
            <v>1200</v>
          </cell>
          <cell r="AC97">
            <v>8208</v>
          </cell>
          <cell r="AD97">
            <v>6.84</v>
          </cell>
          <cell r="AE97">
            <v>1200</v>
          </cell>
          <cell r="AF97">
            <v>8208</v>
          </cell>
          <cell r="AG97">
            <v>6.84</v>
          </cell>
          <cell r="AH97">
            <v>1200</v>
          </cell>
          <cell r="AI97">
            <v>8208</v>
          </cell>
          <cell r="AJ97">
            <v>6.08</v>
          </cell>
          <cell r="AK97">
            <v>1200</v>
          </cell>
          <cell r="AL97">
            <v>7296</v>
          </cell>
          <cell r="AM97">
            <v>4.5599999999999996</v>
          </cell>
          <cell r="AN97">
            <v>1200</v>
          </cell>
          <cell r="AO97">
            <v>5471.9999999999991</v>
          </cell>
        </row>
        <row r="98">
          <cell r="A98" t="str">
            <v>Véhicules usagésNon Certifié</v>
          </cell>
          <cell r="C98">
            <v>31.999999999999993</v>
          </cell>
          <cell r="D98">
            <v>1500.0000000000002</v>
          </cell>
          <cell r="E98">
            <v>48000</v>
          </cell>
          <cell r="F98">
            <v>1.6</v>
          </cell>
          <cell r="G98">
            <v>1500</v>
          </cell>
          <cell r="H98">
            <v>2400</v>
          </cell>
          <cell r="I98">
            <v>1.92</v>
          </cell>
          <cell r="J98">
            <v>1500</v>
          </cell>
          <cell r="K98">
            <v>2880</v>
          </cell>
          <cell r="L98">
            <v>2.88</v>
          </cell>
          <cell r="M98">
            <v>1500</v>
          </cell>
          <cell r="N98">
            <v>4320</v>
          </cell>
          <cell r="O98">
            <v>3.2</v>
          </cell>
          <cell r="P98">
            <v>1500</v>
          </cell>
          <cell r="Q98">
            <v>4800</v>
          </cell>
          <cell r="R98">
            <v>3.2</v>
          </cell>
          <cell r="S98">
            <v>1500</v>
          </cell>
          <cell r="T98">
            <v>4800</v>
          </cell>
          <cell r="U98">
            <v>3.2</v>
          </cell>
          <cell r="V98">
            <v>1500</v>
          </cell>
          <cell r="W98">
            <v>4800</v>
          </cell>
          <cell r="X98">
            <v>2.88</v>
          </cell>
          <cell r="Y98">
            <v>1500</v>
          </cell>
          <cell r="Z98">
            <v>4320</v>
          </cell>
          <cell r="AA98">
            <v>2.88</v>
          </cell>
          <cell r="AB98">
            <v>1500</v>
          </cell>
          <cell r="AC98">
            <v>4320</v>
          </cell>
          <cell r="AD98">
            <v>2.88</v>
          </cell>
          <cell r="AE98">
            <v>1500</v>
          </cell>
          <cell r="AF98">
            <v>4320</v>
          </cell>
          <cell r="AG98">
            <v>2.88</v>
          </cell>
          <cell r="AH98">
            <v>1500</v>
          </cell>
          <cell r="AI98">
            <v>4320</v>
          </cell>
          <cell r="AJ98">
            <v>2.56</v>
          </cell>
          <cell r="AK98">
            <v>1500</v>
          </cell>
          <cell r="AL98">
            <v>3840</v>
          </cell>
          <cell r="AM98">
            <v>1.92</v>
          </cell>
          <cell r="AN98">
            <v>1500</v>
          </cell>
          <cell r="AO98">
            <v>2880</v>
          </cell>
        </row>
        <row r="99">
          <cell r="A99" t="str">
            <v>Véhicules usagésTotal Usagés</v>
          </cell>
          <cell r="C99">
            <v>108</v>
          </cell>
          <cell r="D99">
            <v>1288.8888888888889</v>
          </cell>
          <cell r="E99">
            <v>139200</v>
          </cell>
          <cell r="F99">
            <v>5.4</v>
          </cell>
          <cell r="G99">
            <v>1288.8888888888889</v>
          </cell>
          <cell r="H99">
            <v>6960</v>
          </cell>
          <cell r="I99">
            <v>6.4799999999999995</v>
          </cell>
          <cell r="J99">
            <v>1288.8888888888889</v>
          </cell>
          <cell r="K99">
            <v>8352</v>
          </cell>
          <cell r="L99">
            <v>9.7199999999999989</v>
          </cell>
          <cell r="M99">
            <v>1288.8888888888891</v>
          </cell>
          <cell r="N99">
            <v>12528</v>
          </cell>
          <cell r="O99">
            <v>10.8</v>
          </cell>
          <cell r="P99">
            <v>1288.8888888888889</v>
          </cell>
          <cell r="Q99">
            <v>13920</v>
          </cell>
          <cell r="R99">
            <v>10.8</v>
          </cell>
          <cell r="S99">
            <v>1288.8888888888889</v>
          </cell>
          <cell r="T99">
            <v>13920</v>
          </cell>
          <cell r="U99">
            <v>10.8</v>
          </cell>
          <cell r="V99">
            <v>1288.8888888888889</v>
          </cell>
          <cell r="W99">
            <v>13920</v>
          </cell>
          <cell r="X99">
            <v>9.7199999999999989</v>
          </cell>
          <cell r="Y99">
            <v>1288.8888888888891</v>
          </cell>
          <cell r="Z99">
            <v>12528</v>
          </cell>
          <cell r="AA99">
            <v>9.7199999999999989</v>
          </cell>
          <cell r="AB99">
            <v>1288.8888888888891</v>
          </cell>
          <cell r="AC99">
            <v>12528</v>
          </cell>
          <cell r="AD99">
            <v>9.7199999999999989</v>
          </cell>
          <cell r="AE99">
            <v>1288.8888888888891</v>
          </cell>
          <cell r="AF99">
            <v>12528</v>
          </cell>
          <cell r="AG99">
            <v>9.7199999999999989</v>
          </cell>
          <cell r="AH99">
            <v>1288.8888888888891</v>
          </cell>
          <cell r="AI99">
            <v>12528</v>
          </cell>
          <cell r="AJ99">
            <v>8.64</v>
          </cell>
          <cell r="AK99">
            <v>1288.8888888888889</v>
          </cell>
          <cell r="AL99">
            <v>11136</v>
          </cell>
          <cell r="AM99">
            <v>6.4799999999999995</v>
          </cell>
          <cell r="AN99">
            <v>1288.8888888888889</v>
          </cell>
          <cell r="AO99">
            <v>8352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C102">
            <v>479.99999999999994</v>
          </cell>
          <cell r="D102">
            <v>500.00000000000006</v>
          </cell>
          <cell r="E102">
            <v>240000</v>
          </cell>
          <cell r="F102">
            <v>24</v>
          </cell>
          <cell r="G102">
            <v>500</v>
          </cell>
          <cell r="H102">
            <v>12000</v>
          </cell>
          <cell r="I102">
            <v>28.799999999999997</v>
          </cell>
          <cell r="J102">
            <v>500</v>
          </cell>
          <cell r="K102">
            <v>14399.999999999998</v>
          </cell>
          <cell r="L102">
            <v>43.199999999999996</v>
          </cell>
          <cell r="M102">
            <v>499.99999999999994</v>
          </cell>
          <cell r="N102">
            <v>21599.999999999996</v>
          </cell>
          <cell r="O102">
            <v>48</v>
          </cell>
          <cell r="P102">
            <v>500</v>
          </cell>
          <cell r="Q102">
            <v>24000</v>
          </cell>
          <cell r="R102">
            <v>48</v>
          </cell>
          <cell r="S102">
            <v>500</v>
          </cell>
          <cell r="T102">
            <v>24000</v>
          </cell>
          <cell r="U102">
            <v>48</v>
          </cell>
          <cell r="V102">
            <v>500</v>
          </cell>
          <cell r="W102">
            <v>24000</v>
          </cell>
          <cell r="X102">
            <v>43.199999999999996</v>
          </cell>
          <cell r="Y102">
            <v>499.99999999999994</v>
          </cell>
          <cell r="Z102">
            <v>21599.999999999996</v>
          </cell>
          <cell r="AA102">
            <v>43.199999999999996</v>
          </cell>
          <cell r="AB102">
            <v>499.99999999999994</v>
          </cell>
          <cell r="AC102">
            <v>21599.999999999996</v>
          </cell>
          <cell r="AD102">
            <v>43.199999999999996</v>
          </cell>
          <cell r="AE102">
            <v>499.99999999999994</v>
          </cell>
          <cell r="AF102">
            <v>21599.999999999996</v>
          </cell>
          <cell r="AG102">
            <v>43.199999999999996</v>
          </cell>
          <cell r="AH102">
            <v>499.99999999999994</v>
          </cell>
          <cell r="AI102">
            <v>21599.999999999996</v>
          </cell>
          <cell r="AJ102">
            <v>38.4</v>
          </cell>
          <cell r="AK102">
            <v>500</v>
          </cell>
          <cell r="AL102">
            <v>19200</v>
          </cell>
          <cell r="AM102">
            <v>28.799999999999997</v>
          </cell>
          <cell r="AN102">
            <v>500</v>
          </cell>
          <cell r="AO102">
            <v>14399.999999999998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D104">
            <v>280.25</v>
          </cell>
          <cell r="E104">
            <v>30267</v>
          </cell>
          <cell r="G104">
            <v>280.25</v>
          </cell>
          <cell r="H104">
            <v>1513.3500000000001</v>
          </cell>
          <cell r="J104">
            <v>280.25</v>
          </cell>
          <cell r="K104">
            <v>1816.02</v>
          </cell>
          <cell r="M104">
            <v>280.25</v>
          </cell>
          <cell r="N104">
            <v>2724.0299999999997</v>
          </cell>
          <cell r="P104">
            <v>280.25</v>
          </cell>
          <cell r="Q104">
            <v>3026.7000000000003</v>
          </cell>
          <cell r="S104">
            <v>280.25</v>
          </cell>
          <cell r="T104">
            <v>3026.7000000000003</v>
          </cell>
          <cell r="V104">
            <v>280.25</v>
          </cell>
          <cell r="W104">
            <v>3026.7000000000003</v>
          </cell>
          <cell r="Y104">
            <v>280.25</v>
          </cell>
          <cell r="Z104">
            <v>2724.0299999999997</v>
          </cell>
          <cell r="AB104">
            <v>280.25</v>
          </cell>
          <cell r="AC104">
            <v>2724.0299999999997</v>
          </cell>
          <cell r="AE104">
            <v>280.25</v>
          </cell>
          <cell r="AF104">
            <v>2724.0299999999997</v>
          </cell>
          <cell r="AH104">
            <v>280.25</v>
          </cell>
          <cell r="AI104">
            <v>2724.0299999999997</v>
          </cell>
          <cell r="AK104">
            <v>280.25</v>
          </cell>
          <cell r="AL104">
            <v>2421.36</v>
          </cell>
          <cell r="AN104">
            <v>280.25</v>
          </cell>
          <cell r="AO104">
            <v>1816.02</v>
          </cell>
        </row>
        <row r="105">
          <cell r="A105" t="str">
            <v>Véhicules usagésRev. Protections</v>
          </cell>
          <cell r="D105">
            <v>1003.0000000000001</v>
          </cell>
          <cell r="E105">
            <v>108324.00000000001</v>
          </cell>
          <cell r="G105">
            <v>1003.0000000000001</v>
          </cell>
          <cell r="H105">
            <v>5416.2000000000007</v>
          </cell>
          <cell r="J105">
            <v>1003.0000000000001</v>
          </cell>
          <cell r="K105">
            <v>6499.4400000000005</v>
          </cell>
          <cell r="M105">
            <v>1003.0000000000001</v>
          </cell>
          <cell r="N105">
            <v>9749.16</v>
          </cell>
          <cell r="P105">
            <v>1003.0000000000001</v>
          </cell>
          <cell r="Q105">
            <v>10832.400000000001</v>
          </cell>
          <cell r="S105">
            <v>1003.0000000000001</v>
          </cell>
          <cell r="T105">
            <v>10832.400000000001</v>
          </cell>
          <cell r="V105">
            <v>1003.0000000000001</v>
          </cell>
          <cell r="W105">
            <v>10832.400000000001</v>
          </cell>
          <cell r="Y105">
            <v>1003.0000000000001</v>
          </cell>
          <cell r="Z105">
            <v>9749.16</v>
          </cell>
          <cell r="AB105">
            <v>1003.0000000000001</v>
          </cell>
          <cell r="AC105">
            <v>9749.16</v>
          </cell>
          <cell r="AE105">
            <v>1003.0000000000001</v>
          </cell>
          <cell r="AF105">
            <v>9749.16</v>
          </cell>
          <cell r="AH105">
            <v>1003.0000000000001</v>
          </cell>
          <cell r="AI105">
            <v>9749.16</v>
          </cell>
          <cell r="AK105">
            <v>1003.0000000000001</v>
          </cell>
          <cell r="AL105">
            <v>8665.9200000000019</v>
          </cell>
          <cell r="AN105">
            <v>1003.0000000000001</v>
          </cell>
          <cell r="AO105">
            <v>6499.4400000000005</v>
          </cell>
        </row>
        <row r="106">
          <cell r="A106" t="str">
            <v>Véhicules usagésRev. Autres</v>
          </cell>
          <cell r="D106">
            <v>191.75</v>
          </cell>
          <cell r="E106">
            <v>20709</v>
          </cell>
          <cell r="G106">
            <v>191.75</v>
          </cell>
          <cell r="H106">
            <v>1035.45</v>
          </cell>
          <cell r="J106">
            <v>191.75</v>
          </cell>
          <cell r="K106">
            <v>1242.54</v>
          </cell>
          <cell r="M106">
            <v>191.75</v>
          </cell>
          <cell r="N106">
            <v>1863.8099999999997</v>
          </cell>
          <cell r="P106">
            <v>191.75</v>
          </cell>
          <cell r="Q106">
            <v>2070.9</v>
          </cell>
          <cell r="S106">
            <v>191.75</v>
          </cell>
          <cell r="T106">
            <v>2070.9</v>
          </cell>
          <cell r="V106">
            <v>191.75</v>
          </cell>
          <cell r="W106">
            <v>2070.9</v>
          </cell>
          <cell r="Y106">
            <v>191.75</v>
          </cell>
          <cell r="Z106">
            <v>1863.8099999999997</v>
          </cell>
          <cell r="AB106">
            <v>191.75</v>
          </cell>
          <cell r="AC106">
            <v>1863.8099999999997</v>
          </cell>
          <cell r="AE106">
            <v>191.75</v>
          </cell>
          <cell r="AF106">
            <v>1863.8099999999997</v>
          </cell>
          <cell r="AH106">
            <v>191.75</v>
          </cell>
          <cell r="AI106">
            <v>1863.8099999999997</v>
          </cell>
          <cell r="AK106">
            <v>191.75</v>
          </cell>
          <cell r="AL106">
            <v>1656.72</v>
          </cell>
          <cell r="AN106">
            <v>191.75</v>
          </cell>
          <cell r="AO106">
            <v>1242.54</v>
          </cell>
        </row>
        <row r="107">
          <cell r="A107" t="str">
            <v>Véhicules usagésTotal F&amp;I</v>
          </cell>
          <cell r="C107">
            <v>108</v>
          </cell>
          <cell r="D107">
            <v>1475</v>
          </cell>
          <cell r="E107">
            <v>159300</v>
          </cell>
          <cell r="F107">
            <v>5.4</v>
          </cell>
          <cell r="G107">
            <v>1475</v>
          </cell>
          <cell r="H107">
            <v>7965.0000000000009</v>
          </cell>
          <cell r="I107">
            <v>6.4799999999999995</v>
          </cell>
          <cell r="J107">
            <v>1475</v>
          </cell>
          <cell r="K107">
            <v>9558</v>
          </cell>
          <cell r="L107">
            <v>9.7199999999999989</v>
          </cell>
          <cell r="M107">
            <v>1475</v>
          </cell>
          <cell r="N107">
            <v>14336.999999999998</v>
          </cell>
          <cell r="O107">
            <v>10.8</v>
          </cell>
          <cell r="P107">
            <v>1475</v>
          </cell>
          <cell r="Q107">
            <v>15930.000000000002</v>
          </cell>
          <cell r="R107">
            <v>10.8</v>
          </cell>
          <cell r="S107">
            <v>1475</v>
          </cell>
          <cell r="T107">
            <v>15930.000000000002</v>
          </cell>
          <cell r="U107">
            <v>10.8</v>
          </cell>
          <cell r="V107">
            <v>1475</v>
          </cell>
          <cell r="W107">
            <v>15930.000000000002</v>
          </cell>
          <cell r="X107">
            <v>9.7199999999999989</v>
          </cell>
          <cell r="Y107">
            <v>1475</v>
          </cell>
          <cell r="Z107">
            <v>14336.999999999998</v>
          </cell>
          <cell r="AA107">
            <v>9.7199999999999989</v>
          </cell>
          <cell r="AB107">
            <v>1475</v>
          </cell>
          <cell r="AC107">
            <v>14336.999999999998</v>
          </cell>
          <cell r="AD107">
            <v>9.7199999999999989</v>
          </cell>
          <cell r="AE107">
            <v>1475</v>
          </cell>
          <cell r="AF107">
            <v>14336.999999999998</v>
          </cell>
          <cell r="AG107">
            <v>9.7199999999999989</v>
          </cell>
          <cell r="AH107">
            <v>1475</v>
          </cell>
          <cell r="AI107">
            <v>14336.999999999998</v>
          </cell>
          <cell r="AJ107">
            <v>8.64</v>
          </cell>
          <cell r="AK107">
            <v>1475</v>
          </cell>
          <cell r="AL107">
            <v>12744.000000000002</v>
          </cell>
          <cell r="AM107">
            <v>6.4799999999999995</v>
          </cell>
          <cell r="AN107">
            <v>1475</v>
          </cell>
          <cell r="AO107">
            <v>9558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C110">
            <v>588</v>
          </cell>
          <cell r="D110">
            <v>915.81632653061229</v>
          </cell>
          <cell r="E110">
            <v>538500</v>
          </cell>
          <cell r="F110">
            <v>29.4</v>
          </cell>
          <cell r="G110">
            <v>915.81632653061229</v>
          </cell>
          <cell r="H110">
            <v>26925</v>
          </cell>
          <cell r="I110">
            <v>35.279999999999994</v>
          </cell>
          <cell r="J110">
            <v>915.8163265306124</v>
          </cell>
          <cell r="K110">
            <v>32310</v>
          </cell>
          <cell r="L110">
            <v>52.919999999999995</v>
          </cell>
          <cell r="M110">
            <v>915.81632653061229</v>
          </cell>
          <cell r="N110">
            <v>48465</v>
          </cell>
          <cell r="O110">
            <v>58.8</v>
          </cell>
          <cell r="P110">
            <v>915.81632653061229</v>
          </cell>
          <cell r="Q110">
            <v>53850</v>
          </cell>
          <cell r="R110">
            <v>58.8</v>
          </cell>
          <cell r="S110">
            <v>915.81632653061229</v>
          </cell>
          <cell r="T110">
            <v>53850</v>
          </cell>
          <cell r="U110">
            <v>58.8</v>
          </cell>
          <cell r="V110">
            <v>915.81632653061229</v>
          </cell>
          <cell r="W110">
            <v>53850</v>
          </cell>
          <cell r="X110">
            <v>52.919999999999995</v>
          </cell>
          <cell r="Y110">
            <v>915.81632653061229</v>
          </cell>
          <cell r="Z110">
            <v>48465</v>
          </cell>
          <cell r="AA110">
            <v>52.919999999999995</v>
          </cell>
          <cell r="AB110">
            <v>915.81632653061229</v>
          </cell>
          <cell r="AC110">
            <v>48465</v>
          </cell>
          <cell r="AD110">
            <v>52.919999999999995</v>
          </cell>
          <cell r="AE110">
            <v>915.81632653061229</v>
          </cell>
          <cell r="AF110">
            <v>48465</v>
          </cell>
          <cell r="AG110">
            <v>52.919999999999995</v>
          </cell>
          <cell r="AH110">
            <v>915.81632653061229</v>
          </cell>
          <cell r="AI110">
            <v>48465</v>
          </cell>
          <cell r="AJ110">
            <v>47.04</v>
          </cell>
          <cell r="AK110">
            <v>915.81632653061229</v>
          </cell>
          <cell r="AL110">
            <v>43080</v>
          </cell>
          <cell r="AM110">
            <v>35.279999999999994</v>
          </cell>
          <cell r="AN110">
            <v>915.8163265306124</v>
          </cell>
          <cell r="AO110">
            <v>32310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</row>
        <row r="114">
          <cell r="A114" t="str">
            <v>Véhicules usagésComm. vendeurs</v>
          </cell>
          <cell r="C114">
            <v>0.3312638225745636</v>
          </cell>
          <cell r="D114">
            <v>426.96226020721537</v>
          </cell>
          <cell r="E114">
            <v>46111.924102379257</v>
          </cell>
          <cell r="G114">
            <v>491.54114599106612</v>
          </cell>
          <cell r="H114">
            <v>2654.3221883517572</v>
          </cell>
          <cell r="J114">
            <v>457.4904295783204</v>
          </cell>
          <cell r="K114">
            <v>2964.5379836675161</v>
          </cell>
          <cell r="M114">
            <v>424.06281869549809</v>
          </cell>
          <cell r="N114">
            <v>4121.8905977202412</v>
          </cell>
          <cell r="P114">
            <v>406.88168410664417</v>
          </cell>
          <cell r="Q114">
            <v>4394.3221883517572</v>
          </cell>
          <cell r="S114">
            <v>410.38022157740727</v>
          </cell>
          <cell r="T114">
            <v>4432.1063930359987</v>
          </cell>
          <cell r="V114">
            <v>410.38022157740727</v>
          </cell>
          <cell r="W114">
            <v>4432.1063930359987</v>
          </cell>
          <cell r="Y114">
            <v>420.17555483909462</v>
          </cell>
          <cell r="Z114">
            <v>4084.1063930359992</v>
          </cell>
          <cell r="AB114">
            <v>420.17555483909462</v>
          </cell>
          <cell r="AC114">
            <v>4084.1063930359992</v>
          </cell>
          <cell r="AE114">
            <v>420.17555483909462</v>
          </cell>
          <cell r="AF114">
            <v>4084.1063930359992</v>
          </cell>
          <cell r="AH114">
            <v>416.28829098269114</v>
          </cell>
          <cell r="AI114">
            <v>4046.3221883517576</v>
          </cell>
          <cell r="AK114">
            <v>432.41972141620357</v>
          </cell>
          <cell r="AL114">
            <v>3736.1063930359992</v>
          </cell>
          <cell r="AN114">
            <v>474.983116932136</v>
          </cell>
          <cell r="AO114">
            <v>3077.8905977202412</v>
          </cell>
        </row>
        <row r="115">
          <cell r="A115" t="str">
            <v>Véhicules usagésComm. F&amp;I</v>
          </cell>
          <cell r="C115">
            <v>0.25</v>
          </cell>
          <cell r="D115">
            <v>368.75</v>
          </cell>
          <cell r="E115">
            <v>39825</v>
          </cell>
          <cell r="G115">
            <v>368.75</v>
          </cell>
          <cell r="H115">
            <v>1991.2500000000002</v>
          </cell>
          <cell r="J115">
            <v>368.75</v>
          </cell>
          <cell r="K115">
            <v>2389.5</v>
          </cell>
          <cell r="M115">
            <v>368.75</v>
          </cell>
          <cell r="N115">
            <v>3584.2499999999995</v>
          </cell>
          <cell r="P115">
            <v>368.75</v>
          </cell>
          <cell r="Q115">
            <v>3982.5000000000005</v>
          </cell>
          <cell r="S115">
            <v>368.75</v>
          </cell>
          <cell r="T115">
            <v>3982.5000000000005</v>
          </cell>
          <cell r="V115">
            <v>368.75</v>
          </cell>
          <cell r="W115">
            <v>3982.5000000000005</v>
          </cell>
          <cell r="Y115">
            <v>368.75</v>
          </cell>
          <cell r="Z115">
            <v>3584.2499999999995</v>
          </cell>
          <cell r="AB115">
            <v>368.75</v>
          </cell>
          <cell r="AC115">
            <v>3584.2499999999995</v>
          </cell>
          <cell r="AE115">
            <v>368.75</v>
          </cell>
          <cell r="AF115">
            <v>3584.2499999999995</v>
          </cell>
          <cell r="AH115">
            <v>368.75</v>
          </cell>
          <cell r="AI115">
            <v>3584.2499999999995</v>
          </cell>
          <cell r="AK115">
            <v>368.75</v>
          </cell>
          <cell r="AL115">
            <v>3186.0000000000005</v>
          </cell>
          <cell r="AN115">
            <v>368.75</v>
          </cell>
          <cell r="AO115">
            <v>2389.5</v>
          </cell>
        </row>
        <row r="116">
          <cell r="A116" t="str">
            <v>Véhicules usagésFrais de livraison</v>
          </cell>
          <cell r="D116">
            <v>200</v>
          </cell>
          <cell r="E116">
            <v>21600</v>
          </cell>
          <cell r="G116">
            <v>200</v>
          </cell>
          <cell r="H116">
            <v>1080</v>
          </cell>
          <cell r="J116">
            <v>200.00000000000003</v>
          </cell>
          <cell r="K116">
            <v>1296</v>
          </cell>
          <cell r="M116">
            <v>200</v>
          </cell>
          <cell r="N116">
            <v>1943.9999999999998</v>
          </cell>
          <cell r="P116">
            <v>200</v>
          </cell>
          <cell r="Q116">
            <v>2160</v>
          </cell>
          <cell r="S116">
            <v>200</v>
          </cell>
          <cell r="T116">
            <v>2160</v>
          </cell>
          <cell r="V116">
            <v>200</v>
          </cell>
          <cell r="W116">
            <v>2160</v>
          </cell>
          <cell r="Y116">
            <v>200</v>
          </cell>
          <cell r="Z116">
            <v>1943.9999999999998</v>
          </cell>
          <cell r="AB116">
            <v>200</v>
          </cell>
          <cell r="AC116">
            <v>1943.9999999999998</v>
          </cell>
          <cell r="AE116">
            <v>200</v>
          </cell>
          <cell r="AF116">
            <v>1943.9999999999998</v>
          </cell>
          <cell r="AH116">
            <v>200</v>
          </cell>
          <cell r="AI116">
            <v>1943.9999999999998</v>
          </cell>
          <cell r="AK116">
            <v>200</v>
          </cell>
          <cell r="AL116">
            <v>1728</v>
          </cell>
          <cell r="AN116">
            <v>200.00000000000003</v>
          </cell>
          <cell r="AO116">
            <v>1296</v>
          </cell>
        </row>
        <row r="117">
          <cell r="A117" t="str">
            <v>Véhicules usagésService gratuit 1</v>
          </cell>
          <cell r="D117">
            <v>100</v>
          </cell>
          <cell r="E117">
            <v>10800</v>
          </cell>
          <cell r="G117">
            <v>100</v>
          </cell>
          <cell r="H117">
            <v>540</v>
          </cell>
          <cell r="J117">
            <v>100.00000000000001</v>
          </cell>
          <cell r="K117">
            <v>648</v>
          </cell>
          <cell r="M117">
            <v>100</v>
          </cell>
          <cell r="N117">
            <v>971.99999999999989</v>
          </cell>
          <cell r="P117">
            <v>100</v>
          </cell>
          <cell r="Q117">
            <v>1080</v>
          </cell>
          <cell r="S117">
            <v>100</v>
          </cell>
          <cell r="T117">
            <v>1080</v>
          </cell>
          <cell r="V117">
            <v>100</v>
          </cell>
          <cell r="W117">
            <v>1080</v>
          </cell>
          <cell r="Y117">
            <v>100</v>
          </cell>
          <cell r="Z117">
            <v>971.99999999999989</v>
          </cell>
          <cell r="AB117">
            <v>100</v>
          </cell>
          <cell r="AC117">
            <v>971.99999999999989</v>
          </cell>
          <cell r="AE117">
            <v>100</v>
          </cell>
          <cell r="AF117">
            <v>971.99999999999989</v>
          </cell>
          <cell r="AH117">
            <v>100</v>
          </cell>
          <cell r="AI117">
            <v>971.99999999999989</v>
          </cell>
          <cell r="AK117">
            <v>100</v>
          </cell>
          <cell r="AL117">
            <v>864</v>
          </cell>
          <cell r="AN117">
            <v>100.00000000000001</v>
          </cell>
          <cell r="AO117">
            <v>648</v>
          </cell>
        </row>
        <row r="118">
          <cell r="A118" t="str">
            <v>Véhicules usagésEntretien stock</v>
          </cell>
          <cell r="D118">
            <v>216.00000000000003</v>
          </cell>
          <cell r="E118">
            <v>23328.000000000004</v>
          </cell>
          <cell r="G118">
            <v>216</v>
          </cell>
          <cell r="H118">
            <v>1166.4000000000001</v>
          </cell>
          <cell r="J118">
            <v>216</v>
          </cell>
          <cell r="K118">
            <v>1399.6799999999998</v>
          </cell>
          <cell r="M118">
            <v>215.99999999999997</v>
          </cell>
          <cell r="N118">
            <v>2099.5199999999995</v>
          </cell>
          <cell r="P118">
            <v>216</v>
          </cell>
          <cell r="Q118">
            <v>2332.8000000000002</v>
          </cell>
          <cell r="S118">
            <v>216</v>
          </cell>
          <cell r="T118">
            <v>2332.8000000000002</v>
          </cell>
          <cell r="V118">
            <v>216</v>
          </cell>
          <cell r="W118">
            <v>2332.8000000000002</v>
          </cell>
          <cell r="Y118">
            <v>215.99999999999997</v>
          </cell>
          <cell r="Z118">
            <v>2099.5199999999995</v>
          </cell>
          <cell r="AB118">
            <v>215.99999999999997</v>
          </cell>
          <cell r="AC118">
            <v>2099.5199999999995</v>
          </cell>
          <cell r="AE118">
            <v>215.99999999999997</v>
          </cell>
          <cell r="AF118">
            <v>2099.5199999999995</v>
          </cell>
          <cell r="AH118">
            <v>215.99999999999997</v>
          </cell>
          <cell r="AI118">
            <v>2099.5199999999995</v>
          </cell>
          <cell r="AK118">
            <v>216</v>
          </cell>
          <cell r="AL118">
            <v>1866.2400000000002</v>
          </cell>
          <cell r="AN118">
            <v>216</v>
          </cell>
          <cell r="AO118">
            <v>1399.6799999999998</v>
          </cell>
        </row>
        <row r="119">
          <cell r="A119" t="str">
            <v>Véhicules usagésPublicité 1</v>
          </cell>
          <cell r="D119">
            <v>230.71296296296299</v>
          </cell>
          <cell r="E119">
            <v>24917.000000000004</v>
          </cell>
          <cell r="G119">
            <v>248.44979983383965</v>
          </cell>
          <cell r="H119">
            <v>1341.6289191027342</v>
          </cell>
          <cell r="J119">
            <v>130.18863568941688</v>
          </cell>
          <cell r="K119">
            <v>843.62235926742142</v>
          </cell>
          <cell r="M119">
            <v>211.73152565059198</v>
          </cell>
          <cell r="N119">
            <v>2058.0304293237537</v>
          </cell>
          <cell r="P119">
            <v>203.17796769987953</v>
          </cell>
          <cell r="Q119">
            <v>2194.3220511586992</v>
          </cell>
          <cell r="S119">
            <v>229.88440372788796</v>
          </cell>
          <cell r="T119">
            <v>2482.7515602611902</v>
          </cell>
          <cell r="V119">
            <v>231.49765546173768</v>
          </cell>
          <cell r="W119">
            <v>2500.174678986767</v>
          </cell>
          <cell r="Y119">
            <v>187.51381940138415</v>
          </cell>
          <cell r="Z119">
            <v>1822.6343245814537</v>
          </cell>
          <cell r="AB119">
            <v>219.34083871945791</v>
          </cell>
          <cell r="AC119">
            <v>2131.9929523531305</v>
          </cell>
          <cell r="AE119">
            <v>238.69003760646146</v>
          </cell>
          <cell r="AF119">
            <v>2320.0671655348051</v>
          </cell>
          <cell r="AH119">
            <v>267.59817628731253</v>
          </cell>
          <cell r="AI119">
            <v>2601.0542735126774</v>
          </cell>
          <cell r="AK119">
            <v>267.56351481162869</v>
          </cell>
          <cell r="AL119">
            <v>2311.7487679724723</v>
          </cell>
          <cell r="AN119">
            <v>356.32291943594174</v>
          </cell>
          <cell r="AO119">
            <v>2308.9725179449024</v>
          </cell>
        </row>
        <row r="120">
          <cell r="A120" t="str">
            <v>Véhicules usagésIntérêt de gros</v>
          </cell>
          <cell r="D120">
            <v>509.67155555555553</v>
          </cell>
          <cell r="E120">
            <v>55044.527999999998</v>
          </cell>
          <cell r="G120">
            <v>808.5827037037036</v>
          </cell>
          <cell r="H120">
            <v>4366.3465999999999</v>
          </cell>
          <cell r="J120">
            <v>697.8600308641976</v>
          </cell>
          <cell r="K120">
            <v>4522.1329999999998</v>
          </cell>
          <cell r="M120">
            <v>481.26742798353911</v>
          </cell>
          <cell r="N120">
            <v>4677.9193999999998</v>
          </cell>
          <cell r="P120">
            <v>436.74685185185183</v>
          </cell>
          <cell r="Q120">
            <v>4716.866</v>
          </cell>
          <cell r="S120">
            <v>436.74685185185183</v>
          </cell>
          <cell r="T120">
            <v>4716.866</v>
          </cell>
          <cell r="V120">
            <v>433.14068518518513</v>
          </cell>
          <cell r="W120">
            <v>4677.9193999999998</v>
          </cell>
          <cell r="Y120">
            <v>477.26057613168734</v>
          </cell>
          <cell r="Z120">
            <v>4638.9728000000005</v>
          </cell>
          <cell r="AB120">
            <v>477.26057613168734</v>
          </cell>
          <cell r="AC120">
            <v>4638.9728000000005</v>
          </cell>
          <cell r="AE120">
            <v>477.26057613168734</v>
          </cell>
          <cell r="AF120">
            <v>4638.9728000000005</v>
          </cell>
          <cell r="AH120">
            <v>473.25372427983547</v>
          </cell>
          <cell r="AI120">
            <v>4600.0262000000002</v>
          </cell>
          <cell r="AK120">
            <v>518.88731481481477</v>
          </cell>
          <cell r="AL120">
            <v>4483.1863999999996</v>
          </cell>
          <cell r="AN120">
            <v>673.81891975308645</v>
          </cell>
          <cell r="AO120">
            <v>4366.3465999999999</v>
          </cell>
        </row>
        <row r="121">
          <cell r="A121" t="str">
            <v>Véhicules usagés[...]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C124" t="str">
            <v>% brut</v>
          </cell>
          <cell r="D124">
            <v>0.4115625851483366</v>
          </cell>
          <cell r="E124">
            <v>221626.45210237926</v>
          </cell>
          <cell r="F124" t="str">
            <v>% brut</v>
          </cell>
          <cell r="G124">
            <v>0.48802034196674066</v>
          </cell>
          <cell r="H124">
            <v>13139.947707454492</v>
          </cell>
          <cell r="I124" t="str">
            <v>% brut</v>
          </cell>
          <cell r="J124">
            <v>0.43526689393175294</v>
          </cell>
          <cell r="K124">
            <v>14063.473342934938</v>
          </cell>
          <cell r="L124" t="str">
            <v>% brut</v>
          </cell>
          <cell r="M124">
            <v>0.40147756993797573</v>
          </cell>
          <cell r="N124">
            <v>19457.610427043994</v>
          </cell>
          <cell r="O124" t="str">
            <v>% brut</v>
          </cell>
          <cell r="P124">
            <v>0.3873873767782815</v>
          </cell>
          <cell r="Q124">
            <v>20860.810239510458</v>
          </cell>
          <cell r="R124" t="str">
            <v>% brut</v>
          </cell>
          <cell r="S124">
            <v>0.393445198761322</v>
          </cell>
          <cell r="T124">
            <v>21187.02395329719</v>
          </cell>
          <cell r="U124" t="str">
            <v>% brut</v>
          </cell>
          <cell r="V124">
            <v>0.39304550551574313</v>
          </cell>
          <cell r="W124">
            <v>21165.500472022766</v>
          </cell>
          <cell r="X124" t="str">
            <v>% brut</v>
          </cell>
          <cell r="Y124">
            <v>0.39503731595207775</v>
          </cell>
          <cell r="Z124">
            <v>19145.483517617449</v>
          </cell>
          <cell r="AA124" t="str">
            <v>% brut</v>
          </cell>
          <cell r="AB124">
            <v>0.40142045074567478</v>
          </cell>
          <cell r="AC124">
            <v>19454.842145389128</v>
          </cell>
          <cell r="AD124" t="str">
            <v>% brut</v>
          </cell>
          <cell r="AE124">
            <v>0.40530107002106264</v>
          </cell>
          <cell r="AF124">
            <v>19642.916358570801</v>
          </cell>
          <cell r="AG124" t="str">
            <v>% brut</v>
          </cell>
          <cell r="AH124">
            <v>0.40951558159216822</v>
          </cell>
          <cell r="AI124">
            <v>19847.172661864432</v>
          </cell>
          <cell r="AJ124" t="str">
            <v>% brut</v>
          </cell>
          <cell r="AK124">
            <v>0.42189604366314931</v>
          </cell>
          <cell r="AL124">
            <v>18175.281561008473</v>
          </cell>
          <cell r="AM124" t="str">
            <v>% brut</v>
          </cell>
          <cell r="AN124">
            <v>0.47930639788502455</v>
          </cell>
          <cell r="AO124">
            <v>15486.389715665144</v>
          </cell>
        </row>
        <row r="125">
          <cell r="A125" t="str">
            <v>Véhicules usagésSalaires cadres</v>
          </cell>
          <cell r="E125">
            <v>149522.79999999999</v>
          </cell>
          <cell r="H125">
            <v>12179.420689655171</v>
          </cell>
          <cell r="K125">
            <v>11805.003831417624</v>
          </cell>
          <cell r="N125">
            <v>12928.254406130269</v>
          </cell>
          <cell r="Q125">
            <v>12179.420689655171</v>
          </cell>
          <cell r="T125">
            <v>12553.837547892723</v>
          </cell>
          <cell r="W125">
            <v>12553.837547892723</v>
          </cell>
          <cell r="Z125">
            <v>12553.837547892723</v>
          </cell>
          <cell r="AC125">
            <v>12553.837547892723</v>
          </cell>
          <cell r="AF125">
            <v>12553.837547892723</v>
          </cell>
          <cell r="AI125">
            <v>12179.420689655171</v>
          </cell>
          <cell r="AL125">
            <v>12553.837547892723</v>
          </cell>
          <cell r="AO125">
            <v>12928.254406130269</v>
          </cell>
        </row>
        <row r="126">
          <cell r="A126" t="str">
            <v>Véhicules usagésSalaires commis</v>
          </cell>
          <cell r="E126">
            <v>17408.260000000002</v>
          </cell>
          <cell r="H126">
            <v>1400.6645977011494</v>
          </cell>
          <cell r="K126">
            <v>1333.9662835249042</v>
          </cell>
          <cell r="N126">
            <v>1534.06122605364</v>
          </cell>
          <cell r="Q126">
            <v>1400.6645977011494</v>
          </cell>
          <cell r="T126">
            <v>1467.3629118773947</v>
          </cell>
          <cell r="W126">
            <v>1467.3629118773947</v>
          </cell>
          <cell r="Z126">
            <v>1467.3629118773947</v>
          </cell>
          <cell r="AC126">
            <v>1467.3629118773947</v>
          </cell>
          <cell r="AF126">
            <v>1467.3629118773947</v>
          </cell>
          <cell r="AI126">
            <v>1400.6645977011494</v>
          </cell>
          <cell r="AL126">
            <v>1467.3629118773947</v>
          </cell>
          <cell r="AO126">
            <v>1534.06122605364</v>
          </cell>
        </row>
        <row r="127">
          <cell r="A127" t="str">
            <v>Véhicules usagésSalaires autres</v>
          </cell>
          <cell r="E127">
            <v>35687.032640000005</v>
          </cell>
          <cell r="H127">
            <v>2871.3704422988503</v>
          </cell>
          <cell r="K127">
            <v>2734.6385164750959</v>
          </cell>
          <cell r="N127">
            <v>3144.83429394636</v>
          </cell>
          <cell r="Q127">
            <v>2871.3704422988503</v>
          </cell>
          <cell r="T127">
            <v>3008.1023681226056</v>
          </cell>
          <cell r="W127">
            <v>3008.1023681226056</v>
          </cell>
          <cell r="Z127">
            <v>3008.1023681226056</v>
          </cell>
          <cell r="AC127">
            <v>3008.1023681226056</v>
          </cell>
          <cell r="AF127">
            <v>3008.1023681226056</v>
          </cell>
          <cell r="AI127">
            <v>2871.3704422988503</v>
          </cell>
          <cell r="AL127">
            <v>3008.1023681226056</v>
          </cell>
          <cell r="AO127">
            <v>3144.83429394636</v>
          </cell>
        </row>
        <row r="128">
          <cell r="A128" t="str">
            <v>Véhicules usagésSalaires spécialistes</v>
          </cell>
          <cell r="E128">
            <v>0</v>
          </cell>
        </row>
        <row r="129">
          <cell r="A129" t="str">
            <v>Véhicules usagés[...]</v>
          </cell>
          <cell r="E129">
            <v>0</v>
          </cell>
        </row>
        <row r="130">
          <cell r="A130" t="str">
            <v>Véhicules usagés[...]</v>
          </cell>
          <cell r="E130">
            <v>0</v>
          </cell>
        </row>
        <row r="131">
          <cell r="A131" t="str">
            <v>Véhicules usagés[...]</v>
          </cell>
          <cell r="E131">
            <v>0</v>
          </cell>
        </row>
        <row r="132">
          <cell r="A132" t="str">
            <v>Véhicules usagésSalaires en absences</v>
          </cell>
          <cell r="E132">
            <v>30744.633126922286</v>
          </cell>
          <cell r="H132">
            <v>2270.2918836111157</v>
          </cell>
          <cell r="K132">
            <v>2275.3802976567949</v>
          </cell>
          <cell r="N132">
            <v>2694.4325555197579</v>
          </cell>
          <cell r="Q132">
            <v>2632.2231336111158</v>
          </cell>
          <cell r="T132">
            <v>2699.5209695654371</v>
          </cell>
          <cell r="W132">
            <v>2699.5209695654371</v>
          </cell>
          <cell r="Z132">
            <v>2627.1347195654371</v>
          </cell>
          <cell r="AC132">
            <v>2627.1347195654371</v>
          </cell>
          <cell r="AF132">
            <v>2627.1347195654371</v>
          </cell>
          <cell r="AI132">
            <v>2559.8368836111158</v>
          </cell>
          <cell r="AL132">
            <v>2554.7484695654371</v>
          </cell>
          <cell r="AO132">
            <v>2477.2738055197578</v>
          </cell>
        </row>
        <row r="133">
          <cell r="A133" t="str">
            <v>Véhicules usagésDéduction à la source</v>
          </cell>
          <cell r="E133">
            <v>23137.713590364187</v>
          </cell>
          <cell r="H133">
            <v>1708.5701804496025</v>
          </cell>
          <cell r="K133">
            <v>1712.3996054530517</v>
          </cell>
          <cell r="N133">
            <v>2027.768830442704</v>
          </cell>
          <cell r="Q133">
            <v>1980.9514304496024</v>
          </cell>
          <cell r="T133">
            <v>2031.5982554461536</v>
          </cell>
          <cell r="W133">
            <v>2031.5982554461536</v>
          </cell>
          <cell r="Z133">
            <v>1977.1220054461535</v>
          </cell>
          <cell r="AC133">
            <v>1977.1220054461535</v>
          </cell>
          <cell r="AF133">
            <v>1977.1220054461535</v>
          </cell>
          <cell r="AI133">
            <v>1926.4751804496025</v>
          </cell>
          <cell r="AL133">
            <v>1922.6457554461535</v>
          </cell>
          <cell r="AO133">
            <v>1864.3400804427042</v>
          </cell>
        </row>
        <row r="134">
          <cell r="A134" t="str">
            <v>Véhicules usagésBénéfices marginaux</v>
          </cell>
          <cell r="E134">
            <v>35182.002856581174</v>
          </cell>
          <cell r="H134">
            <v>2597.9628771219986</v>
          </cell>
          <cell r="K134">
            <v>2603.7857014423116</v>
          </cell>
          <cell r="N134">
            <v>3083.3197284813723</v>
          </cell>
          <cell r="Q134">
            <v>3012.1316271219985</v>
          </cell>
          <cell r="T134">
            <v>3089.1425528016857</v>
          </cell>
          <cell r="W134">
            <v>3089.1425528016857</v>
          </cell>
          <cell r="Z134">
            <v>3006.3088028016859</v>
          </cell>
          <cell r="AC134">
            <v>3006.3088028016859</v>
          </cell>
          <cell r="AF134">
            <v>3006.3088028016859</v>
          </cell>
          <cell r="AI134">
            <v>2929.2978771219987</v>
          </cell>
          <cell r="AL134">
            <v>2923.4750528016857</v>
          </cell>
          <cell r="AO134">
            <v>2834.818478481372</v>
          </cell>
        </row>
        <row r="135">
          <cell r="A135" t="str">
            <v>Véhicules usagésCsst</v>
          </cell>
          <cell r="E135">
            <v>6339.0996137984093</v>
          </cell>
          <cell r="H135">
            <v>468.10141930126099</v>
          </cell>
          <cell r="K135">
            <v>469.15057683645256</v>
          </cell>
          <cell r="N135">
            <v>555.55310423087792</v>
          </cell>
          <cell r="Q135">
            <v>542.72641930126099</v>
          </cell>
          <cell r="T135">
            <v>556.60226176606955</v>
          </cell>
          <cell r="W135">
            <v>556.60226176606955</v>
          </cell>
          <cell r="Z135">
            <v>541.67726176606948</v>
          </cell>
          <cell r="AC135">
            <v>541.67726176606948</v>
          </cell>
          <cell r="AF135">
            <v>541.67726176606948</v>
          </cell>
          <cell r="AI135">
            <v>527.80141930126103</v>
          </cell>
          <cell r="AL135">
            <v>526.75226176606952</v>
          </cell>
          <cell r="AO135">
            <v>510.77810423087789</v>
          </cell>
        </row>
        <row r="136">
          <cell r="A136" t="str">
            <v>Véhicules usagés[...]</v>
          </cell>
          <cell r="E136">
            <v>0</v>
          </cell>
        </row>
        <row r="137">
          <cell r="A137" t="str">
            <v>Véhicules usagésTOTAL PERSONNEL</v>
          </cell>
          <cell r="C137" t="str">
            <v>% brut</v>
          </cell>
          <cell r="D137">
            <v>0.55342904703373452</v>
          </cell>
          <cell r="E137">
            <v>298021.54182766605</v>
          </cell>
          <cell r="F137" t="str">
            <v>% brut</v>
          </cell>
          <cell r="G137">
            <v>0.87266043046013553</v>
          </cell>
          <cell r="H137">
            <v>23496.382090139148</v>
          </cell>
          <cell r="I137" t="str">
            <v>% brut</v>
          </cell>
          <cell r="J137">
            <v>0.70982125697326626</v>
          </cell>
          <cell r="K137">
            <v>22934.324812806233</v>
          </cell>
          <cell r="L137" t="str">
            <v>% brut</v>
          </cell>
          <cell r="M137">
            <v>0.53581397183132118</v>
          </cell>
          <cell r="N137">
            <v>25968.224144804979</v>
          </cell>
          <cell r="O137" t="str">
            <v>% brut</v>
          </cell>
          <cell r="P137">
            <v>0.45718641300165552</v>
          </cell>
          <cell r="Q137">
            <v>24619.488340139149</v>
          </cell>
          <cell r="R137" t="str">
            <v>% brut</v>
          </cell>
          <cell r="S137">
            <v>0.47179511360208115</v>
          </cell>
          <cell r="T137">
            <v>25406.166867472071</v>
          </cell>
          <cell r="U137" t="str">
            <v>% brut</v>
          </cell>
          <cell r="V137">
            <v>0.47179511360208115</v>
          </cell>
          <cell r="W137">
            <v>25406.166867472071</v>
          </cell>
          <cell r="X137" t="str">
            <v>% brut</v>
          </cell>
          <cell r="Y137">
            <v>0.51958208227529279</v>
          </cell>
          <cell r="Z137">
            <v>25181.545617472068</v>
          </cell>
          <cell r="AA137" t="str">
            <v>% brut</v>
          </cell>
          <cell r="AB137">
            <v>0.51958208227529279</v>
          </cell>
          <cell r="AC137">
            <v>25181.545617472068</v>
          </cell>
          <cell r="AD137" t="str">
            <v>% brut</v>
          </cell>
          <cell r="AE137">
            <v>0.51958208227529279</v>
          </cell>
          <cell r="AF137">
            <v>25181.545617472068</v>
          </cell>
          <cell r="AG137" t="str">
            <v>% brut</v>
          </cell>
          <cell r="AH137">
            <v>0.5033501927192644</v>
          </cell>
          <cell r="AI137">
            <v>24394.867090139149</v>
          </cell>
          <cell r="AJ137" t="str">
            <v>% brut</v>
          </cell>
          <cell r="AK137">
            <v>0.57931579311680748</v>
          </cell>
          <cell r="AL137">
            <v>24956.924367472067</v>
          </cell>
          <cell r="AM137" t="str">
            <v>% brut</v>
          </cell>
          <cell r="AN137">
            <v>0.78286475997539395</v>
          </cell>
          <cell r="AO137">
            <v>25294.360394804979</v>
          </cell>
        </row>
        <row r="138">
          <cell r="A138" t="str">
            <v>Véhicules usagésPublicité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E140">
            <v>3834.24</v>
          </cell>
          <cell r="H140">
            <v>319.52</v>
          </cell>
          <cell r="K140">
            <v>319.52</v>
          </cell>
          <cell r="N140">
            <v>319.52</v>
          </cell>
          <cell r="Q140">
            <v>319.52</v>
          </cell>
          <cell r="T140">
            <v>319.52</v>
          </cell>
          <cell r="W140">
            <v>319.52</v>
          </cell>
          <cell r="Z140">
            <v>319.52</v>
          </cell>
          <cell r="AC140">
            <v>319.52</v>
          </cell>
          <cell r="AF140">
            <v>319.52</v>
          </cell>
          <cell r="AI140">
            <v>319.52</v>
          </cell>
          <cell r="AL140">
            <v>319.52</v>
          </cell>
          <cell r="AO140">
            <v>319.52</v>
          </cell>
        </row>
        <row r="141">
          <cell r="A141" t="str">
            <v>Véhicules usagésInformatique</v>
          </cell>
          <cell r="E141">
            <v>12855.299999999997</v>
          </cell>
          <cell r="H141">
            <v>1071.2750000000001</v>
          </cell>
          <cell r="K141">
            <v>1071.2750000000001</v>
          </cell>
          <cell r="N141">
            <v>1071.2750000000001</v>
          </cell>
          <cell r="Q141">
            <v>1071.2750000000001</v>
          </cell>
          <cell r="T141">
            <v>1071.2750000000001</v>
          </cell>
          <cell r="W141">
            <v>1071.2750000000001</v>
          </cell>
          <cell r="Z141">
            <v>1071.2750000000001</v>
          </cell>
          <cell r="AC141">
            <v>1071.2750000000001</v>
          </cell>
          <cell r="AF141">
            <v>1071.2750000000001</v>
          </cell>
          <cell r="AI141">
            <v>1071.2750000000001</v>
          </cell>
          <cell r="AL141">
            <v>1071.2750000000001</v>
          </cell>
          <cell r="AO141">
            <v>1071.2750000000001</v>
          </cell>
        </row>
        <row r="142">
          <cell r="A142" t="str">
            <v>Véhicules usagésFrais de déplacement</v>
          </cell>
          <cell r="E142">
            <v>8100</v>
          </cell>
          <cell r="H142">
            <v>675</v>
          </cell>
          <cell r="K142">
            <v>675</v>
          </cell>
          <cell r="N142">
            <v>675</v>
          </cell>
          <cell r="Q142">
            <v>675</v>
          </cell>
          <cell r="T142">
            <v>675</v>
          </cell>
          <cell r="W142">
            <v>675</v>
          </cell>
          <cell r="Z142">
            <v>675</v>
          </cell>
          <cell r="AC142">
            <v>675</v>
          </cell>
          <cell r="AF142">
            <v>675</v>
          </cell>
          <cell r="AI142">
            <v>675</v>
          </cell>
          <cell r="AL142">
            <v>675</v>
          </cell>
          <cell r="AO142">
            <v>675</v>
          </cell>
        </row>
        <row r="143">
          <cell r="A143" t="str">
            <v>Véhicules usagésServices extérieurs</v>
          </cell>
          <cell r="E143">
            <v>4122.8999999999996</v>
          </cell>
          <cell r="H143">
            <v>343.57500000000005</v>
          </cell>
          <cell r="K143">
            <v>343.57500000000005</v>
          </cell>
          <cell r="N143">
            <v>343.57500000000005</v>
          </cell>
          <cell r="Q143">
            <v>343.57500000000005</v>
          </cell>
          <cell r="T143">
            <v>343.57500000000005</v>
          </cell>
          <cell r="W143">
            <v>343.57500000000005</v>
          </cell>
          <cell r="Z143">
            <v>343.57500000000005</v>
          </cell>
          <cell r="AC143">
            <v>343.57500000000005</v>
          </cell>
          <cell r="AF143">
            <v>343.57500000000005</v>
          </cell>
          <cell r="AI143">
            <v>343.57500000000005</v>
          </cell>
          <cell r="AL143">
            <v>343.57500000000005</v>
          </cell>
          <cell r="AO143">
            <v>343.57500000000005</v>
          </cell>
        </row>
        <row r="144">
          <cell r="A144" t="str">
            <v>Véhicules usagésFournitures autres</v>
          </cell>
          <cell r="E144">
            <v>5259.2639999999983</v>
          </cell>
          <cell r="H144">
            <v>262.96319999999997</v>
          </cell>
          <cell r="K144">
            <v>315.55583999999993</v>
          </cell>
          <cell r="N144">
            <v>473.33375999999987</v>
          </cell>
          <cell r="Q144">
            <v>525.92639999999994</v>
          </cell>
          <cell r="T144">
            <v>525.92639999999994</v>
          </cell>
          <cell r="W144">
            <v>525.92639999999994</v>
          </cell>
          <cell r="Z144">
            <v>473.33375999999987</v>
          </cell>
          <cell r="AC144">
            <v>473.33375999999987</v>
          </cell>
          <cell r="AF144">
            <v>473.33375999999987</v>
          </cell>
          <cell r="AI144">
            <v>473.33375999999987</v>
          </cell>
          <cell r="AL144">
            <v>420.74111999999991</v>
          </cell>
          <cell r="AO144">
            <v>315.55583999999993</v>
          </cell>
        </row>
        <row r="145">
          <cell r="A145" t="str">
            <v>Véhicules usagésUniformes</v>
          </cell>
          <cell r="E145">
            <v>0</v>
          </cell>
          <cell r="H145">
            <v>0</v>
          </cell>
          <cell r="K145">
            <v>0</v>
          </cell>
          <cell r="N145">
            <v>0</v>
          </cell>
          <cell r="Q145">
            <v>0</v>
          </cell>
          <cell r="T145">
            <v>0</v>
          </cell>
          <cell r="W145">
            <v>0</v>
          </cell>
          <cell r="Z145">
            <v>0</v>
          </cell>
          <cell r="AC145">
            <v>0</v>
          </cell>
          <cell r="AF145">
            <v>0</v>
          </cell>
          <cell r="AI145">
            <v>0</v>
          </cell>
          <cell r="AL145">
            <v>0</v>
          </cell>
          <cell r="AO145">
            <v>0</v>
          </cell>
        </row>
        <row r="146">
          <cell r="A146" t="str">
            <v>Véhicules usagésPapeterie</v>
          </cell>
          <cell r="E146">
            <v>1200</v>
          </cell>
          <cell r="H146">
            <v>100</v>
          </cell>
          <cell r="K146">
            <v>100</v>
          </cell>
          <cell r="N146">
            <v>100</v>
          </cell>
          <cell r="Q146">
            <v>100</v>
          </cell>
          <cell r="T146">
            <v>100</v>
          </cell>
          <cell r="W146">
            <v>100</v>
          </cell>
          <cell r="Z146">
            <v>100</v>
          </cell>
          <cell r="AC146">
            <v>100</v>
          </cell>
          <cell r="AF146">
            <v>100</v>
          </cell>
          <cell r="AI146">
            <v>100</v>
          </cell>
          <cell r="AL146">
            <v>100</v>
          </cell>
          <cell r="AO146">
            <v>100</v>
          </cell>
        </row>
        <row r="147">
          <cell r="A147" t="str">
            <v>Véhicules usagésTéléphone</v>
          </cell>
          <cell r="E147">
            <v>1736.4000000000003</v>
          </cell>
          <cell r="H147">
            <v>144.69999999999999</v>
          </cell>
          <cell r="K147">
            <v>144.69999999999999</v>
          </cell>
          <cell r="N147">
            <v>144.69999999999999</v>
          </cell>
          <cell r="Q147">
            <v>144.69999999999999</v>
          </cell>
          <cell r="T147">
            <v>144.69999999999999</v>
          </cell>
          <cell r="W147">
            <v>144.69999999999999</v>
          </cell>
          <cell r="Z147">
            <v>144.69999999999999</v>
          </cell>
          <cell r="AC147">
            <v>144.69999999999999</v>
          </cell>
          <cell r="AF147">
            <v>144.69999999999999</v>
          </cell>
          <cell r="AI147">
            <v>144.69999999999999</v>
          </cell>
          <cell r="AL147">
            <v>144.69999999999999</v>
          </cell>
          <cell r="AO147">
            <v>144.69999999999999</v>
          </cell>
        </row>
        <row r="148">
          <cell r="A148" t="str">
            <v>Véhicules usagésFrais postaux</v>
          </cell>
          <cell r="E148">
            <v>199.99999999999997</v>
          </cell>
          <cell r="H148">
            <v>16.666666666666668</v>
          </cell>
          <cell r="K148">
            <v>16.666666666666668</v>
          </cell>
          <cell r="N148">
            <v>16.666666666666668</v>
          </cell>
          <cell r="Q148">
            <v>16.666666666666668</v>
          </cell>
          <cell r="T148">
            <v>16.666666666666668</v>
          </cell>
          <cell r="W148">
            <v>16.666666666666668</v>
          </cell>
          <cell r="Z148">
            <v>16.666666666666668</v>
          </cell>
          <cell r="AC148">
            <v>16.666666666666668</v>
          </cell>
          <cell r="AF148">
            <v>16.666666666666668</v>
          </cell>
          <cell r="AI148">
            <v>16.666666666666668</v>
          </cell>
          <cell r="AL148">
            <v>16.666666666666668</v>
          </cell>
          <cell r="AO148">
            <v>16.666666666666668</v>
          </cell>
        </row>
        <row r="149">
          <cell r="A149" t="str">
            <v>Véhicules usagésDivers</v>
          </cell>
          <cell r="E149">
            <v>4334.1000000000013</v>
          </cell>
          <cell r="H149">
            <v>361.17500000000001</v>
          </cell>
          <cell r="K149">
            <v>361.17500000000001</v>
          </cell>
          <cell r="N149">
            <v>361.17500000000001</v>
          </cell>
          <cell r="Q149">
            <v>361.17500000000001</v>
          </cell>
          <cell r="T149">
            <v>361.17500000000001</v>
          </cell>
          <cell r="W149">
            <v>361.17500000000001</v>
          </cell>
          <cell r="Z149">
            <v>361.17500000000001</v>
          </cell>
          <cell r="AC149">
            <v>361.17500000000001</v>
          </cell>
          <cell r="AF149">
            <v>361.17500000000001</v>
          </cell>
          <cell r="AI149">
            <v>361.17500000000001</v>
          </cell>
          <cell r="AL149">
            <v>361.17500000000001</v>
          </cell>
          <cell r="AO149">
            <v>361.17500000000001</v>
          </cell>
        </row>
        <row r="150">
          <cell r="A150" t="str">
            <v>Véhicules usagésFormation</v>
          </cell>
          <cell r="E150">
            <v>2000.0000000000007</v>
          </cell>
          <cell r="H150">
            <v>166.66666666666669</v>
          </cell>
          <cell r="K150">
            <v>166.66666666666669</v>
          </cell>
          <cell r="N150">
            <v>166.66666666666669</v>
          </cell>
          <cell r="Q150">
            <v>166.66666666666669</v>
          </cell>
          <cell r="T150">
            <v>166.66666666666669</v>
          </cell>
          <cell r="W150">
            <v>166.66666666666669</v>
          </cell>
          <cell r="Z150">
            <v>166.66666666666669</v>
          </cell>
          <cell r="AC150">
            <v>166.66666666666669</v>
          </cell>
          <cell r="AF150">
            <v>166.66666666666669</v>
          </cell>
          <cell r="AI150">
            <v>166.66666666666669</v>
          </cell>
          <cell r="AL150">
            <v>166.66666666666669</v>
          </cell>
          <cell r="AO150">
            <v>166.66666666666669</v>
          </cell>
        </row>
        <row r="151">
          <cell r="A151" t="str">
            <v>Véhicules usagésFrais bancaires</v>
          </cell>
          <cell r="E151">
            <v>11922.606271149385</v>
          </cell>
          <cell r="H151">
            <v>630.51356365735251</v>
          </cell>
          <cell r="K151">
            <v>731.2337139829342</v>
          </cell>
          <cell r="N151">
            <v>1144.2042127690054</v>
          </cell>
          <cell r="Q151">
            <v>1097.1741323262881</v>
          </cell>
          <cell r="T151">
            <v>1152.1545116667303</v>
          </cell>
          <cell r="W151">
            <v>1142.2271385214797</v>
          </cell>
          <cell r="Z151">
            <v>950.92931054851272</v>
          </cell>
          <cell r="AC151">
            <v>1005.4284712269118</v>
          </cell>
          <cell r="AF151">
            <v>1034.1821814556267</v>
          </cell>
          <cell r="AI151">
            <v>1133.8183111970773</v>
          </cell>
          <cell r="AL151">
            <v>1038.504211010237</v>
          </cell>
          <cell r="AO151">
            <v>862.236512787229</v>
          </cell>
        </row>
        <row r="152">
          <cell r="A152" t="str">
            <v>Véhicules usagés[...]</v>
          </cell>
          <cell r="E152">
            <v>0</v>
          </cell>
        </row>
        <row r="153">
          <cell r="A153" t="str">
            <v>Véhicules usagés[...]</v>
          </cell>
          <cell r="E153">
            <v>0</v>
          </cell>
        </row>
        <row r="154">
          <cell r="A154" t="str">
            <v>Véhicules usagés[...]</v>
          </cell>
          <cell r="E154">
            <v>0</v>
          </cell>
        </row>
        <row r="155">
          <cell r="A155" t="str">
            <v>Véhicules usagésTOTAL SEMI-FIXES</v>
          </cell>
          <cell r="C155" t="str">
            <v>% brut</v>
          </cell>
          <cell r="D155">
            <v>0.10318442018783543</v>
          </cell>
          <cell r="E155">
            <v>55564.810271149378</v>
          </cell>
          <cell r="F155" t="str">
            <v>% brut</v>
          </cell>
          <cell r="G155">
            <v>0.1519797621909261</v>
          </cell>
          <cell r="H155">
            <v>4092.0550969906853</v>
          </cell>
          <cell r="I155" t="str">
            <v>% brut</v>
          </cell>
          <cell r="J155">
            <v>0.13139485878416177</v>
          </cell>
          <cell r="K155">
            <v>4245.3678873162671</v>
          </cell>
          <cell r="L155" t="str">
            <v>% brut</v>
          </cell>
          <cell r="M155">
            <v>9.9373079667849751E-2</v>
          </cell>
          <cell r="N155">
            <v>4816.1163061023381</v>
          </cell>
          <cell r="O155" t="str">
            <v>% brut</v>
          </cell>
          <cell r="P155">
            <v>8.9539069000178662E-2</v>
          </cell>
          <cell r="Q155">
            <v>4821.6788656596209</v>
          </cell>
          <cell r="R155" t="str">
            <v>% brut</v>
          </cell>
          <cell r="S155">
            <v>9.0560060259982589E-2</v>
          </cell>
          <cell r="T155">
            <v>4876.6592450000626</v>
          </cell>
          <cell r="U155" t="str">
            <v>% brut</v>
          </cell>
          <cell r="V155">
            <v>9.0375707926737464E-2</v>
          </cell>
          <cell r="W155">
            <v>4866.7318718548122</v>
          </cell>
          <cell r="X155" t="str">
            <v>% brut</v>
          </cell>
          <cell r="Y155">
            <v>9.5385152251766137E-2</v>
          </cell>
          <cell r="Z155">
            <v>4622.8414038818455</v>
          </cell>
          <cell r="AA155" t="str">
            <v>% brut</v>
          </cell>
          <cell r="AB155">
            <v>9.6509657785210881E-2</v>
          </cell>
          <cell r="AC155">
            <v>4677.3405645602452</v>
          </cell>
          <cell r="AD155" t="str">
            <v>% brut</v>
          </cell>
          <cell r="AE155">
            <v>9.7102945936014845E-2</v>
          </cell>
          <cell r="AF155">
            <v>4706.0942747889594</v>
          </cell>
          <cell r="AG155" t="str">
            <v>% brut</v>
          </cell>
          <cell r="AH155">
            <v>9.9158782720115746E-2</v>
          </cell>
          <cell r="AI155">
            <v>4805.7304045304099</v>
          </cell>
          <cell r="AJ155" t="str">
            <v>% brut</v>
          </cell>
          <cell r="AK155">
            <v>0.10812032647037069</v>
          </cell>
          <cell r="AL155">
            <v>4657.8236643435694</v>
          </cell>
          <cell r="AM155" t="str">
            <v>% brut</v>
          </cell>
          <cell r="AN155">
            <v>0.13544941770722879</v>
          </cell>
          <cell r="AO155">
            <v>4376.3706861205619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C157" t="str">
            <v>% brut</v>
          </cell>
          <cell r="D157">
            <v>1.0681760523699064</v>
          </cell>
          <cell r="E157">
            <v>575212.80420119467</v>
          </cell>
          <cell r="F157" t="str">
            <v>% brut</v>
          </cell>
          <cell r="G157">
            <v>1.5126605346178024</v>
          </cell>
          <cell r="H157">
            <v>40728.384894584327</v>
          </cell>
          <cell r="I157" t="str">
            <v>% brut</v>
          </cell>
          <cell r="J157">
            <v>1.2764830096891808</v>
          </cell>
          <cell r="K157">
            <v>41243.166043057434</v>
          </cell>
          <cell r="L157" t="str">
            <v>% brut</v>
          </cell>
          <cell r="M157">
            <v>1.0366646214371467</v>
          </cell>
          <cell r="N157">
            <v>50241.950877951313</v>
          </cell>
          <cell r="O157" t="str">
            <v>% brut</v>
          </cell>
          <cell r="P157">
            <v>0.93411285878011563</v>
          </cell>
          <cell r="Q157">
            <v>50301.977445309225</v>
          </cell>
          <cell r="R157" t="str">
            <v>% brut</v>
          </cell>
          <cell r="S157">
            <v>0.95580037262338569</v>
          </cell>
          <cell r="T157">
            <v>51469.850065769322</v>
          </cell>
          <cell r="U157" t="str">
            <v>% brut</v>
          </cell>
          <cell r="V157">
            <v>0.95521632704456172</v>
          </cell>
          <cell r="W157">
            <v>51438.39921134965</v>
          </cell>
          <cell r="X157" t="str">
            <v>% brut</v>
          </cell>
          <cell r="Y157">
            <v>1.0100045504791366</v>
          </cell>
          <cell r="Z157">
            <v>48949.870538971358</v>
          </cell>
          <cell r="AA157" t="str">
            <v>% brut</v>
          </cell>
          <cell r="AB157">
            <v>1.0175121908061786</v>
          </cell>
          <cell r="AC157">
            <v>49313.728327421442</v>
          </cell>
          <cell r="AD157" t="str">
            <v>% brut</v>
          </cell>
          <cell r="AE157">
            <v>1.0219860982323703</v>
          </cell>
          <cell r="AF157">
            <v>49530.556250831825</v>
          </cell>
          <cell r="AG157" t="str">
            <v>% brut</v>
          </cell>
          <cell r="AH157">
            <v>1.0120245570315483</v>
          </cell>
          <cell r="AI157">
            <v>49047.770156533988</v>
          </cell>
          <cell r="AJ157" t="str">
            <v>% brut</v>
          </cell>
          <cell r="AK157">
            <v>1.1093321632503275</v>
          </cell>
          <cell r="AL157">
            <v>47790.02959282411</v>
          </cell>
          <cell r="AM157" t="str">
            <v>% brut</v>
          </cell>
          <cell r="AN157">
            <v>1.3976205755676474</v>
          </cell>
          <cell r="AO157">
            <v>45157.120796590687</v>
          </cell>
        </row>
        <row r="158">
          <cell r="A158" t="str">
            <v>Véhicules usagésBusiness Builder usagé</v>
          </cell>
          <cell r="E158">
            <v>204339.94378858182</v>
          </cell>
          <cell r="H158">
            <v>10744.110840344943</v>
          </cell>
          <cell r="K158">
            <v>8828.3196122536265</v>
          </cell>
          <cell r="N158">
            <v>17523.192730604504</v>
          </cell>
          <cell r="Q158">
            <v>18705.862282817598</v>
          </cell>
          <cell r="T158">
            <v>20317.228696693277</v>
          </cell>
          <cell r="W158">
            <v>20419.815688881015</v>
          </cell>
          <cell r="Z158">
            <v>15943.519859030734</v>
          </cell>
          <cell r="AC158">
            <v>17705.013578547001</v>
          </cell>
          <cell r="AF158">
            <v>18775.921692116546</v>
          </cell>
          <cell r="AI158">
            <v>20387.288105992222</v>
          </cell>
          <cell r="AL158">
            <v>18122.867912579979</v>
          </cell>
          <cell r="AO158">
            <v>16866.802788720368</v>
          </cell>
        </row>
        <row r="159">
          <cell r="A159" t="str">
            <v>Véhicules usagésProgramme used 2</v>
          </cell>
          <cell r="E159">
            <v>0</v>
          </cell>
        </row>
        <row r="160">
          <cell r="A160" t="str">
            <v>Véhicules usagésProgramme used 3</v>
          </cell>
          <cell r="E160">
            <v>0</v>
          </cell>
        </row>
        <row r="161">
          <cell r="A161" t="str">
            <v>Véhicules usagés[...]</v>
          </cell>
          <cell r="E161">
            <v>0</v>
          </cell>
        </row>
        <row r="162">
          <cell r="A162" t="str">
            <v>Véhicules usagés[...]</v>
          </cell>
          <cell r="E162">
            <v>0</v>
          </cell>
        </row>
        <row r="163">
          <cell r="A163" t="str">
            <v>Véhicules usagés[...]</v>
          </cell>
          <cell r="E163">
            <v>0</v>
          </cell>
        </row>
        <row r="164">
          <cell r="A164" t="str">
            <v>Véhicules usagésFrais administration</v>
          </cell>
          <cell r="D164">
            <v>519.19999999999982</v>
          </cell>
          <cell r="E164">
            <v>56073.599999999984</v>
          </cell>
          <cell r="H164">
            <v>2803.6800000000003</v>
          </cell>
          <cell r="K164">
            <v>3364.4159999999997</v>
          </cell>
          <cell r="N164">
            <v>5046.6239999999998</v>
          </cell>
          <cell r="Q164">
            <v>5607.3600000000006</v>
          </cell>
          <cell r="T164">
            <v>5607.3600000000006</v>
          </cell>
          <cell r="W164">
            <v>5607.3600000000006</v>
          </cell>
          <cell r="Z164">
            <v>5046.6239999999998</v>
          </cell>
          <cell r="AC164">
            <v>5046.6239999999998</v>
          </cell>
          <cell r="AF164">
            <v>5046.6239999999998</v>
          </cell>
          <cell r="AI164">
            <v>5046.6239999999998</v>
          </cell>
          <cell r="AL164">
            <v>4485.8880000000008</v>
          </cell>
          <cell r="AO164">
            <v>3364.4159999999997</v>
          </cell>
        </row>
        <row r="165">
          <cell r="A165" t="str">
            <v>Véhicules usagésAUTRES REVENUS</v>
          </cell>
          <cell r="E165">
            <v>260413.5437885818</v>
          </cell>
          <cell r="H165">
            <v>13547.790840344944</v>
          </cell>
          <cell r="K165">
            <v>12192.735612253626</v>
          </cell>
          <cell r="N165">
            <v>22569.816730604503</v>
          </cell>
          <cell r="Q165">
            <v>24313.222282817598</v>
          </cell>
          <cell r="T165">
            <v>25924.588696693278</v>
          </cell>
          <cell r="W165">
            <v>26027.175688881016</v>
          </cell>
          <cell r="Z165">
            <v>20990.143859030733</v>
          </cell>
          <cell r="AC165">
            <v>22751.637578547001</v>
          </cell>
          <cell r="AF165">
            <v>23822.545692116546</v>
          </cell>
          <cell r="AI165">
            <v>25433.912105992222</v>
          </cell>
          <cell r="AL165">
            <v>22608.755912579982</v>
          </cell>
          <cell r="AO165">
            <v>20231.218788720369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E167">
            <v>223700.73958738713</v>
          </cell>
          <cell r="H167">
            <v>-255.59405423938369</v>
          </cell>
          <cell r="K167">
            <v>3259.5695691961919</v>
          </cell>
          <cell r="N167">
            <v>20792.865852653191</v>
          </cell>
          <cell r="Q167">
            <v>27861.244837508373</v>
          </cell>
          <cell r="T167">
            <v>28304.738630923955</v>
          </cell>
          <cell r="W167">
            <v>28438.776477531366</v>
          </cell>
          <cell r="Z167">
            <v>20505.273320059376</v>
          </cell>
          <cell r="AC167">
            <v>21902.909251125559</v>
          </cell>
          <cell r="AF167">
            <v>22756.989441284721</v>
          </cell>
          <cell r="AI167">
            <v>24851.141949458233</v>
          </cell>
          <cell r="AL167">
            <v>17898.726319755871</v>
          </cell>
          <cell r="AO167">
            <v>7384.0979921296821</v>
          </cell>
        </row>
        <row r="170">
          <cell r="C170" t="str">
            <v>Service</v>
          </cell>
        </row>
        <row r="172">
          <cell r="C172" t="str">
            <v>TOTAL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C174">
            <v>2243</v>
          </cell>
          <cell r="D174">
            <v>1105798.9999999998</v>
          </cell>
          <cell r="E174">
            <v>906755.17999999982</v>
          </cell>
          <cell r="G174">
            <v>77405.930000000008</v>
          </cell>
          <cell r="H174">
            <v>63472.8626</v>
          </cell>
          <cell r="J174">
            <v>66347.94</v>
          </cell>
          <cell r="K174">
            <v>54405.310799999999</v>
          </cell>
          <cell r="M174">
            <v>88463.92</v>
          </cell>
          <cell r="N174">
            <v>72540.414399999994</v>
          </cell>
          <cell r="P174">
            <v>121637.89</v>
          </cell>
          <cell r="Q174">
            <v>99743.069799999997</v>
          </cell>
          <cell r="S174">
            <v>121637.89</v>
          </cell>
          <cell r="T174">
            <v>99743.069799999997</v>
          </cell>
          <cell r="V174">
            <v>88463.92</v>
          </cell>
          <cell r="W174">
            <v>72540.414399999994</v>
          </cell>
          <cell r="Y174">
            <v>66347.94</v>
          </cell>
          <cell r="Z174">
            <v>54405.310799999999</v>
          </cell>
          <cell r="AB174">
            <v>66347.94</v>
          </cell>
          <cell r="AC174">
            <v>54405.310799999999</v>
          </cell>
          <cell r="AE174">
            <v>66347.94</v>
          </cell>
          <cell r="AF174">
            <v>54405.310799999999</v>
          </cell>
          <cell r="AH174">
            <v>132695.88</v>
          </cell>
          <cell r="AI174">
            <v>108810.6216</v>
          </cell>
          <cell r="AK174">
            <v>143753.87</v>
          </cell>
          <cell r="AL174">
            <v>117878.17339999999</v>
          </cell>
          <cell r="AN174">
            <v>66347.94</v>
          </cell>
          <cell r="AO174">
            <v>54405.310799999999</v>
          </cell>
        </row>
        <row r="175">
          <cell r="A175" t="str">
            <v>Service% profit / ventes</v>
          </cell>
          <cell r="E175">
            <v>0.82000000000000006</v>
          </cell>
          <cell r="H175">
            <v>0.82</v>
          </cell>
          <cell r="K175">
            <v>0.82</v>
          </cell>
          <cell r="N175">
            <v>0.82</v>
          </cell>
          <cell r="Q175">
            <v>0.82</v>
          </cell>
          <cell r="T175">
            <v>0.82</v>
          </cell>
          <cell r="W175">
            <v>0.82</v>
          </cell>
          <cell r="Z175">
            <v>0.82</v>
          </cell>
          <cell r="AC175">
            <v>0.82</v>
          </cell>
          <cell r="AF175">
            <v>0.82</v>
          </cell>
          <cell r="AI175">
            <v>0.82</v>
          </cell>
          <cell r="AL175">
            <v>0.82</v>
          </cell>
          <cell r="AO175">
            <v>0.82</v>
          </cell>
        </row>
        <row r="176">
          <cell r="A176" t="str">
            <v>Service</v>
          </cell>
          <cell r="D176">
            <v>492.99999999999989</v>
          </cell>
          <cell r="G176">
            <v>0</v>
          </cell>
          <cell r="J176">
            <v>0</v>
          </cell>
          <cell r="M176">
            <v>0</v>
          </cell>
          <cell r="P176">
            <v>0</v>
          </cell>
          <cell r="S176">
            <v>0</v>
          </cell>
          <cell r="V176">
            <v>0</v>
          </cell>
          <cell r="Y176">
            <v>0</v>
          </cell>
          <cell r="AB176">
            <v>0</v>
          </cell>
          <cell r="AE176">
            <v>0</v>
          </cell>
          <cell r="AH176">
            <v>0</v>
          </cell>
          <cell r="AK176">
            <v>0</v>
          </cell>
          <cell r="AN176">
            <v>0</v>
          </cell>
        </row>
        <row r="177">
          <cell r="A177" t="str">
            <v>ServiceM/O Garantie</v>
          </cell>
          <cell r="C177">
            <v>2962</v>
          </cell>
          <cell r="D177">
            <v>679033.36477115098</v>
          </cell>
          <cell r="E177">
            <v>453629.0343787655</v>
          </cell>
          <cell r="G177">
            <v>40742.001886269063</v>
          </cell>
          <cell r="H177">
            <v>27217.742062725927</v>
          </cell>
          <cell r="J177">
            <v>40742.001886269063</v>
          </cell>
          <cell r="K177">
            <v>27217.742062725927</v>
          </cell>
          <cell r="M177">
            <v>61113.002829403595</v>
          </cell>
          <cell r="N177">
            <v>40826.613094088891</v>
          </cell>
          <cell r="P177">
            <v>61113.002829403595</v>
          </cell>
          <cell r="Q177">
            <v>40826.613094088891</v>
          </cell>
          <cell r="S177">
            <v>61113.002829403595</v>
          </cell>
          <cell r="T177">
            <v>40826.613094088891</v>
          </cell>
          <cell r="V177">
            <v>67903.33647711511</v>
          </cell>
          <cell r="W177">
            <v>45362.903437876543</v>
          </cell>
          <cell r="Y177">
            <v>54322.669181692087</v>
          </cell>
          <cell r="Z177">
            <v>36290.322750301239</v>
          </cell>
          <cell r="AB177">
            <v>54322.669181692087</v>
          </cell>
          <cell r="AC177">
            <v>36290.322750301239</v>
          </cell>
          <cell r="AE177">
            <v>61113.002829403595</v>
          </cell>
          <cell r="AF177">
            <v>40826.613094088891</v>
          </cell>
          <cell r="AH177">
            <v>67903.33647711511</v>
          </cell>
          <cell r="AI177">
            <v>45362.903437876543</v>
          </cell>
          <cell r="AK177">
            <v>67903.33647711511</v>
          </cell>
          <cell r="AL177">
            <v>45362.903437876543</v>
          </cell>
          <cell r="AN177">
            <v>40742.001886269063</v>
          </cell>
          <cell r="AO177">
            <v>27217.742062725927</v>
          </cell>
        </row>
        <row r="178">
          <cell r="A178" t="str">
            <v>Service% profit / ventes</v>
          </cell>
          <cell r="E178">
            <v>0.66805117084585142</v>
          </cell>
          <cell r="H178">
            <v>0.66805117084585119</v>
          </cell>
          <cell r="K178">
            <v>0.66805117084585119</v>
          </cell>
          <cell r="N178">
            <v>0.66805117084585119</v>
          </cell>
          <cell r="Q178">
            <v>0.66805117084585119</v>
          </cell>
          <cell r="T178">
            <v>0.66805117084585119</v>
          </cell>
          <cell r="W178">
            <v>0.66805117084585119</v>
          </cell>
          <cell r="Z178">
            <v>0.66805117084585119</v>
          </cell>
          <cell r="AC178">
            <v>0.66805117084585119</v>
          </cell>
          <cell r="AF178">
            <v>0.66805117084585119</v>
          </cell>
          <cell r="AI178">
            <v>0.66805117084585119</v>
          </cell>
          <cell r="AL178">
            <v>0.66805117084585119</v>
          </cell>
          <cell r="AO178">
            <v>0.66805117084585119</v>
          </cell>
        </row>
        <row r="179">
          <cell r="A179" t="str">
            <v>Service</v>
          </cell>
          <cell r="D179">
            <v>229.24826629680993</v>
          </cell>
          <cell r="G179">
            <v>0</v>
          </cell>
          <cell r="J179">
            <v>0</v>
          </cell>
          <cell r="M179">
            <v>0</v>
          </cell>
          <cell r="P179">
            <v>0</v>
          </cell>
          <cell r="S179">
            <v>0</v>
          </cell>
          <cell r="V179">
            <v>0</v>
          </cell>
          <cell r="Y179">
            <v>0</v>
          </cell>
          <cell r="AB179">
            <v>0</v>
          </cell>
          <cell r="AE179">
            <v>0</v>
          </cell>
          <cell r="AH179">
            <v>0</v>
          </cell>
          <cell r="AK179">
            <v>0</v>
          </cell>
          <cell r="AN179">
            <v>0</v>
          </cell>
        </row>
        <row r="180">
          <cell r="A180" t="str">
            <v>ServiceM/O Interne</v>
          </cell>
          <cell r="C180">
            <v>2000</v>
          </cell>
          <cell r="D180">
            <v>528000</v>
          </cell>
          <cell r="E180">
            <v>416064.00000000006</v>
          </cell>
          <cell r="G180">
            <v>26400</v>
          </cell>
          <cell r="H180">
            <v>20803.2</v>
          </cell>
          <cell r="J180">
            <v>31680</v>
          </cell>
          <cell r="K180">
            <v>24963.84</v>
          </cell>
          <cell r="M180">
            <v>47520</v>
          </cell>
          <cell r="N180">
            <v>37445.760000000002</v>
          </cell>
          <cell r="P180">
            <v>52800</v>
          </cell>
          <cell r="Q180">
            <v>41606.400000000001</v>
          </cell>
          <cell r="S180">
            <v>52800</v>
          </cell>
          <cell r="T180">
            <v>41606.400000000001</v>
          </cell>
          <cell r="V180">
            <v>52800</v>
          </cell>
          <cell r="W180">
            <v>41606.400000000001</v>
          </cell>
          <cell r="Y180">
            <v>47520</v>
          </cell>
          <cell r="Z180">
            <v>37445.760000000002</v>
          </cell>
          <cell r="AB180">
            <v>47520</v>
          </cell>
          <cell r="AC180">
            <v>37445.760000000002</v>
          </cell>
          <cell r="AE180">
            <v>47520</v>
          </cell>
          <cell r="AF180">
            <v>37445.760000000002</v>
          </cell>
          <cell r="AH180">
            <v>47520</v>
          </cell>
          <cell r="AI180">
            <v>37445.760000000002</v>
          </cell>
          <cell r="AK180">
            <v>42240</v>
          </cell>
          <cell r="AL180">
            <v>33285.120000000003</v>
          </cell>
          <cell r="AN180">
            <v>31680</v>
          </cell>
          <cell r="AO180">
            <v>24963.84</v>
          </cell>
        </row>
        <row r="181">
          <cell r="A181" t="str">
            <v>Service% profit / ventes</v>
          </cell>
          <cell r="E181">
            <v>0.78800000000000014</v>
          </cell>
          <cell r="H181">
            <v>0.78800000000000003</v>
          </cell>
          <cell r="K181">
            <v>0.78800000000000003</v>
          </cell>
          <cell r="N181">
            <v>0.78800000000000003</v>
          </cell>
          <cell r="Q181">
            <v>0.78800000000000003</v>
          </cell>
          <cell r="T181">
            <v>0.78800000000000003</v>
          </cell>
          <cell r="W181">
            <v>0.78800000000000003</v>
          </cell>
          <cell r="Z181">
            <v>0.78800000000000003</v>
          </cell>
          <cell r="AC181">
            <v>0.78800000000000003</v>
          </cell>
          <cell r="AF181">
            <v>0.78800000000000003</v>
          </cell>
          <cell r="AI181">
            <v>0.78800000000000003</v>
          </cell>
          <cell r="AL181">
            <v>0.78800000000000003</v>
          </cell>
          <cell r="AO181">
            <v>0.78800000000000003</v>
          </cell>
        </row>
        <row r="182">
          <cell r="A182" t="str">
            <v>Service</v>
          </cell>
          <cell r="D182">
            <v>264</v>
          </cell>
          <cell r="G182">
            <v>0</v>
          </cell>
          <cell r="J182">
            <v>0</v>
          </cell>
          <cell r="M182">
            <v>0</v>
          </cell>
          <cell r="P182">
            <v>0</v>
          </cell>
          <cell r="S182">
            <v>0</v>
          </cell>
          <cell r="V182">
            <v>0</v>
          </cell>
          <cell r="Y182">
            <v>0</v>
          </cell>
          <cell r="AB182">
            <v>0</v>
          </cell>
          <cell r="AE182">
            <v>0</v>
          </cell>
          <cell r="AH182">
            <v>0</v>
          </cell>
          <cell r="AK182">
            <v>0</v>
          </cell>
          <cell r="AN182">
            <v>0</v>
          </cell>
        </row>
        <row r="183">
          <cell r="A183" t="str">
            <v>ServiceM/O Esthétique</v>
          </cell>
          <cell r="C183">
            <v>1384</v>
          </cell>
          <cell r="D183">
            <v>227583.00000000003</v>
          </cell>
          <cell r="E183">
            <v>182066.40000000002</v>
          </cell>
          <cell r="G183">
            <v>11379.150000000001</v>
          </cell>
          <cell r="H183">
            <v>9103.3200000000015</v>
          </cell>
          <cell r="J183">
            <v>13654.98</v>
          </cell>
          <cell r="K183">
            <v>10923.984</v>
          </cell>
          <cell r="M183">
            <v>18206.64</v>
          </cell>
          <cell r="N183">
            <v>14565.312</v>
          </cell>
          <cell r="P183">
            <v>27309.96</v>
          </cell>
          <cell r="Q183">
            <v>21847.968000000001</v>
          </cell>
          <cell r="S183">
            <v>27309.96</v>
          </cell>
          <cell r="T183">
            <v>21847.968000000001</v>
          </cell>
          <cell r="V183">
            <v>22758.300000000003</v>
          </cell>
          <cell r="W183">
            <v>18206.640000000003</v>
          </cell>
          <cell r="Y183">
            <v>18206.64</v>
          </cell>
          <cell r="Z183">
            <v>14565.312</v>
          </cell>
          <cell r="AB183">
            <v>15930.810000000001</v>
          </cell>
          <cell r="AC183">
            <v>12744.648000000001</v>
          </cell>
          <cell r="AE183">
            <v>13654.98</v>
          </cell>
          <cell r="AF183">
            <v>10923.984</v>
          </cell>
          <cell r="AH183">
            <v>22758.300000000003</v>
          </cell>
          <cell r="AI183">
            <v>18206.640000000003</v>
          </cell>
          <cell r="AK183">
            <v>22758.300000000003</v>
          </cell>
          <cell r="AL183">
            <v>18206.640000000003</v>
          </cell>
          <cell r="AN183">
            <v>13654.98</v>
          </cell>
          <cell r="AO183">
            <v>10923.984</v>
          </cell>
        </row>
        <row r="184">
          <cell r="A184" t="str">
            <v>Service% profit / ventes</v>
          </cell>
          <cell r="D184">
            <v>0</v>
          </cell>
          <cell r="E184">
            <v>0.8</v>
          </cell>
          <cell r="G184">
            <v>0</v>
          </cell>
          <cell r="H184">
            <v>0.8</v>
          </cell>
          <cell r="J184">
            <v>0</v>
          </cell>
          <cell r="K184">
            <v>0.8</v>
          </cell>
          <cell r="M184">
            <v>0</v>
          </cell>
          <cell r="N184">
            <v>0.8</v>
          </cell>
          <cell r="P184">
            <v>0</v>
          </cell>
          <cell r="Q184">
            <v>0.8</v>
          </cell>
          <cell r="S184">
            <v>0</v>
          </cell>
          <cell r="T184">
            <v>0.8</v>
          </cell>
          <cell r="V184">
            <v>0</v>
          </cell>
          <cell r="W184">
            <v>0.8</v>
          </cell>
          <cell r="Y184">
            <v>0</v>
          </cell>
          <cell r="Z184">
            <v>0.8</v>
          </cell>
          <cell r="AB184">
            <v>0</v>
          </cell>
          <cell r="AC184">
            <v>0.8</v>
          </cell>
          <cell r="AE184">
            <v>0</v>
          </cell>
          <cell r="AF184">
            <v>0.8</v>
          </cell>
          <cell r="AH184">
            <v>0</v>
          </cell>
          <cell r="AI184">
            <v>0.8</v>
          </cell>
          <cell r="AK184">
            <v>0</v>
          </cell>
          <cell r="AL184">
            <v>0.8</v>
          </cell>
          <cell r="AN184">
            <v>0</v>
          </cell>
          <cell r="AO184">
            <v>0.8</v>
          </cell>
        </row>
        <row r="185">
          <cell r="A185" t="str">
            <v>Service</v>
          </cell>
          <cell r="D185">
            <v>164.43858381502892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E186">
            <v>-29095.037519619291</v>
          </cell>
          <cell r="H186">
            <v>-1766.497861177158</v>
          </cell>
          <cell r="K186">
            <v>-1745.7022511771588</v>
          </cell>
          <cell r="N186">
            <v>-2496.2731667657367</v>
          </cell>
          <cell r="Q186">
            <v>-2941.8400967657367</v>
          </cell>
          <cell r="T186">
            <v>-2941.8400967657367</v>
          </cell>
          <cell r="W186">
            <v>-2710.4599319619274</v>
          </cell>
          <cell r="Z186">
            <v>-2184.5271815695419</v>
          </cell>
          <cell r="AC186">
            <v>-2161.7688815695424</v>
          </cell>
          <cell r="AF186">
            <v>-2251.7127467657356</v>
          </cell>
          <cell r="AI186">
            <v>-3052.5795719619277</v>
          </cell>
          <cell r="AL186">
            <v>-3096.1334819619296</v>
          </cell>
          <cell r="AO186">
            <v>-1745.7022511771588</v>
          </cell>
        </row>
        <row r="187">
          <cell r="A187" t="str">
            <v>ServiceSous-total M/O</v>
          </cell>
          <cell r="C187">
            <v>8589</v>
          </cell>
          <cell r="D187">
            <v>2540415.364771151</v>
          </cell>
          <cell r="E187">
            <v>1929419.5768591459</v>
          </cell>
          <cell r="F187">
            <v>0</v>
          </cell>
          <cell r="G187">
            <v>155927.08188626906</v>
          </cell>
          <cell r="H187">
            <v>118830.62680154879</v>
          </cell>
          <cell r="I187">
            <v>0</v>
          </cell>
          <cell r="J187">
            <v>152424.92188626909</v>
          </cell>
          <cell r="K187">
            <v>115765.17461154875</v>
          </cell>
          <cell r="L187">
            <v>0</v>
          </cell>
          <cell r="M187">
            <v>215303.56282940361</v>
          </cell>
          <cell r="N187">
            <v>162881.82632732316</v>
          </cell>
          <cell r="O187">
            <v>0</v>
          </cell>
          <cell r="P187">
            <v>262860.85282940359</v>
          </cell>
          <cell r="Q187">
            <v>201082.21079732312</v>
          </cell>
          <cell r="R187">
            <v>0</v>
          </cell>
          <cell r="S187">
            <v>262860.85282940359</v>
          </cell>
          <cell r="T187">
            <v>201082.21079732312</v>
          </cell>
          <cell r="U187">
            <v>0</v>
          </cell>
          <cell r="V187">
            <v>231925.55647711508</v>
          </cell>
          <cell r="W187">
            <v>175005.89790591461</v>
          </cell>
          <cell r="X187">
            <v>0</v>
          </cell>
          <cell r="Y187">
            <v>186397.24918169208</v>
          </cell>
          <cell r="Z187">
            <v>140522.17836873169</v>
          </cell>
          <cell r="AA187">
            <v>0</v>
          </cell>
          <cell r="AB187">
            <v>184121.41918169209</v>
          </cell>
          <cell r="AC187">
            <v>138724.27266873172</v>
          </cell>
          <cell r="AD187">
            <v>0</v>
          </cell>
          <cell r="AE187">
            <v>188635.9228294036</v>
          </cell>
          <cell r="AF187">
            <v>141349.95514732317</v>
          </cell>
          <cell r="AG187">
            <v>0</v>
          </cell>
          <cell r="AH187">
            <v>270877.5164771151</v>
          </cell>
          <cell r="AI187">
            <v>206773.34546591464</v>
          </cell>
          <cell r="AJ187">
            <v>0</v>
          </cell>
          <cell r="AK187">
            <v>276655.50647711509</v>
          </cell>
          <cell r="AL187">
            <v>211636.70335591459</v>
          </cell>
          <cell r="AM187">
            <v>0</v>
          </cell>
          <cell r="AN187">
            <v>152424.92188626909</v>
          </cell>
          <cell r="AO187">
            <v>115765.17461154875</v>
          </cell>
        </row>
        <row r="188">
          <cell r="A188" t="str">
            <v>Service% protit / ventes</v>
          </cell>
          <cell r="D188">
            <v>295.77545287823392</v>
          </cell>
          <cell r="E188">
            <v>0.75948980769644903</v>
          </cell>
          <cell r="G188">
            <v>0</v>
          </cell>
          <cell r="H188">
            <v>0.76209100666824581</v>
          </cell>
          <cell r="J188">
            <v>0</v>
          </cell>
          <cell r="K188">
            <v>0.7594898076964488</v>
          </cell>
          <cell r="M188">
            <v>0</v>
          </cell>
          <cell r="N188">
            <v>0.75652174161364449</v>
          </cell>
          <cell r="P188">
            <v>0</v>
          </cell>
          <cell r="Q188">
            <v>0.7649758746230092</v>
          </cell>
          <cell r="S188">
            <v>0</v>
          </cell>
          <cell r="T188">
            <v>0.7649758746230092</v>
          </cell>
          <cell r="V188">
            <v>0</v>
          </cell>
          <cell r="W188">
            <v>0.75457789371816408</v>
          </cell>
          <cell r="Y188">
            <v>0</v>
          </cell>
          <cell r="Z188">
            <v>0.75388547301873898</v>
          </cell>
          <cell r="AB188">
            <v>0</v>
          </cell>
          <cell r="AC188">
            <v>0.75343907995754578</v>
          </cell>
          <cell r="AE188">
            <v>0</v>
          </cell>
          <cell r="AF188">
            <v>0.74932681446447302</v>
          </cell>
          <cell r="AH188">
            <v>0</v>
          </cell>
          <cell r="AI188">
            <v>0.7633462834239465</v>
          </cell>
          <cell r="AK188">
            <v>0</v>
          </cell>
          <cell r="AL188">
            <v>0.76498279774316058</v>
          </cell>
          <cell r="AN188">
            <v>0</v>
          </cell>
          <cell r="AO188">
            <v>0.7594898076964488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C190">
            <v>0</v>
          </cell>
          <cell r="D190">
            <v>241000</v>
          </cell>
          <cell r="E190">
            <v>48200</v>
          </cell>
          <cell r="G190">
            <v>12050</v>
          </cell>
          <cell r="H190">
            <v>2410</v>
          </cell>
          <cell r="J190">
            <v>14460</v>
          </cell>
          <cell r="K190">
            <v>2892</v>
          </cell>
          <cell r="M190">
            <v>21690</v>
          </cell>
          <cell r="N190">
            <v>4338</v>
          </cell>
          <cell r="P190">
            <v>24100</v>
          </cell>
          <cell r="Q190">
            <v>4820</v>
          </cell>
          <cell r="S190">
            <v>24100</v>
          </cell>
          <cell r="T190">
            <v>4820</v>
          </cell>
          <cell r="V190">
            <v>24100</v>
          </cell>
          <cell r="W190">
            <v>4820</v>
          </cell>
          <cell r="Y190">
            <v>21690</v>
          </cell>
          <cell r="Z190">
            <v>4338</v>
          </cell>
          <cell r="AB190">
            <v>21690</v>
          </cell>
          <cell r="AC190">
            <v>4338</v>
          </cell>
          <cell r="AE190">
            <v>21690</v>
          </cell>
          <cell r="AF190">
            <v>4338</v>
          </cell>
          <cell r="AH190">
            <v>21690</v>
          </cell>
          <cell r="AI190">
            <v>4338</v>
          </cell>
          <cell r="AK190">
            <v>19280</v>
          </cell>
          <cell r="AL190">
            <v>3856</v>
          </cell>
          <cell r="AN190">
            <v>14460</v>
          </cell>
          <cell r="AO190">
            <v>2892</v>
          </cell>
        </row>
        <row r="191">
          <cell r="A191" t="str">
            <v>Service% profit / ventes</v>
          </cell>
          <cell r="E191">
            <v>0.2</v>
          </cell>
          <cell r="H191">
            <v>0.2</v>
          </cell>
          <cell r="K191">
            <v>0.2</v>
          </cell>
          <cell r="N191">
            <v>0.2</v>
          </cell>
          <cell r="Q191">
            <v>0.2</v>
          </cell>
          <cell r="T191">
            <v>0.2</v>
          </cell>
          <cell r="W191">
            <v>0.2</v>
          </cell>
          <cell r="Z191">
            <v>0.2</v>
          </cell>
          <cell r="AC191">
            <v>0.2</v>
          </cell>
          <cell r="AF191">
            <v>0.2</v>
          </cell>
          <cell r="AI191">
            <v>0.2</v>
          </cell>
          <cell r="AL191">
            <v>0.2</v>
          </cell>
          <cell r="AO191">
            <v>0.2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D196">
            <v>2781415.364771151</v>
          </cell>
          <cell r="E196">
            <v>1977619.5768591459</v>
          </cell>
          <cell r="G196">
            <v>167977.08188626906</v>
          </cell>
          <cell r="H196">
            <v>121240.62680154879</v>
          </cell>
          <cell r="J196">
            <v>166884.92188626909</v>
          </cell>
          <cell r="K196">
            <v>118657.17461154875</v>
          </cell>
          <cell r="M196">
            <v>236993.56282940361</v>
          </cell>
          <cell r="N196">
            <v>167219.82632732316</v>
          </cell>
          <cell r="P196">
            <v>286960.85282940359</v>
          </cell>
          <cell r="Q196">
            <v>205902.21079732312</v>
          </cell>
          <cell r="S196">
            <v>286960.85282940359</v>
          </cell>
          <cell r="T196">
            <v>205902.21079732312</v>
          </cell>
          <cell r="V196">
            <v>256025.55647711508</v>
          </cell>
          <cell r="W196">
            <v>179825.89790591461</v>
          </cell>
          <cell r="Y196">
            <v>208087.24918169208</v>
          </cell>
          <cell r="Z196">
            <v>144860.17836873169</v>
          </cell>
          <cell r="AB196">
            <v>205811.41918169209</v>
          </cell>
          <cell r="AC196">
            <v>143062.27266873172</v>
          </cell>
          <cell r="AE196">
            <v>210325.9228294036</v>
          </cell>
          <cell r="AF196">
            <v>145687.95514732317</v>
          </cell>
          <cell r="AH196">
            <v>292567.5164771151</v>
          </cell>
          <cell r="AI196">
            <v>211111.34546591464</v>
          </cell>
          <cell r="AK196">
            <v>295935.50647711509</v>
          </cell>
          <cell r="AL196">
            <v>215492.70335591459</v>
          </cell>
          <cell r="AN196">
            <v>166884.92188626909</v>
          </cell>
          <cell r="AO196">
            <v>118657.17461154875</v>
          </cell>
        </row>
        <row r="197">
          <cell r="A197" t="str">
            <v>Service</v>
          </cell>
          <cell r="E197">
            <v>0.7110119552466988</v>
          </cell>
          <cell r="H197">
            <v>0.7217688594187881</v>
          </cell>
          <cell r="K197">
            <v>0.71101195524669858</v>
          </cell>
          <cell r="N197">
            <v>0.70558805197461805</v>
          </cell>
          <cell r="Q197">
            <v>0.71752717754756146</v>
          </cell>
          <cell r="T197">
            <v>0.71752717754756146</v>
          </cell>
          <cell r="W197">
            <v>0.70237479562704674</v>
          </cell>
          <cell r="Z197">
            <v>0.69615115264581418</v>
          </cell>
          <cell r="AC197">
            <v>0.69511338699061742</v>
          </cell>
          <cell r="AF197">
            <v>0.69267712314040997</v>
          </cell>
          <cell r="AI197">
            <v>0.7215816301411847</v>
          </cell>
          <cell r="AL197">
            <v>0.72817454695176564</v>
          </cell>
          <cell r="AO197">
            <v>0.71101195524669858</v>
          </cell>
        </row>
        <row r="198">
          <cell r="A198" t="str">
            <v>Service</v>
          </cell>
        </row>
        <row r="199">
          <cell r="A199" t="str">
            <v>ServiceDEPENSES</v>
          </cell>
        </row>
        <row r="200">
          <cell r="A200" t="str">
            <v>ServiceSalaires cadres</v>
          </cell>
          <cell r="E200">
            <v>88979.1</v>
          </cell>
          <cell r="H200">
            <v>7228.2034482758618</v>
          </cell>
          <cell r="K200">
            <v>6979.2413793103442</v>
          </cell>
          <cell r="N200">
            <v>7726.127586206896</v>
          </cell>
          <cell r="Q200">
            <v>7228.2034482758618</v>
          </cell>
          <cell r="T200">
            <v>7477.1655172413793</v>
          </cell>
          <cell r="W200">
            <v>7477.1655172413793</v>
          </cell>
          <cell r="Z200">
            <v>7477.1655172413793</v>
          </cell>
          <cell r="AC200">
            <v>7477.1655172413793</v>
          </cell>
          <cell r="AF200">
            <v>7477.1655172413793</v>
          </cell>
          <cell r="AI200">
            <v>7228.2034482758618</v>
          </cell>
          <cell r="AL200">
            <v>7477.1655172413793</v>
          </cell>
          <cell r="AO200">
            <v>7726.127586206896</v>
          </cell>
        </row>
        <row r="201">
          <cell r="A201" t="str">
            <v>ServiceSalaires commis</v>
          </cell>
          <cell r="E201">
            <v>71190.60100000001</v>
          </cell>
          <cell r="H201">
            <v>5727.9793908045976</v>
          </cell>
          <cell r="K201">
            <v>5455.2184674329501</v>
          </cell>
          <cell r="N201">
            <v>6273.5012375478927</v>
          </cell>
          <cell r="Q201">
            <v>5727.9793908045976</v>
          </cell>
          <cell r="T201">
            <v>6000.7403141762443</v>
          </cell>
          <cell r="W201">
            <v>6000.7403141762443</v>
          </cell>
          <cell r="Z201">
            <v>6000.7403141762443</v>
          </cell>
          <cell r="AC201">
            <v>6000.7403141762443</v>
          </cell>
          <cell r="AF201">
            <v>6000.7403141762443</v>
          </cell>
          <cell r="AI201">
            <v>5727.9793908045976</v>
          </cell>
          <cell r="AL201">
            <v>6000.7403141762443</v>
          </cell>
          <cell r="AO201">
            <v>6273.5012375478927</v>
          </cell>
        </row>
        <row r="202">
          <cell r="A202" t="str">
            <v>ServiceSalaires autres</v>
          </cell>
          <cell r="E202">
            <v>151478.86800000002</v>
          </cell>
          <cell r="H202">
            <v>12187.954896551724</v>
          </cell>
          <cell r="K202">
            <v>11607.576091954023</v>
          </cell>
          <cell r="N202">
            <v>13348.712505747126</v>
          </cell>
          <cell r="Q202">
            <v>12187.954896551724</v>
          </cell>
          <cell r="T202">
            <v>12768.333701149426</v>
          </cell>
          <cell r="W202">
            <v>12768.333701149426</v>
          </cell>
          <cell r="Z202">
            <v>12768.333701149426</v>
          </cell>
          <cell r="AC202">
            <v>12768.333701149426</v>
          </cell>
          <cell r="AF202">
            <v>12768.333701149426</v>
          </cell>
          <cell r="AI202">
            <v>12187.954896551724</v>
          </cell>
          <cell r="AL202">
            <v>12768.333701149426</v>
          </cell>
          <cell r="AO202">
            <v>13348.712505747126</v>
          </cell>
        </row>
        <row r="203">
          <cell r="A203" t="str">
            <v>ServiceSalaires spécialistes</v>
          </cell>
          <cell r="E203">
            <v>186953.80799999999</v>
          </cell>
          <cell r="H203">
            <v>15254.812137931034</v>
          </cell>
          <cell r="K203">
            <v>14821.916321839079</v>
          </cell>
          <cell r="N203">
            <v>16120.603770114942</v>
          </cell>
          <cell r="Q203">
            <v>15254.812137931034</v>
          </cell>
          <cell r="T203">
            <v>15687.707954022988</v>
          </cell>
          <cell r="W203">
            <v>15687.707954022988</v>
          </cell>
          <cell r="Z203">
            <v>15687.707954022988</v>
          </cell>
          <cell r="AC203">
            <v>15687.707954022988</v>
          </cell>
          <cell r="AF203">
            <v>15687.707954022988</v>
          </cell>
          <cell r="AI203">
            <v>15254.812137931034</v>
          </cell>
          <cell r="AL203">
            <v>15687.707954022988</v>
          </cell>
          <cell r="AO203">
            <v>16120.603770114942</v>
          </cell>
        </row>
        <row r="204">
          <cell r="A204" t="str">
            <v>Service[...]</v>
          </cell>
          <cell r="E204">
            <v>0</v>
          </cell>
        </row>
        <row r="205">
          <cell r="A205" t="str">
            <v>Service[...]</v>
          </cell>
          <cell r="E205">
            <v>0</v>
          </cell>
        </row>
        <row r="206">
          <cell r="A206" t="str">
            <v>Service[...]</v>
          </cell>
          <cell r="E206">
            <v>0</v>
          </cell>
        </row>
        <row r="207">
          <cell r="A207" t="str">
            <v>ServiceSalaires en absences</v>
          </cell>
          <cell r="E207">
            <v>119384.44458618361</v>
          </cell>
          <cell r="H207">
            <v>9901.9988294089653</v>
          </cell>
          <cell r="K207">
            <v>9470.4945012671851</v>
          </cell>
          <cell r="N207">
            <v>10488.084125692529</v>
          </cell>
          <cell r="Q207">
            <v>9901.9988294089653</v>
          </cell>
          <cell r="T207">
            <v>9779.6564375507478</v>
          </cell>
          <cell r="W207">
            <v>10056.579797550748</v>
          </cell>
          <cell r="Z207">
            <v>10333.503157550749</v>
          </cell>
          <cell r="AC207">
            <v>10056.579797550748</v>
          </cell>
          <cell r="AF207">
            <v>10056.579797550748</v>
          </cell>
          <cell r="AI207">
            <v>9901.9988294089653</v>
          </cell>
          <cell r="AL207">
            <v>10056.579797550748</v>
          </cell>
          <cell r="AO207">
            <v>9380.3906856925296</v>
          </cell>
        </row>
        <row r="208">
          <cell r="A208" t="str">
            <v>ServiceDéduction à la source</v>
          </cell>
          <cell r="E208">
            <v>89846.025307127886</v>
          </cell>
          <cell r="H208">
            <v>7452.0197375964372</v>
          </cell>
          <cell r="K208">
            <v>7127.2793669330349</v>
          </cell>
          <cell r="N208">
            <v>7893.0942389232432</v>
          </cell>
          <cell r="Q208">
            <v>7452.0197375964372</v>
          </cell>
          <cell r="T208">
            <v>7359.9476282598398</v>
          </cell>
          <cell r="W208">
            <v>7568.353868259841</v>
          </cell>
          <cell r="Z208">
            <v>7776.7601082598412</v>
          </cell>
          <cell r="AC208">
            <v>7568.353868259841</v>
          </cell>
          <cell r="AF208">
            <v>7568.353868259841</v>
          </cell>
          <cell r="AI208">
            <v>7452.0197375964372</v>
          </cell>
          <cell r="AL208">
            <v>7568.353868259841</v>
          </cell>
          <cell r="AO208">
            <v>7059.4692789232431</v>
          </cell>
        </row>
        <row r="209">
          <cell r="A209" t="str">
            <v>ServiceBénéfices marginaux</v>
          </cell>
          <cell r="E209">
            <v>136615.18916563279</v>
          </cell>
          <cell r="H209">
            <v>11331.153299632941</v>
          </cell>
          <cell r="K209">
            <v>10837.369996295438</v>
          </cell>
          <cell r="N209">
            <v>12001.828226307945</v>
          </cell>
          <cell r="Q209">
            <v>11331.153299632941</v>
          </cell>
          <cell r="T209">
            <v>11191.153242970442</v>
          </cell>
          <cell r="W209">
            <v>11508.044922970443</v>
          </cell>
          <cell r="Z209">
            <v>11824.936602970443</v>
          </cell>
          <cell r="AC209">
            <v>11508.044922970443</v>
          </cell>
          <cell r="AF209">
            <v>11508.044922970443</v>
          </cell>
          <cell r="AI209">
            <v>11331.153299632941</v>
          </cell>
          <cell r="AL209">
            <v>11508.044922970443</v>
          </cell>
          <cell r="AO209">
            <v>10734.261506307945</v>
          </cell>
        </row>
        <row r="210">
          <cell r="A210" t="str">
            <v>ServiceCsst</v>
          </cell>
          <cell r="E210">
            <v>24615.349399213119</v>
          </cell>
          <cell r="H210">
            <v>2041.6492431771062</v>
          </cell>
          <cell r="K210">
            <v>1952.6792786117906</v>
          </cell>
          <cell r="N210">
            <v>2162.4915723077379</v>
          </cell>
          <cell r="Q210">
            <v>2041.6492431771062</v>
          </cell>
          <cell r="T210">
            <v>2016.4240077424222</v>
          </cell>
          <cell r="W210">
            <v>2073.521607742422</v>
          </cell>
          <cell r="Z210">
            <v>2130.6192077424225</v>
          </cell>
          <cell r="AC210">
            <v>2073.521607742422</v>
          </cell>
          <cell r="AF210">
            <v>2073.521607742422</v>
          </cell>
          <cell r="AI210">
            <v>2041.6492431771062</v>
          </cell>
          <cell r="AL210">
            <v>2073.521607742422</v>
          </cell>
          <cell r="AO210">
            <v>1934.1011723077379</v>
          </cell>
        </row>
        <row r="211">
          <cell r="A211" t="str">
            <v>Service[...]</v>
          </cell>
          <cell r="E211">
            <v>0</v>
          </cell>
        </row>
        <row r="212">
          <cell r="A212" t="str">
            <v>ServiceTOTAL PERSONNEL</v>
          </cell>
          <cell r="C212" t="str">
            <v>%brut</v>
          </cell>
          <cell r="D212">
            <v>0.43944922250335089</v>
          </cell>
          <cell r="E212">
            <v>869063.3854581574</v>
          </cell>
          <cell r="F212" t="str">
            <v>%brut</v>
          </cell>
          <cell r="G212">
            <v>0.58664964756244609</v>
          </cell>
          <cell r="H212">
            <v>71125.77098337865</v>
          </cell>
          <cell r="I212" t="str">
            <v>%brut</v>
          </cell>
          <cell r="J212">
            <v>0.57520142062274404</v>
          </cell>
          <cell r="K212">
            <v>68251.775403643842</v>
          </cell>
          <cell r="L212" t="str">
            <v>%brut</v>
          </cell>
          <cell r="M212">
            <v>0.4545779345210802</v>
          </cell>
          <cell r="N212">
            <v>76014.443262848305</v>
          </cell>
          <cell r="O212" t="str">
            <v>%brut</v>
          </cell>
          <cell r="P212">
            <v>0.34543471246838764</v>
          </cell>
          <cell r="Q212">
            <v>71125.77098337865</v>
          </cell>
          <cell r="R212" t="str">
            <v>%brut</v>
          </cell>
          <cell r="S212">
            <v>0.35104590923631401</v>
          </cell>
          <cell r="T212">
            <v>72281.12880311349</v>
          </cell>
          <cell r="U212" t="str">
            <v>%brut</v>
          </cell>
          <cell r="V212">
            <v>0.40672922273620887</v>
          </cell>
          <cell r="W212">
            <v>73140.447683113496</v>
          </cell>
          <cell r="X212" t="str">
            <v>%brut</v>
          </cell>
          <cell r="Y212">
            <v>0.51083581006473799</v>
          </cell>
          <cell r="Z212">
            <v>73999.766563113488</v>
          </cell>
          <cell r="AA212" t="str">
            <v>%brut</v>
          </cell>
          <cell r="AB212">
            <v>0.51124902686590257</v>
          </cell>
          <cell r="AC212">
            <v>73140.447683113496</v>
          </cell>
          <cell r="AD212" t="str">
            <v>%brut</v>
          </cell>
          <cell r="AE212">
            <v>0.50203496650874202</v>
          </cell>
          <cell r="AF212">
            <v>73140.447683113496</v>
          </cell>
          <cell r="AG212" t="str">
            <v>%brut</v>
          </cell>
          <cell r="AH212">
            <v>0.3369111727577066</v>
          </cell>
          <cell r="AI212">
            <v>71125.77098337865</v>
          </cell>
          <cell r="AJ212" t="str">
            <v>%brut</v>
          </cell>
          <cell r="AK212">
            <v>0.33941032129664461</v>
          </cell>
          <cell r="AL212">
            <v>73140.447683113496</v>
          </cell>
          <cell r="AM212" t="str">
            <v>%brut</v>
          </cell>
          <cell r="AN212">
            <v>0.61165427190092947</v>
          </cell>
          <cell r="AO212">
            <v>72577.167742848309</v>
          </cell>
        </row>
        <row r="213">
          <cell r="A213" t="str">
            <v>ServicePublicité 2</v>
          </cell>
          <cell r="E213">
            <v>52730.6</v>
          </cell>
          <cell r="H213">
            <v>4394.2166666666662</v>
          </cell>
          <cell r="K213">
            <v>4394.2166666666662</v>
          </cell>
          <cell r="N213">
            <v>4394.2166666666662</v>
          </cell>
          <cell r="Q213">
            <v>4394.2166666666662</v>
          </cell>
          <cell r="T213">
            <v>4394.2166666666662</v>
          </cell>
          <cell r="W213">
            <v>4394.2166666666662</v>
          </cell>
          <cell r="Z213">
            <v>4394.2166666666662</v>
          </cell>
          <cell r="AC213">
            <v>4394.2166666666662</v>
          </cell>
          <cell r="AF213">
            <v>4394.2166666666662</v>
          </cell>
          <cell r="AI213">
            <v>4394.2166666666662</v>
          </cell>
          <cell r="AL213">
            <v>4394.2166666666662</v>
          </cell>
          <cell r="AO213">
            <v>4394.2166666666662</v>
          </cell>
        </row>
        <row r="214">
          <cell r="A214" t="str">
            <v>ServiceService gratuit 2</v>
          </cell>
          <cell r="E214">
            <v>45000</v>
          </cell>
          <cell r="H214">
            <v>3750</v>
          </cell>
          <cell r="K214">
            <v>3750</v>
          </cell>
          <cell r="N214">
            <v>3750</v>
          </cell>
          <cell r="Q214">
            <v>3750</v>
          </cell>
          <cell r="T214">
            <v>3750</v>
          </cell>
          <cell r="W214">
            <v>3750</v>
          </cell>
          <cell r="Z214">
            <v>3750</v>
          </cell>
          <cell r="AC214">
            <v>3750</v>
          </cell>
          <cell r="AF214">
            <v>3750</v>
          </cell>
          <cell r="AI214">
            <v>3750</v>
          </cell>
          <cell r="AL214">
            <v>3750</v>
          </cell>
          <cell r="AO214">
            <v>3750</v>
          </cell>
        </row>
        <row r="215">
          <cell r="A215" t="str">
            <v>ServiceFrais véhicules de cie</v>
          </cell>
          <cell r="E215">
            <v>500096.56</v>
          </cell>
          <cell r="H215">
            <v>26786.38</v>
          </cell>
          <cell r="K215">
            <v>26786.38</v>
          </cell>
          <cell r="N215">
            <v>41546.379999999997</v>
          </cell>
          <cell r="Q215">
            <v>52616.38</v>
          </cell>
          <cell r="T215">
            <v>53616.38</v>
          </cell>
          <cell r="W215">
            <v>46466.38</v>
          </cell>
          <cell r="Z215">
            <v>39086.379999999997</v>
          </cell>
          <cell r="AC215">
            <v>39086.379999999997</v>
          </cell>
          <cell r="AF215">
            <v>39086.379999999997</v>
          </cell>
          <cell r="AI215">
            <v>52616.38</v>
          </cell>
          <cell r="AL215">
            <v>55616.38</v>
          </cell>
          <cell r="AO215">
            <v>26786.38</v>
          </cell>
        </row>
        <row r="216">
          <cell r="A216" t="str">
            <v>ServiceInformatique</v>
          </cell>
          <cell r="E216">
            <v>75724.425000000003</v>
          </cell>
          <cell r="H216">
            <v>6310.3687499999996</v>
          </cell>
          <cell r="K216">
            <v>6310.3687499999996</v>
          </cell>
          <cell r="N216">
            <v>6310.3687499999996</v>
          </cell>
          <cell r="Q216">
            <v>6310.3687499999996</v>
          </cell>
          <cell r="T216">
            <v>6310.3687499999996</v>
          </cell>
          <cell r="W216">
            <v>6310.3687499999996</v>
          </cell>
          <cell r="Z216">
            <v>6310.3687499999996</v>
          </cell>
          <cell r="AC216">
            <v>6310.3687499999996</v>
          </cell>
          <cell r="AF216">
            <v>6310.3687499999996</v>
          </cell>
          <cell r="AI216">
            <v>6310.3687499999996</v>
          </cell>
          <cell r="AL216">
            <v>6310.3687499999996</v>
          </cell>
          <cell r="AO216">
            <v>6310.3687499999996</v>
          </cell>
        </row>
        <row r="217">
          <cell r="A217" t="str">
            <v>ServiceFrais de déplacement</v>
          </cell>
          <cell r="E217">
            <v>18225</v>
          </cell>
          <cell r="H217">
            <v>1518.75</v>
          </cell>
          <cell r="K217">
            <v>1518.75</v>
          </cell>
          <cell r="N217">
            <v>1518.75</v>
          </cell>
          <cell r="Q217">
            <v>1518.75</v>
          </cell>
          <cell r="T217">
            <v>1518.75</v>
          </cell>
          <cell r="W217">
            <v>1518.75</v>
          </cell>
          <cell r="Z217">
            <v>1518.75</v>
          </cell>
          <cell r="AC217">
            <v>1518.75</v>
          </cell>
          <cell r="AF217">
            <v>1518.75</v>
          </cell>
          <cell r="AI217">
            <v>1518.75</v>
          </cell>
          <cell r="AL217">
            <v>1518.75</v>
          </cell>
          <cell r="AO217">
            <v>1518.75</v>
          </cell>
        </row>
        <row r="218">
          <cell r="A218" t="str">
            <v>ServiceServices extérieurs</v>
          </cell>
          <cell r="E218">
            <v>140126.52499999999</v>
          </cell>
          <cell r="H218">
            <v>10732.543749999999</v>
          </cell>
          <cell r="K218">
            <v>10024.043750000001</v>
          </cell>
          <cell r="N218">
            <v>11441.043750000001</v>
          </cell>
          <cell r="Q218">
            <v>13566.543750000001</v>
          </cell>
          <cell r="T218">
            <v>13566.543750000001</v>
          </cell>
          <cell r="W218">
            <v>11441.043750000001</v>
          </cell>
          <cell r="Z218">
            <v>10024.043750000001</v>
          </cell>
          <cell r="AC218">
            <v>10024.043750000001</v>
          </cell>
          <cell r="AF218">
            <v>10024.043750000001</v>
          </cell>
          <cell r="AI218">
            <v>14275.043750000001</v>
          </cell>
          <cell r="AL218">
            <v>14983.543749999997</v>
          </cell>
          <cell r="AO218">
            <v>10024.043750000001</v>
          </cell>
        </row>
        <row r="219">
          <cell r="A219" t="str">
            <v>ServiceFournitures autres</v>
          </cell>
          <cell r="E219">
            <v>24981.504000000001</v>
          </cell>
          <cell r="H219">
            <v>2106.8738313253011</v>
          </cell>
          <cell r="K219">
            <v>2006.5465060240963</v>
          </cell>
          <cell r="N219">
            <v>2207.201156626506</v>
          </cell>
          <cell r="Q219">
            <v>2106.8738313253011</v>
          </cell>
          <cell r="T219">
            <v>2006.5465060240963</v>
          </cell>
          <cell r="W219">
            <v>2106.8738313253011</v>
          </cell>
          <cell r="Z219">
            <v>2207.201156626506</v>
          </cell>
          <cell r="AC219">
            <v>2106.8738313253011</v>
          </cell>
          <cell r="AF219">
            <v>2106.8738313253011</v>
          </cell>
          <cell r="AI219">
            <v>2106.8738313253011</v>
          </cell>
          <cell r="AL219">
            <v>2106.8738313253011</v>
          </cell>
          <cell r="AO219">
            <v>1805.8918554216866</v>
          </cell>
        </row>
        <row r="220">
          <cell r="A220" t="str">
            <v>ServiceUniformes</v>
          </cell>
          <cell r="E220">
            <v>8400</v>
          </cell>
          <cell r="H220">
            <v>700</v>
          </cell>
          <cell r="K220">
            <v>700</v>
          </cell>
          <cell r="N220">
            <v>700</v>
          </cell>
          <cell r="Q220">
            <v>700</v>
          </cell>
          <cell r="T220">
            <v>700</v>
          </cell>
          <cell r="W220">
            <v>700</v>
          </cell>
          <cell r="Z220">
            <v>700</v>
          </cell>
          <cell r="AC220">
            <v>700</v>
          </cell>
          <cell r="AF220">
            <v>700</v>
          </cell>
          <cell r="AI220">
            <v>700</v>
          </cell>
          <cell r="AL220">
            <v>700</v>
          </cell>
          <cell r="AO220">
            <v>700</v>
          </cell>
        </row>
        <row r="221">
          <cell r="A221" t="str">
            <v>ServicePapeterie</v>
          </cell>
          <cell r="E221">
            <v>2700</v>
          </cell>
          <cell r="H221">
            <v>225</v>
          </cell>
          <cell r="K221">
            <v>225</v>
          </cell>
          <cell r="N221">
            <v>225</v>
          </cell>
          <cell r="Q221">
            <v>225</v>
          </cell>
          <cell r="T221">
            <v>225</v>
          </cell>
          <cell r="W221">
            <v>225</v>
          </cell>
          <cell r="Z221">
            <v>225</v>
          </cell>
          <cell r="AC221">
            <v>225</v>
          </cell>
          <cell r="AF221">
            <v>225</v>
          </cell>
          <cell r="AI221">
            <v>225</v>
          </cell>
          <cell r="AL221">
            <v>225</v>
          </cell>
          <cell r="AO221">
            <v>225</v>
          </cell>
        </row>
        <row r="222">
          <cell r="A222" t="str">
            <v>ServiceTéléphone</v>
          </cell>
          <cell r="E222">
            <v>4386.8999999999987</v>
          </cell>
          <cell r="H222">
            <v>365.57499999999993</v>
          </cell>
          <cell r="K222">
            <v>365.57499999999993</v>
          </cell>
          <cell r="N222">
            <v>365.57499999999993</v>
          </cell>
          <cell r="Q222">
            <v>365.57499999999993</v>
          </cell>
          <cell r="T222">
            <v>365.57499999999993</v>
          </cell>
          <cell r="W222">
            <v>365.57499999999993</v>
          </cell>
          <cell r="Z222">
            <v>365.57499999999993</v>
          </cell>
          <cell r="AC222">
            <v>365.57499999999993</v>
          </cell>
          <cell r="AF222">
            <v>365.57499999999993</v>
          </cell>
          <cell r="AI222">
            <v>365.57499999999993</v>
          </cell>
          <cell r="AL222">
            <v>365.57499999999993</v>
          </cell>
          <cell r="AO222">
            <v>365.57499999999993</v>
          </cell>
        </row>
        <row r="223">
          <cell r="A223" t="str">
            <v>ServiceFrais postaux</v>
          </cell>
          <cell r="E223">
            <v>450</v>
          </cell>
          <cell r="H223">
            <v>37.5</v>
          </cell>
          <cell r="K223">
            <v>37.5</v>
          </cell>
          <cell r="N223">
            <v>37.5</v>
          </cell>
          <cell r="Q223">
            <v>37.5</v>
          </cell>
          <cell r="T223">
            <v>37.5</v>
          </cell>
          <cell r="W223">
            <v>37.5</v>
          </cell>
          <cell r="Z223">
            <v>37.5</v>
          </cell>
          <cell r="AC223">
            <v>37.5</v>
          </cell>
          <cell r="AF223">
            <v>37.5</v>
          </cell>
          <cell r="AI223">
            <v>37.5</v>
          </cell>
          <cell r="AL223">
            <v>37.5</v>
          </cell>
          <cell r="AO223">
            <v>37.5</v>
          </cell>
        </row>
        <row r="224">
          <cell r="A224" t="str">
            <v>ServiceDivers</v>
          </cell>
          <cell r="E224">
            <v>9751.7250000000004</v>
          </cell>
          <cell r="H224">
            <v>812.64375000000007</v>
          </cell>
          <cell r="K224">
            <v>812.64375000000007</v>
          </cell>
          <cell r="N224">
            <v>812.64375000000007</v>
          </cell>
          <cell r="Q224">
            <v>812.64375000000007</v>
          </cell>
          <cell r="T224">
            <v>812.64375000000007</v>
          </cell>
          <cell r="W224">
            <v>812.64375000000007</v>
          </cell>
          <cell r="Z224">
            <v>812.64375000000007</v>
          </cell>
          <cell r="AC224">
            <v>812.64375000000007</v>
          </cell>
          <cell r="AF224">
            <v>812.64375000000007</v>
          </cell>
          <cell r="AI224">
            <v>812.64375000000007</v>
          </cell>
          <cell r="AL224">
            <v>812.64375000000007</v>
          </cell>
          <cell r="AO224">
            <v>812.64375000000007</v>
          </cell>
        </row>
        <row r="225">
          <cell r="A225" t="str">
            <v>ServiceFormation</v>
          </cell>
          <cell r="E225">
            <v>64249.999999999993</v>
          </cell>
          <cell r="H225">
            <v>5354.166666666667</v>
          </cell>
          <cell r="K225">
            <v>5354.166666666667</v>
          </cell>
          <cell r="N225">
            <v>5354.166666666667</v>
          </cell>
          <cell r="Q225">
            <v>5354.166666666667</v>
          </cell>
          <cell r="T225">
            <v>5354.166666666667</v>
          </cell>
          <cell r="W225">
            <v>5354.166666666667</v>
          </cell>
          <cell r="Z225">
            <v>5354.166666666667</v>
          </cell>
          <cell r="AC225">
            <v>5354.166666666667</v>
          </cell>
          <cell r="AF225">
            <v>5354.166666666667</v>
          </cell>
          <cell r="AI225">
            <v>5354.166666666667</v>
          </cell>
          <cell r="AL225">
            <v>5354.166666666667</v>
          </cell>
          <cell r="AO225">
            <v>5354.166666666667</v>
          </cell>
        </row>
        <row r="226">
          <cell r="A226" t="str">
            <v>ServiceFrais bancaires</v>
          </cell>
          <cell r="E226">
            <v>26825.864110086113</v>
          </cell>
          <cell r="H226">
            <v>1418.6555182290431</v>
          </cell>
          <cell r="K226">
            <v>1645.2758564616017</v>
          </cell>
          <cell r="N226">
            <v>2574.4594787302622</v>
          </cell>
          <cell r="Q226">
            <v>2468.641797734148</v>
          </cell>
          <cell r="T226">
            <v>2592.3476512501434</v>
          </cell>
          <cell r="W226">
            <v>2570.0110616733291</v>
          </cell>
          <cell r="Z226">
            <v>2139.5909487341537</v>
          </cell>
          <cell r="AC226">
            <v>2262.2140602605518</v>
          </cell>
          <cell r="AF226">
            <v>2326.9099082751604</v>
          </cell>
          <cell r="AI226">
            <v>2551.0912001934239</v>
          </cell>
          <cell r="AL226">
            <v>2336.6344747730332</v>
          </cell>
          <cell r="AO226">
            <v>1940.0321537712653</v>
          </cell>
        </row>
        <row r="227">
          <cell r="A227" t="str">
            <v>Service[...]</v>
          </cell>
          <cell r="E227">
            <v>0</v>
          </cell>
        </row>
        <row r="228">
          <cell r="A228" t="str">
            <v>Service[...]</v>
          </cell>
          <cell r="E228">
            <v>0</v>
          </cell>
        </row>
        <row r="229">
          <cell r="A229" t="str">
            <v>Service[...]</v>
          </cell>
          <cell r="E229">
            <v>0</v>
          </cell>
        </row>
        <row r="230">
          <cell r="A230" t="str">
            <v>ServiceTOTAL SEMI-FIXES</v>
          </cell>
          <cell r="C230" t="str">
            <v>%brut</v>
          </cell>
          <cell r="D230">
            <v>0.49233387174313625</v>
          </cell>
          <cell r="E230">
            <v>973649.10311008617</v>
          </cell>
          <cell r="F230" t="str">
            <v>%brut</v>
          </cell>
          <cell r="G230">
            <v>0.53210442435673344</v>
          </cell>
          <cell r="H230">
            <v>64512.673932887672</v>
          </cell>
          <cell r="I230" t="str">
            <v>%brut</v>
          </cell>
          <cell r="J230">
            <v>0.53878298682831405</v>
          </cell>
          <cell r="K230">
            <v>63930.466945819033</v>
          </cell>
          <cell r="L230" t="str">
            <v>%brut</v>
          </cell>
          <cell r="M230">
            <v>0.4858114435525891</v>
          </cell>
          <cell r="N230">
            <v>81237.305218690104</v>
          </cell>
          <cell r="O230" t="str">
            <v>%brut</v>
          </cell>
          <cell r="P230">
            <v>0.45762821024366479</v>
          </cell>
          <cell r="Q230">
            <v>94226.660212392773</v>
          </cell>
          <cell r="R230" t="str">
            <v>%brut</v>
          </cell>
          <cell r="S230">
            <v>0.46259842656262473</v>
          </cell>
          <cell r="T230">
            <v>95250.038740607561</v>
          </cell>
          <cell r="U230" t="str">
            <v>%brut</v>
          </cell>
          <cell r="V230">
            <v>0.47853246099933217</v>
          </cell>
          <cell r="W230">
            <v>86052.529476331969</v>
          </cell>
          <cell r="X230" t="str">
            <v>%brut</v>
          </cell>
          <cell r="Y230">
            <v>0.5310323206484362</v>
          </cell>
          <cell r="Z230">
            <v>76925.436688693997</v>
          </cell>
          <cell r="AA230" t="str">
            <v>%brut</v>
          </cell>
          <cell r="AB230">
            <v>0.53786180688668173</v>
          </cell>
          <cell r="AC230">
            <v>76947.73247491919</v>
          </cell>
          <cell r="AD230" t="str">
            <v>%brut</v>
          </cell>
          <cell r="AE230">
            <v>0.52861218516696851</v>
          </cell>
          <cell r="AF230">
            <v>77012.428322933803</v>
          </cell>
          <cell r="AG230" t="str">
            <v>%brut</v>
          </cell>
          <cell r="AH230">
            <v>0.45008291432727987</v>
          </cell>
          <cell r="AI230">
            <v>95017.609614852045</v>
          </cell>
          <cell r="AJ230" t="str">
            <v>%brut</v>
          </cell>
          <cell r="AK230">
            <v>0.45714611843133585</v>
          </cell>
          <cell r="AL230">
            <v>98511.652889431658</v>
          </cell>
          <cell r="AM230" t="str">
            <v>%brut</v>
          </cell>
          <cell r="AN230">
            <v>0.53957604166899542</v>
          </cell>
          <cell r="AO230">
            <v>64024.568592526288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C232" t="str">
            <v>% brut</v>
          </cell>
          <cell r="D232">
            <v>0.9317830942464872</v>
          </cell>
          <cell r="E232">
            <v>1842712.4885682436</v>
          </cell>
          <cell r="F232" t="str">
            <v>% brut</v>
          </cell>
          <cell r="G232">
            <v>1.1187540719191795</v>
          </cell>
          <cell r="H232">
            <v>135638.44491626631</v>
          </cell>
          <cell r="I232" t="str">
            <v>% brut</v>
          </cell>
          <cell r="J232">
            <v>1.1139844074510581</v>
          </cell>
          <cell r="K232">
            <v>132182.24234946287</v>
          </cell>
          <cell r="L232" t="str">
            <v>% brut</v>
          </cell>
          <cell r="M232">
            <v>0.94038937807366929</v>
          </cell>
          <cell r="N232">
            <v>157251.74848153841</v>
          </cell>
          <cell r="O232" t="str">
            <v>% brut</v>
          </cell>
          <cell r="P232">
            <v>0.80306292271205248</v>
          </cell>
          <cell r="Q232">
            <v>165352.43119577144</v>
          </cell>
          <cell r="R232" t="str">
            <v>% brut</v>
          </cell>
          <cell r="S232">
            <v>0.81364433579893869</v>
          </cell>
          <cell r="T232">
            <v>167531.16754372104</v>
          </cell>
          <cell r="U232" t="str">
            <v>% brut</v>
          </cell>
          <cell r="V232">
            <v>0.88526168373554104</v>
          </cell>
          <cell r="W232">
            <v>159192.97715944547</v>
          </cell>
          <cell r="X232" t="str">
            <v>% brut</v>
          </cell>
          <cell r="Y232">
            <v>1.0418681307131743</v>
          </cell>
          <cell r="Z232">
            <v>150925.20325180748</v>
          </cell>
          <cell r="AA232" t="str">
            <v>% brut</v>
          </cell>
          <cell r="AB232">
            <v>1.0491108337525843</v>
          </cell>
          <cell r="AC232">
            <v>150088.18015803269</v>
          </cell>
          <cell r="AD232" t="str">
            <v>% brut</v>
          </cell>
          <cell r="AE232">
            <v>1.0306471516757105</v>
          </cell>
          <cell r="AF232">
            <v>150152.8760060473</v>
          </cell>
          <cell r="AG232" t="str">
            <v>% brut</v>
          </cell>
          <cell r="AH232">
            <v>0.78699408708498653</v>
          </cell>
          <cell r="AI232">
            <v>166143.38059823069</v>
          </cell>
          <cell r="AJ232" t="str">
            <v>% brut</v>
          </cell>
          <cell r="AK232">
            <v>0.7965564397279804</v>
          </cell>
          <cell r="AL232">
            <v>171652.10057254514</v>
          </cell>
          <cell r="AM232" t="str">
            <v>% brut</v>
          </cell>
          <cell r="AN232">
            <v>1.1512303135699249</v>
          </cell>
          <cell r="AO232">
            <v>136601.73633537459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E234">
            <v>134907.08829090232</v>
          </cell>
          <cell r="H234">
            <v>-14397.81811471752</v>
          </cell>
          <cell r="K234">
            <v>-13525.067737914127</v>
          </cell>
          <cell r="N234">
            <v>9968.0778457847482</v>
          </cell>
          <cell r="Q234">
            <v>40549.77960155168</v>
          </cell>
          <cell r="T234">
            <v>38371.043253602082</v>
          </cell>
          <cell r="W234">
            <v>20632.920746469143</v>
          </cell>
          <cell r="Z234">
            <v>-6065.0248830757919</v>
          </cell>
          <cell r="AC234">
            <v>-7025.9074893009674</v>
          </cell>
          <cell r="AF234">
            <v>-4464.9208587241301</v>
          </cell>
          <cell r="AI234">
            <v>44967.964867683942</v>
          </cell>
          <cell r="AL234">
            <v>43840.602783369453</v>
          </cell>
          <cell r="AO234">
            <v>-17944.561723825842</v>
          </cell>
        </row>
        <row r="237">
          <cell r="C237" t="str">
            <v>Carrosserie</v>
          </cell>
        </row>
        <row r="239">
          <cell r="C239" t="str">
            <v>TOTAL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CarrosserieCarosserie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C242">
            <v>0</v>
          </cell>
          <cell r="D242">
            <v>74000</v>
          </cell>
          <cell r="E242">
            <v>23680.000000000004</v>
          </cell>
          <cell r="G242">
            <v>8140</v>
          </cell>
          <cell r="H242">
            <v>2604.8000000000002</v>
          </cell>
          <cell r="J242">
            <v>8140</v>
          </cell>
          <cell r="K242">
            <v>2604.8000000000002</v>
          </cell>
          <cell r="M242">
            <v>7400</v>
          </cell>
          <cell r="N242">
            <v>2368</v>
          </cell>
          <cell r="P242">
            <v>5180.0000000000009</v>
          </cell>
          <cell r="Q242">
            <v>1657.6000000000004</v>
          </cell>
          <cell r="S242">
            <v>5180.0000000000009</v>
          </cell>
          <cell r="T242">
            <v>1657.6000000000004</v>
          </cell>
          <cell r="V242">
            <v>5180.0000000000009</v>
          </cell>
          <cell r="W242">
            <v>1657.6000000000004</v>
          </cell>
          <cell r="Y242">
            <v>5180.0000000000009</v>
          </cell>
          <cell r="Z242">
            <v>1657.6000000000004</v>
          </cell>
          <cell r="AB242">
            <v>5180.0000000000009</v>
          </cell>
          <cell r="AC242">
            <v>1657.6000000000004</v>
          </cell>
          <cell r="AE242">
            <v>3700</v>
          </cell>
          <cell r="AF242">
            <v>1184</v>
          </cell>
          <cell r="AH242">
            <v>7400</v>
          </cell>
          <cell r="AI242">
            <v>2368</v>
          </cell>
          <cell r="AK242">
            <v>6660</v>
          </cell>
          <cell r="AL242">
            <v>2131.1999999999998</v>
          </cell>
          <cell r="AN242">
            <v>6660</v>
          </cell>
          <cell r="AO242">
            <v>2131.1999999999998</v>
          </cell>
        </row>
        <row r="243">
          <cell r="A243" t="str">
            <v>Carrosserie% profit / ventes</v>
          </cell>
          <cell r="E243">
            <v>0.32000000000000006</v>
          </cell>
          <cell r="H243">
            <v>0.32</v>
          </cell>
          <cell r="K243">
            <v>0.32</v>
          </cell>
          <cell r="N243">
            <v>0.32</v>
          </cell>
          <cell r="Q243">
            <v>0.32</v>
          </cell>
          <cell r="T243">
            <v>0.32</v>
          </cell>
          <cell r="W243">
            <v>0.32</v>
          </cell>
          <cell r="Z243">
            <v>0.32</v>
          </cell>
          <cell r="AC243">
            <v>0.32</v>
          </cell>
          <cell r="AF243">
            <v>0.32</v>
          </cell>
          <cell r="AI243">
            <v>0.32</v>
          </cell>
          <cell r="AL243">
            <v>0.31999999999999995</v>
          </cell>
          <cell r="AO243">
            <v>0.31999999999999995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D251">
            <v>74000</v>
          </cell>
          <cell r="E251">
            <v>23680.000000000004</v>
          </cell>
          <cell r="G251">
            <v>8140</v>
          </cell>
          <cell r="H251">
            <v>2604.8000000000002</v>
          </cell>
          <cell r="J251">
            <v>8140</v>
          </cell>
          <cell r="K251">
            <v>2604.8000000000002</v>
          </cell>
          <cell r="M251">
            <v>7400</v>
          </cell>
          <cell r="N251">
            <v>2368</v>
          </cell>
          <cell r="P251">
            <v>5180.0000000000009</v>
          </cell>
          <cell r="Q251">
            <v>1657.6000000000004</v>
          </cell>
          <cell r="S251">
            <v>5180.0000000000009</v>
          </cell>
          <cell r="T251">
            <v>1657.6000000000004</v>
          </cell>
          <cell r="V251">
            <v>5180.0000000000009</v>
          </cell>
          <cell r="W251">
            <v>1657.6000000000004</v>
          </cell>
          <cell r="Y251">
            <v>5180.0000000000009</v>
          </cell>
          <cell r="Z251">
            <v>1657.6000000000004</v>
          </cell>
          <cell r="AB251">
            <v>5180.0000000000009</v>
          </cell>
          <cell r="AC251">
            <v>1657.6000000000004</v>
          </cell>
          <cell r="AE251">
            <v>3700</v>
          </cell>
          <cell r="AF251">
            <v>1184</v>
          </cell>
          <cell r="AH251">
            <v>7400</v>
          </cell>
          <cell r="AI251">
            <v>2368</v>
          </cell>
          <cell r="AK251">
            <v>6660</v>
          </cell>
          <cell r="AL251">
            <v>2131.1999999999998</v>
          </cell>
          <cell r="AN251">
            <v>6660</v>
          </cell>
          <cell r="AO251">
            <v>2131.1999999999998</v>
          </cell>
        </row>
        <row r="252">
          <cell r="A252" t="str">
            <v>Carrosserie</v>
          </cell>
          <cell r="E252">
            <v>0.32000000000000006</v>
          </cell>
          <cell r="H252">
            <v>0.32</v>
          </cell>
          <cell r="K252">
            <v>0.32</v>
          </cell>
          <cell r="N252">
            <v>0.32</v>
          </cell>
          <cell r="Q252">
            <v>0.32</v>
          </cell>
          <cell r="T252">
            <v>0.32</v>
          </cell>
          <cell r="W252">
            <v>0.32</v>
          </cell>
          <cell r="Z252">
            <v>0.32</v>
          </cell>
          <cell r="AC252">
            <v>0.32</v>
          </cell>
          <cell r="AF252">
            <v>0.32</v>
          </cell>
          <cell r="AI252">
            <v>0.32</v>
          </cell>
          <cell r="AL252">
            <v>0.31999999999999995</v>
          </cell>
          <cell r="AO252">
            <v>0.31999999999999995</v>
          </cell>
        </row>
        <row r="253">
          <cell r="A253" t="str">
            <v>Carrosserie</v>
          </cell>
        </row>
        <row r="254">
          <cell r="A254" t="str">
            <v>CarrosserieDEPENSES</v>
          </cell>
        </row>
        <row r="255">
          <cell r="A255" t="str">
            <v>CarrosserieSalaires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E256">
            <v>4352.0650000000005</v>
          </cell>
          <cell r="H256">
            <v>350.16614942528736</v>
          </cell>
          <cell r="K256">
            <v>333.49157088122604</v>
          </cell>
          <cell r="N256">
            <v>383.51530651341</v>
          </cell>
          <cell r="Q256">
            <v>350.16614942528736</v>
          </cell>
          <cell r="T256">
            <v>366.84072796934868</v>
          </cell>
          <cell r="W256">
            <v>366.84072796934868</v>
          </cell>
          <cell r="Z256">
            <v>366.84072796934868</v>
          </cell>
          <cell r="AC256">
            <v>366.84072796934868</v>
          </cell>
          <cell r="AF256">
            <v>366.84072796934868</v>
          </cell>
          <cell r="AI256">
            <v>350.16614942528736</v>
          </cell>
          <cell r="AL256">
            <v>366.84072796934868</v>
          </cell>
          <cell r="AO256">
            <v>383.51530651341</v>
          </cell>
        </row>
        <row r="257">
          <cell r="A257" t="str">
            <v>CarrosserieSalaires autres</v>
          </cell>
          <cell r="E257">
            <v>216.50000000000003</v>
          </cell>
          <cell r="H257">
            <v>17.419540229885058</v>
          </cell>
          <cell r="K257">
            <v>16.590038314176244</v>
          </cell>
          <cell r="N257">
            <v>19.078544061302683</v>
          </cell>
          <cell r="Q257">
            <v>17.419540229885058</v>
          </cell>
          <cell r="T257">
            <v>18.249042145593869</v>
          </cell>
          <cell r="W257">
            <v>18.249042145593869</v>
          </cell>
          <cell r="Z257">
            <v>18.249042145593869</v>
          </cell>
          <cell r="AC257">
            <v>18.249042145593869</v>
          </cell>
          <cell r="AF257">
            <v>18.249042145593869</v>
          </cell>
          <cell r="AI257">
            <v>17.419540229885058</v>
          </cell>
          <cell r="AL257">
            <v>18.249042145593869</v>
          </cell>
          <cell r="AO257">
            <v>19.078544061302683</v>
          </cell>
        </row>
        <row r="258">
          <cell r="A258" t="str">
            <v>CarrosserieSalaires spécialistes</v>
          </cell>
          <cell r="E258">
            <v>0</v>
          </cell>
        </row>
        <row r="259">
          <cell r="A259" t="str">
            <v>Carrosserie[...]</v>
          </cell>
          <cell r="E259">
            <v>0</v>
          </cell>
        </row>
        <row r="260">
          <cell r="A260" t="str">
            <v>Carrosserie[...]</v>
          </cell>
          <cell r="E260">
            <v>0</v>
          </cell>
        </row>
        <row r="261">
          <cell r="A261" t="str">
            <v>Carrosserie[...]</v>
          </cell>
          <cell r="E261">
            <v>0</v>
          </cell>
        </row>
        <row r="262">
          <cell r="A262" t="str">
            <v>CarrosserieSalaires en absences</v>
          </cell>
          <cell r="E262">
            <v>1060.1593378222094</v>
          </cell>
          <cell r="H262">
            <v>85.523181813461093</v>
          </cell>
          <cell r="K262">
            <v>81.758608917830358</v>
          </cell>
          <cell r="N262">
            <v>93.052327604722507</v>
          </cell>
          <cell r="Q262">
            <v>85.523181813461093</v>
          </cell>
          <cell r="T262">
            <v>89.2877547090918</v>
          </cell>
          <cell r="W262">
            <v>89.2877547090918</v>
          </cell>
          <cell r="Z262">
            <v>89.2877547090918</v>
          </cell>
          <cell r="AC262">
            <v>89.2877547090918</v>
          </cell>
          <cell r="AF262">
            <v>89.2877547090918</v>
          </cell>
          <cell r="AI262">
            <v>85.523181813461093</v>
          </cell>
          <cell r="AL262">
            <v>89.2877547090918</v>
          </cell>
          <cell r="AO262">
            <v>93.052327604722507</v>
          </cell>
        </row>
        <row r="263">
          <cell r="A263" t="str">
            <v>CarrosserieDéduction à la source</v>
          </cell>
          <cell r="E263">
            <v>797.85187279403408</v>
          </cell>
          <cell r="H263">
            <v>64.36280693178</v>
          </cell>
          <cell r="K263">
            <v>61.529674752593976</v>
          </cell>
          <cell r="N263">
            <v>70.02907129015199</v>
          </cell>
          <cell r="Q263">
            <v>64.36280693178</v>
          </cell>
          <cell r="T263">
            <v>67.195939110965995</v>
          </cell>
          <cell r="W263">
            <v>67.195939110965995</v>
          </cell>
          <cell r="Z263">
            <v>67.195939110965995</v>
          </cell>
          <cell r="AC263">
            <v>67.195939110965995</v>
          </cell>
          <cell r="AF263">
            <v>67.195939110965995</v>
          </cell>
          <cell r="AI263">
            <v>64.36280693178</v>
          </cell>
          <cell r="AL263">
            <v>67.195939110965995</v>
          </cell>
          <cell r="AO263">
            <v>70.02907129015199</v>
          </cell>
        </row>
        <row r="264">
          <cell r="A264" t="str">
            <v>CarrosserieBénéfices marginaux</v>
          </cell>
          <cell r="E264">
            <v>1213.172025755312</v>
          </cell>
          <cell r="H264">
            <v>97.866733827775064</v>
          </cell>
          <cell r="K264">
            <v>93.558820514218255</v>
          </cell>
          <cell r="N264">
            <v>106.48256045488864</v>
          </cell>
          <cell r="Q264">
            <v>97.866733827775064</v>
          </cell>
          <cell r="T264">
            <v>102.17464714133186</v>
          </cell>
          <cell r="W264">
            <v>102.17464714133186</v>
          </cell>
          <cell r="Z264">
            <v>102.17464714133186</v>
          </cell>
          <cell r="AC264">
            <v>102.17464714133186</v>
          </cell>
          <cell r="AF264">
            <v>102.17464714133186</v>
          </cell>
          <cell r="AI264">
            <v>97.866733827775064</v>
          </cell>
          <cell r="AL264">
            <v>102.17464714133186</v>
          </cell>
          <cell r="AO264">
            <v>106.48256045488864</v>
          </cell>
        </row>
        <row r="265">
          <cell r="A265" t="str">
            <v>CarrosserieCsst</v>
          </cell>
          <cell r="E265">
            <v>218.58955419014626</v>
          </cell>
          <cell r="H265">
            <v>17.633645734734245</v>
          </cell>
          <cell r="K265">
            <v>16.857445137696981</v>
          </cell>
          <cell r="N265">
            <v>19.186046928808764</v>
          </cell>
          <cell r="Q265">
            <v>17.633645734734245</v>
          </cell>
          <cell r="T265">
            <v>18.409846331771504</v>
          </cell>
          <cell r="W265">
            <v>18.409846331771504</v>
          </cell>
          <cell r="Z265">
            <v>18.409846331771504</v>
          </cell>
          <cell r="AC265">
            <v>18.409846331771504</v>
          </cell>
          <cell r="AF265">
            <v>18.409846331771504</v>
          </cell>
          <cell r="AI265">
            <v>17.633645734734245</v>
          </cell>
          <cell r="AL265">
            <v>18.409846331771504</v>
          </cell>
          <cell r="AO265">
            <v>19.186046928808764</v>
          </cell>
        </row>
        <row r="266">
          <cell r="A266" t="str">
            <v>Carrosserie[...]</v>
          </cell>
          <cell r="E266">
            <v>0</v>
          </cell>
        </row>
        <row r="267">
          <cell r="A267" t="str">
            <v>CarrosserieTOTAL PERSONNEL</v>
          </cell>
          <cell r="C267" t="str">
            <v>% brut</v>
          </cell>
          <cell r="D267">
            <v>0</v>
          </cell>
          <cell r="E267">
            <v>11379.037790561702</v>
          </cell>
          <cell r="F267" t="str">
            <v>% brut</v>
          </cell>
          <cell r="G267">
            <v>0</v>
          </cell>
          <cell r="H267">
            <v>916.2467706066011</v>
          </cell>
          <cell r="I267" t="str">
            <v>% brut</v>
          </cell>
          <cell r="J267">
            <v>0</v>
          </cell>
          <cell r="K267">
            <v>873.57159913076873</v>
          </cell>
          <cell r="L267" t="str">
            <v>% brut</v>
          </cell>
          <cell r="M267">
            <v>0</v>
          </cell>
          <cell r="N267">
            <v>1001.5971135582654</v>
          </cell>
          <cell r="O267" t="str">
            <v>% brut</v>
          </cell>
          <cell r="P267">
            <v>0</v>
          </cell>
          <cell r="Q267">
            <v>916.2467706066011</v>
          </cell>
          <cell r="R267" t="str">
            <v>% brut</v>
          </cell>
          <cell r="S267">
            <v>0</v>
          </cell>
          <cell r="T267">
            <v>958.92194208243336</v>
          </cell>
          <cell r="U267" t="str">
            <v>% brut</v>
          </cell>
          <cell r="V267">
            <v>0</v>
          </cell>
          <cell r="W267">
            <v>958.92194208243336</v>
          </cell>
          <cell r="X267" t="str">
            <v>% brut</v>
          </cell>
          <cell r="Y267">
            <v>0</v>
          </cell>
          <cell r="Z267">
            <v>958.92194208243336</v>
          </cell>
          <cell r="AA267" t="str">
            <v>% brut</v>
          </cell>
          <cell r="AB267">
            <v>0</v>
          </cell>
          <cell r="AC267">
            <v>958.92194208243336</v>
          </cell>
          <cell r="AD267" t="str">
            <v>% brut</v>
          </cell>
          <cell r="AE267">
            <v>0</v>
          </cell>
          <cell r="AF267">
            <v>958.92194208243336</v>
          </cell>
          <cell r="AG267" t="str">
            <v>% brut</v>
          </cell>
          <cell r="AH267">
            <v>0</v>
          </cell>
          <cell r="AI267">
            <v>916.2467706066011</v>
          </cell>
          <cell r="AJ267" t="str">
            <v>% brut</v>
          </cell>
          <cell r="AK267">
            <v>0</v>
          </cell>
          <cell r="AL267">
            <v>958.92194208243336</v>
          </cell>
          <cell r="AM267" t="str">
            <v>% brut</v>
          </cell>
          <cell r="AN267">
            <v>0</v>
          </cell>
          <cell r="AO267">
            <v>1001.5971135582654</v>
          </cell>
        </row>
        <row r="268">
          <cell r="A268" t="str">
            <v>CarrosseriePublicité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CarrosserieFrais véhicules de cie</v>
          </cell>
          <cell r="E270">
            <v>375.60000000000008</v>
          </cell>
          <cell r="H270">
            <v>31.3</v>
          </cell>
          <cell r="K270">
            <v>31.3</v>
          </cell>
          <cell r="N270">
            <v>31.3</v>
          </cell>
          <cell r="Q270">
            <v>31.3</v>
          </cell>
          <cell r="T270">
            <v>31.3</v>
          </cell>
          <cell r="W270">
            <v>31.3</v>
          </cell>
          <cell r="Z270">
            <v>31.3</v>
          </cell>
          <cell r="AC270">
            <v>31.3</v>
          </cell>
          <cell r="AF270">
            <v>31.3</v>
          </cell>
          <cell r="AI270">
            <v>31.3</v>
          </cell>
          <cell r="AL270">
            <v>31.3</v>
          </cell>
          <cell r="AO270">
            <v>31.3</v>
          </cell>
        </row>
        <row r="271">
          <cell r="A271" t="str">
            <v>CarrosserieInformatique</v>
          </cell>
          <cell r="E271">
            <v>3213.8249999999994</v>
          </cell>
          <cell r="H271">
            <v>267.81875000000002</v>
          </cell>
          <cell r="K271">
            <v>267.81875000000002</v>
          </cell>
          <cell r="N271">
            <v>267.81875000000002</v>
          </cell>
          <cell r="Q271">
            <v>267.81875000000002</v>
          </cell>
          <cell r="T271">
            <v>267.81875000000002</v>
          </cell>
          <cell r="W271">
            <v>267.81875000000002</v>
          </cell>
          <cell r="Z271">
            <v>267.81875000000002</v>
          </cell>
          <cell r="AC271">
            <v>267.81875000000002</v>
          </cell>
          <cell r="AF271">
            <v>267.81875000000002</v>
          </cell>
          <cell r="AI271">
            <v>267.81875000000002</v>
          </cell>
          <cell r="AL271">
            <v>267.81875000000002</v>
          </cell>
          <cell r="AO271">
            <v>267.81875000000002</v>
          </cell>
        </row>
        <row r="272">
          <cell r="A272" t="str">
            <v>CarrosserieFrais de déplacement</v>
          </cell>
          <cell r="E272">
            <v>2025</v>
          </cell>
          <cell r="H272">
            <v>168.75</v>
          </cell>
          <cell r="K272">
            <v>168.75</v>
          </cell>
          <cell r="N272">
            <v>168.75</v>
          </cell>
          <cell r="Q272">
            <v>168.75</v>
          </cell>
          <cell r="T272">
            <v>168.75</v>
          </cell>
          <cell r="W272">
            <v>168.75</v>
          </cell>
          <cell r="Z272">
            <v>168.75</v>
          </cell>
          <cell r="AC272">
            <v>168.75</v>
          </cell>
          <cell r="AF272">
            <v>168.75</v>
          </cell>
          <cell r="AI272">
            <v>168.75</v>
          </cell>
          <cell r="AL272">
            <v>168.75</v>
          </cell>
          <cell r="AO272">
            <v>168.75</v>
          </cell>
        </row>
        <row r="273">
          <cell r="A273" t="str">
            <v>CarrosserieServices extérieurs</v>
          </cell>
          <cell r="E273">
            <v>1030.7249999999999</v>
          </cell>
          <cell r="H273">
            <v>85.893750000000011</v>
          </cell>
          <cell r="K273">
            <v>85.893750000000011</v>
          </cell>
          <cell r="N273">
            <v>85.893750000000011</v>
          </cell>
          <cell r="Q273">
            <v>85.893750000000011</v>
          </cell>
          <cell r="T273">
            <v>85.893750000000011</v>
          </cell>
          <cell r="W273">
            <v>85.893750000000011</v>
          </cell>
          <cell r="Z273">
            <v>85.893750000000011</v>
          </cell>
          <cell r="AC273">
            <v>85.893750000000011</v>
          </cell>
          <cell r="AF273">
            <v>85.893750000000011</v>
          </cell>
          <cell r="AI273">
            <v>85.893750000000011</v>
          </cell>
          <cell r="AL273">
            <v>85.893750000000011</v>
          </cell>
          <cell r="AO273">
            <v>85.893750000000011</v>
          </cell>
        </row>
        <row r="274">
          <cell r="A274" t="str">
            <v>CarrosserieFournitures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E276">
            <v>300</v>
          </cell>
          <cell r="H276">
            <v>25</v>
          </cell>
          <cell r="K276">
            <v>25</v>
          </cell>
          <cell r="N276">
            <v>25</v>
          </cell>
          <cell r="Q276">
            <v>25</v>
          </cell>
          <cell r="T276">
            <v>25</v>
          </cell>
          <cell r="W276">
            <v>25</v>
          </cell>
          <cell r="Z276">
            <v>25</v>
          </cell>
          <cell r="AC276">
            <v>25</v>
          </cell>
          <cell r="AF276">
            <v>25</v>
          </cell>
          <cell r="AI276">
            <v>25</v>
          </cell>
          <cell r="AL276">
            <v>25</v>
          </cell>
          <cell r="AO276">
            <v>25</v>
          </cell>
        </row>
        <row r="277">
          <cell r="A277" t="str">
            <v>CarrosserieTéléphone</v>
          </cell>
          <cell r="E277">
            <v>434.10000000000008</v>
          </cell>
          <cell r="H277">
            <v>36.174999999999997</v>
          </cell>
          <cell r="K277">
            <v>36.174999999999997</v>
          </cell>
          <cell r="N277">
            <v>36.174999999999997</v>
          </cell>
          <cell r="Q277">
            <v>36.174999999999997</v>
          </cell>
          <cell r="T277">
            <v>36.174999999999997</v>
          </cell>
          <cell r="W277">
            <v>36.174999999999997</v>
          </cell>
          <cell r="Z277">
            <v>36.174999999999997</v>
          </cell>
          <cell r="AC277">
            <v>36.174999999999997</v>
          </cell>
          <cell r="AF277">
            <v>36.174999999999997</v>
          </cell>
          <cell r="AI277">
            <v>36.174999999999997</v>
          </cell>
          <cell r="AL277">
            <v>36.174999999999997</v>
          </cell>
          <cell r="AO277">
            <v>36.174999999999997</v>
          </cell>
        </row>
        <row r="278">
          <cell r="A278" t="str">
            <v>CarrosserieFrais postaux</v>
          </cell>
          <cell r="E278">
            <v>49.999999999999993</v>
          </cell>
          <cell r="H278">
            <v>4.166666666666667</v>
          </cell>
          <cell r="K278">
            <v>4.166666666666667</v>
          </cell>
          <cell r="N278">
            <v>4.166666666666667</v>
          </cell>
          <cell r="Q278">
            <v>4.166666666666667</v>
          </cell>
          <cell r="T278">
            <v>4.166666666666667</v>
          </cell>
          <cell r="W278">
            <v>4.166666666666667</v>
          </cell>
          <cell r="Z278">
            <v>4.166666666666667</v>
          </cell>
          <cell r="AC278">
            <v>4.166666666666667</v>
          </cell>
          <cell r="AF278">
            <v>4.166666666666667</v>
          </cell>
          <cell r="AI278">
            <v>4.166666666666667</v>
          </cell>
          <cell r="AL278">
            <v>4.166666666666667</v>
          </cell>
          <cell r="AO278">
            <v>4.166666666666667</v>
          </cell>
        </row>
        <row r="279">
          <cell r="A279" t="str">
            <v>CarrosserieDivers</v>
          </cell>
          <cell r="E279">
            <v>1083.5250000000003</v>
          </cell>
          <cell r="H279">
            <v>90.293750000000003</v>
          </cell>
          <cell r="K279">
            <v>90.293750000000003</v>
          </cell>
          <cell r="N279">
            <v>90.293750000000003</v>
          </cell>
          <cell r="Q279">
            <v>90.293750000000003</v>
          </cell>
          <cell r="T279">
            <v>90.293750000000003</v>
          </cell>
          <cell r="W279">
            <v>90.293750000000003</v>
          </cell>
          <cell r="Z279">
            <v>90.293750000000003</v>
          </cell>
          <cell r="AC279">
            <v>90.293750000000003</v>
          </cell>
          <cell r="AF279">
            <v>90.293750000000003</v>
          </cell>
          <cell r="AI279">
            <v>90.293750000000003</v>
          </cell>
          <cell r="AL279">
            <v>90.293750000000003</v>
          </cell>
          <cell r="AO279">
            <v>90.293750000000003</v>
          </cell>
        </row>
        <row r="280">
          <cell r="A280" t="str">
            <v>CarrosserieFormation</v>
          </cell>
          <cell r="E280">
            <v>250.00000000000009</v>
          </cell>
          <cell r="H280">
            <v>20.833333333333336</v>
          </cell>
          <cell r="K280">
            <v>20.833333333333336</v>
          </cell>
          <cell r="N280">
            <v>20.833333333333336</v>
          </cell>
          <cell r="Q280">
            <v>20.833333333333336</v>
          </cell>
          <cell r="T280">
            <v>20.833333333333336</v>
          </cell>
          <cell r="W280">
            <v>20.833333333333336</v>
          </cell>
          <cell r="Z280">
            <v>20.833333333333336</v>
          </cell>
          <cell r="AC280">
            <v>20.833333333333336</v>
          </cell>
          <cell r="AF280">
            <v>20.833333333333336</v>
          </cell>
          <cell r="AI280">
            <v>20.833333333333336</v>
          </cell>
          <cell r="AL280">
            <v>20.833333333333336</v>
          </cell>
          <cell r="AO280">
            <v>20.833333333333336</v>
          </cell>
        </row>
        <row r="281">
          <cell r="A281" t="str">
            <v>CarrosserieFrais bancaires</v>
          </cell>
          <cell r="E281">
            <v>2980.6515677873463</v>
          </cell>
          <cell r="H281">
            <v>157.62839091433813</v>
          </cell>
          <cell r="K281">
            <v>182.80842849573355</v>
          </cell>
          <cell r="N281">
            <v>286.05105319225135</v>
          </cell>
          <cell r="Q281">
            <v>274.29353308157204</v>
          </cell>
          <cell r="T281">
            <v>288.03862791668257</v>
          </cell>
          <cell r="W281">
            <v>285.55678463036992</v>
          </cell>
          <cell r="Z281">
            <v>237.73232763712818</v>
          </cell>
          <cell r="AC281">
            <v>251.35711780672796</v>
          </cell>
          <cell r="AF281">
            <v>258.54554536390668</v>
          </cell>
          <cell r="AI281">
            <v>283.45457779926932</v>
          </cell>
          <cell r="AL281">
            <v>259.62605275255925</v>
          </cell>
          <cell r="AO281">
            <v>215.55912819680725</v>
          </cell>
        </row>
        <row r="282">
          <cell r="A282" t="str">
            <v>Carrosserie[...]</v>
          </cell>
          <cell r="E282">
            <v>0</v>
          </cell>
        </row>
        <row r="283">
          <cell r="A283" t="str">
            <v>Carrosserie[...]</v>
          </cell>
          <cell r="E283">
            <v>0</v>
          </cell>
        </row>
        <row r="284">
          <cell r="A284" t="str">
            <v>Carrosserie[...]</v>
          </cell>
          <cell r="E284">
            <v>0</v>
          </cell>
        </row>
        <row r="285">
          <cell r="A285" t="str">
            <v>CarrosserieTOTAL SEMI-FIXES</v>
          </cell>
          <cell r="C285" t="str">
            <v>% brut</v>
          </cell>
          <cell r="D285">
            <v>0</v>
          </cell>
          <cell r="E285">
            <v>11743.426567787346</v>
          </cell>
          <cell r="F285" t="str">
            <v>% brut</v>
          </cell>
          <cell r="G285">
            <v>0</v>
          </cell>
          <cell r="H285">
            <v>887.85964091433812</v>
          </cell>
          <cell r="I285" t="str">
            <v>% brut</v>
          </cell>
          <cell r="J285">
            <v>0</v>
          </cell>
          <cell r="K285">
            <v>913.0396784957336</v>
          </cell>
          <cell r="L285" t="str">
            <v>% brut</v>
          </cell>
          <cell r="M285">
            <v>0</v>
          </cell>
          <cell r="N285">
            <v>1016.2823031922514</v>
          </cell>
          <cell r="O285" t="str">
            <v>% brut</v>
          </cell>
          <cell r="P285">
            <v>0</v>
          </cell>
          <cell r="Q285">
            <v>1004.5247830815721</v>
          </cell>
          <cell r="R285" t="str">
            <v>% brut</v>
          </cell>
          <cell r="S285">
            <v>0</v>
          </cell>
          <cell r="T285">
            <v>1018.2698779166826</v>
          </cell>
          <cell r="U285" t="str">
            <v>% brut</v>
          </cell>
          <cell r="V285">
            <v>0</v>
          </cell>
          <cell r="W285">
            <v>1015.78803463037</v>
          </cell>
          <cell r="X285" t="str">
            <v>% brut</v>
          </cell>
          <cell r="Y285">
            <v>0</v>
          </cell>
          <cell r="Z285">
            <v>967.9635776371282</v>
          </cell>
          <cell r="AA285" t="str">
            <v>% brut</v>
          </cell>
          <cell r="AB285">
            <v>0</v>
          </cell>
          <cell r="AC285">
            <v>981.588367806728</v>
          </cell>
          <cell r="AD285" t="str">
            <v>% brut</v>
          </cell>
          <cell r="AE285">
            <v>0</v>
          </cell>
          <cell r="AF285">
            <v>988.77679536390679</v>
          </cell>
          <cell r="AG285" t="str">
            <v>% brut</v>
          </cell>
          <cell r="AH285">
            <v>0</v>
          </cell>
          <cell r="AI285">
            <v>1013.6858277992694</v>
          </cell>
          <cell r="AJ285" t="str">
            <v>% brut</v>
          </cell>
          <cell r="AK285">
            <v>0</v>
          </cell>
          <cell r="AL285">
            <v>989.85730275255924</v>
          </cell>
          <cell r="AM285" t="str">
            <v>% brut</v>
          </cell>
          <cell r="AN285">
            <v>0</v>
          </cell>
          <cell r="AO285">
            <v>945.7903781968073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C287" t="str">
            <v>% brut</v>
          </cell>
          <cell r="D287">
            <v>0</v>
          </cell>
          <cell r="E287">
            <v>23122.464358349047</v>
          </cell>
          <cell r="F287" t="str">
            <v>% brut</v>
          </cell>
          <cell r="G287">
            <v>0</v>
          </cell>
          <cell r="H287">
            <v>1804.1064115209392</v>
          </cell>
          <cell r="I287" t="str">
            <v>% brut</v>
          </cell>
          <cell r="J287">
            <v>0</v>
          </cell>
          <cell r="K287">
            <v>1786.6112776265022</v>
          </cell>
          <cell r="L287" t="str">
            <v>% brut</v>
          </cell>
          <cell r="M287">
            <v>0</v>
          </cell>
          <cell r="N287">
            <v>2017.8794167505168</v>
          </cell>
          <cell r="O287" t="str">
            <v>% brut</v>
          </cell>
          <cell r="P287">
            <v>0</v>
          </cell>
          <cell r="Q287">
            <v>1920.7715536881733</v>
          </cell>
          <cell r="R287" t="str">
            <v>% brut</v>
          </cell>
          <cell r="S287">
            <v>0</v>
          </cell>
          <cell r="T287">
            <v>1977.191819999116</v>
          </cell>
          <cell r="U287" t="str">
            <v>% brut</v>
          </cell>
          <cell r="V287">
            <v>0</v>
          </cell>
          <cell r="W287">
            <v>1974.7099767128034</v>
          </cell>
          <cell r="X287" t="str">
            <v>% brut</v>
          </cell>
          <cell r="Y287">
            <v>0</v>
          </cell>
          <cell r="Z287">
            <v>1926.8855197195617</v>
          </cell>
          <cell r="AA287" t="str">
            <v>% brut</v>
          </cell>
          <cell r="AB287">
            <v>0</v>
          </cell>
          <cell r="AC287">
            <v>1940.5103098891614</v>
          </cell>
          <cell r="AD287" t="str">
            <v>% brut</v>
          </cell>
          <cell r="AE287">
            <v>0</v>
          </cell>
          <cell r="AF287">
            <v>1947.6987374463401</v>
          </cell>
          <cell r="AG287" t="str">
            <v>% brut</v>
          </cell>
          <cell r="AH287">
            <v>0</v>
          </cell>
          <cell r="AI287">
            <v>1929.9325984058705</v>
          </cell>
          <cell r="AJ287" t="str">
            <v>% brut</v>
          </cell>
          <cell r="AK287">
            <v>0</v>
          </cell>
          <cell r="AL287">
            <v>1948.7792448349926</v>
          </cell>
          <cell r="AM287" t="str">
            <v>% brut</v>
          </cell>
          <cell r="AN287">
            <v>0</v>
          </cell>
          <cell r="AO287">
            <v>1947.3874917550727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E289">
            <v>557.53564165095668</v>
          </cell>
          <cell r="H289">
            <v>800.69358847906096</v>
          </cell>
          <cell r="K289">
            <v>818.18872237349797</v>
          </cell>
          <cell r="N289">
            <v>350.12058324948316</v>
          </cell>
          <cell r="Q289">
            <v>-263.17155368817293</v>
          </cell>
          <cell r="T289">
            <v>-319.59181999911561</v>
          </cell>
          <cell r="W289">
            <v>-317.10997671280302</v>
          </cell>
          <cell r="Z289">
            <v>-269.28551971956131</v>
          </cell>
          <cell r="AC289">
            <v>-282.910309889161</v>
          </cell>
          <cell r="AF289">
            <v>-763.69873744634015</v>
          </cell>
          <cell r="AI289">
            <v>438.06740159412948</v>
          </cell>
          <cell r="AL289">
            <v>182.42075516500722</v>
          </cell>
          <cell r="AO289">
            <v>183.81250824492713</v>
          </cell>
        </row>
        <row r="291">
          <cell r="C291" t="str">
            <v>Pièces</v>
          </cell>
        </row>
        <row r="293">
          <cell r="C293" t="str">
            <v>TOTAL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C295">
            <v>917813.17</v>
          </cell>
          <cell r="D295">
            <v>0.40072167434293043</v>
          </cell>
          <cell r="E295">
            <v>367787.63021639269</v>
          </cell>
          <cell r="F295">
            <v>64246.921900000001</v>
          </cell>
          <cell r="G295">
            <v>0.40072167434293049</v>
          </cell>
          <cell r="H295">
            <v>25745.134115147488</v>
          </cell>
          <cell r="I295">
            <v>55068.790199999996</v>
          </cell>
          <cell r="J295">
            <v>0.40072167434293049</v>
          </cell>
          <cell r="K295">
            <v>22067.25781298356</v>
          </cell>
          <cell r="L295">
            <v>73425.053599999999</v>
          </cell>
          <cell r="M295">
            <v>0.40072167434293049</v>
          </cell>
          <cell r="N295">
            <v>29423.010417311416</v>
          </cell>
          <cell r="O295">
            <v>100959.44869999999</v>
          </cell>
          <cell r="P295">
            <v>0.40072167434293049</v>
          </cell>
          <cell r="Q295">
            <v>40456.639323803196</v>
          </cell>
          <cell r="R295">
            <v>100959.44869999999</v>
          </cell>
          <cell r="S295">
            <v>0.40072167434293049</v>
          </cell>
          <cell r="T295">
            <v>40456.639323803196</v>
          </cell>
          <cell r="U295">
            <v>73425.053599999999</v>
          </cell>
          <cell r="V295">
            <v>0.40072167434293049</v>
          </cell>
          <cell r="W295">
            <v>29423.010417311416</v>
          </cell>
          <cell r="X295">
            <v>55068.790199999996</v>
          </cell>
          <cell r="Y295">
            <v>0.40072167434293049</v>
          </cell>
          <cell r="Z295">
            <v>22067.25781298356</v>
          </cell>
          <cell r="AA295">
            <v>55068.790199999996</v>
          </cell>
          <cell r="AB295">
            <v>0.40072167434293049</v>
          </cell>
          <cell r="AC295">
            <v>22067.25781298356</v>
          </cell>
          <cell r="AD295">
            <v>55068.790199999996</v>
          </cell>
          <cell r="AE295">
            <v>0.40072167434293049</v>
          </cell>
          <cell r="AF295">
            <v>22067.25781298356</v>
          </cell>
          <cell r="AG295">
            <v>110137.58039999999</v>
          </cell>
          <cell r="AH295">
            <v>0.40072167434293049</v>
          </cell>
          <cell r="AI295">
            <v>44134.51562596712</v>
          </cell>
          <cell r="AJ295">
            <v>119315.71209999999</v>
          </cell>
          <cell r="AK295">
            <v>0.40072167434293049</v>
          </cell>
          <cell r="AL295">
            <v>47812.391928131045</v>
          </cell>
          <cell r="AM295">
            <v>55068.790199999996</v>
          </cell>
          <cell r="AN295">
            <v>0.40072167434293049</v>
          </cell>
          <cell r="AO295">
            <v>22067.25781298356</v>
          </cell>
        </row>
        <row r="296">
          <cell r="A296" t="str">
            <v>PiècesPièces Ro Carrosserie</v>
          </cell>
          <cell r="C296">
            <v>25279.004219113813</v>
          </cell>
          <cell r="D296">
            <v>0.33782606467483217</v>
          </cell>
          <cell r="E296">
            <v>8539.9065142416985</v>
          </cell>
          <cell r="F296">
            <v>2780.6904641025194</v>
          </cell>
          <cell r="G296">
            <v>0.33782606467483217</v>
          </cell>
          <cell r="H296">
            <v>939.3897165665868</v>
          </cell>
          <cell r="I296">
            <v>2780.6904641025194</v>
          </cell>
          <cell r="J296">
            <v>0.33782606467483217</v>
          </cell>
          <cell r="K296">
            <v>939.3897165665868</v>
          </cell>
          <cell r="L296">
            <v>2527.9004219113813</v>
          </cell>
          <cell r="M296">
            <v>0.33782606467483217</v>
          </cell>
          <cell r="N296">
            <v>853.99065142416987</v>
          </cell>
          <cell r="O296">
            <v>1769.5302953379671</v>
          </cell>
          <cell r="P296">
            <v>0.33782606467483217</v>
          </cell>
          <cell r="Q296">
            <v>597.79345599691896</v>
          </cell>
          <cell r="R296">
            <v>1769.5302953379671</v>
          </cell>
          <cell r="S296">
            <v>0.33782606467483217</v>
          </cell>
          <cell r="T296">
            <v>597.79345599691896</v>
          </cell>
          <cell r="U296">
            <v>1769.5302953379671</v>
          </cell>
          <cell r="V296">
            <v>0.33782606467483217</v>
          </cell>
          <cell r="W296">
            <v>597.79345599691896</v>
          </cell>
          <cell r="X296">
            <v>1769.5302953379671</v>
          </cell>
          <cell r="Y296">
            <v>0.33782606467483217</v>
          </cell>
          <cell r="Z296">
            <v>597.79345599691896</v>
          </cell>
          <cell r="AA296">
            <v>1769.5302953379671</v>
          </cell>
          <cell r="AB296">
            <v>0.33782606467483217</v>
          </cell>
          <cell r="AC296">
            <v>597.79345599691896</v>
          </cell>
          <cell r="AD296">
            <v>1263.9502109556906</v>
          </cell>
          <cell r="AE296">
            <v>0.33782606467483217</v>
          </cell>
          <cell r="AF296">
            <v>426.99532571208493</v>
          </cell>
          <cell r="AG296">
            <v>2527.9004219113813</v>
          </cell>
          <cell r="AH296">
            <v>0.33782606467483217</v>
          </cell>
          <cell r="AI296">
            <v>853.99065142416987</v>
          </cell>
          <cell r="AJ296">
            <v>2275.1103797202431</v>
          </cell>
          <cell r="AK296">
            <v>0.33782606467483217</v>
          </cell>
          <cell r="AL296">
            <v>768.59158628175283</v>
          </cell>
          <cell r="AM296">
            <v>2275.1103797202431</v>
          </cell>
          <cell r="AN296">
            <v>0.33782606467483217</v>
          </cell>
          <cell r="AO296">
            <v>768.59158628175283</v>
          </cell>
        </row>
        <row r="297">
          <cell r="A297" t="str">
            <v>PiècesP/A Garantie</v>
          </cell>
          <cell r="C297">
            <v>1079663.0499861306</v>
          </cell>
          <cell r="D297">
            <v>0.27899256079055468</v>
          </cell>
          <cell r="E297">
            <v>301217.95910657122</v>
          </cell>
          <cell r="F297">
            <v>64779.782999167815</v>
          </cell>
          <cell r="G297">
            <v>0.27899256079055479</v>
          </cell>
          <cell r="H297">
            <v>18073.077546394274</v>
          </cell>
          <cell r="I297">
            <v>64779.782999167815</v>
          </cell>
          <cell r="J297">
            <v>0.27899256079055479</v>
          </cell>
          <cell r="K297">
            <v>18073.077546394274</v>
          </cell>
          <cell r="L297">
            <v>97169.67449875173</v>
          </cell>
          <cell r="M297">
            <v>0.27899256079055479</v>
          </cell>
          <cell r="N297">
            <v>27109.616319591412</v>
          </cell>
          <cell r="O297">
            <v>97169.67449875173</v>
          </cell>
          <cell r="P297">
            <v>0.27899256079055479</v>
          </cell>
          <cell r="Q297">
            <v>27109.616319591412</v>
          </cell>
          <cell r="R297">
            <v>97169.67449875173</v>
          </cell>
          <cell r="S297">
            <v>0.27899256079055479</v>
          </cell>
          <cell r="T297">
            <v>27109.616319591412</v>
          </cell>
          <cell r="U297">
            <v>107966.30499861304</v>
          </cell>
          <cell r="V297">
            <v>0.27899256079055479</v>
          </cell>
          <cell r="W297">
            <v>30121.795910657125</v>
          </cell>
          <cell r="X297">
            <v>86373.043998890425</v>
          </cell>
          <cell r="Y297">
            <v>0.27899256079055479</v>
          </cell>
          <cell r="Z297">
            <v>24097.436728525699</v>
          </cell>
          <cell r="AA297">
            <v>86373.043998890425</v>
          </cell>
          <cell r="AB297">
            <v>0.27899256079055479</v>
          </cell>
          <cell r="AC297">
            <v>24097.436728525699</v>
          </cell>
          <cell r="AD297">
            <v>97169.67449875173</v>
          </cell>
          <cell r="AE297">
            <v>0.27899256079055479</v>
          </cell>
          <cell r="AF297">
            <v>27109.616319591412</v>
          </cell>
          <cell r="AG297">
            <v>107966.30499861304</v>
          </cell>
          <cell r="AH297">
            <v>0.27899256079055479</v>
          </cell>
          <cell r="AI297">
            <v>30121.795910657125</v>
          </cell>
          <cell r="AJ297">
            <v>107966.30499861304</v>
          </cell>
          <cell r="AK297">
            <v>0.27899256079055479</v>
          </cell>
          <cell r="AL297">
            <v>30121.795910657125</v>
          </cell>
          <cell r="AM297">
            <v>64779.782999167815</v>
          </cell>
          <cell r="AN297">
            <v>0.27899256079055479</v>
          </cell>
          <cell r="AO297">
            <v>18073.077546394274</v>
          </cell>
        </row>
        <row r="298">
          <cell r="A298" t="str">
            <v>PiècesVentes Internes</v>
          </cell>
          <cell r="C298">
            <v>485760.00000000006</v>
          </cell>
          <cell r="D298">
            <v>0.33999999999999991</v>
          </cell>
          <cell r="E298">
            <v>165158.39999999997</v>
          </cell>
          <cell r="F298">
            <v>24288</v>
          </cell>
          <cell r="G298">
            <v>0.34</v>
          </cell>
          <cell r="H298">
            <v>8257.92</v>
          </cell>
          <cell r="I298">
            <v>29145.599999999999</v>
          </cell>
          <cell r="J298">
            <v>0.34</v>
          </cell>
          <cell r="K298">
            <v>9909.5040000000008</v>
          </cell>
          <cell r="L298">
            <v>43718.400000000001</v>
          </cell>
          <cell r="M298">
            <v>0.34</v>
          </cell>
          <cell r="N298">
            <v>14864.256000000001</v>
          </cell>
          <cell r="O298">
            <v>48576</v>
          </cell>
          <cell r="P298">
            <v>0.34</v>
          </cell>
          <cell r="Q298">
            <v>16515.84</v>
          </cell>
          <cell r="R298">
            <v>48576</v>
          </cell>
          <cell r="S298">
            <v>0.34</v>
          </cell>
          <cell r="T298">
            <v>16515.84</v>
          </cell>
          <cell r="U298">
            <v>48576</v>
          </cell>
          <cell r="V298">
            <v>0.34</v>
          </cell>
          <cell r="W298">
            <v>16515.84</v>
          </cell>
          <cell r="X298">
            <v>43718.400000000001</v>
          </cell>
          <cell r="Y298">
            <v>0.34</v>
          </cell>
          <cell r="Z298">
            <v>14864.256000000001</v>
          </cell>
          <cell r="AA298">
            <v>43718.400000000001</v>
          </cell>
          <cell r="AB298">
            <v>0.34</v>
          </cell>
          <cell r="AC298">
            <v>14864.256000000001</v>
          </cell>
          <cell r="AD298">
            <v>43718.400000000001</v>
          </cell>
          <cell r="AE298">
            <v>0.34</v>
          </cell>
          <cell r="AF298">
            <v>14864.256000000001</v>
          </cell>
          <cell r="AG298">
            <v>43718.400000000001</v>
          </cell>
          <cell r="AH298">
            <v>0.34</v>
          </cell>
          <cell r="AI298">
            <v>14864.256000000001</v>
          </cell>
          <cell r="AJ298">
            <v>38860.800000000003</v>
          </cell>
          <cell r="AK298">
            <v>0.34</v>
          </cell>
          <cell r="AL298">
            <v>13212.672000000002</v>
          </cell>
          <cell r="AM298">
            <v>29145.599999999999</v>
          </cell>
          <cell r="AN298">
            <v>0.34</v>
          </cell>
          <cell r="AO298">
            <v>9909.5040000000008</v>
          </cell>
        </row>
        <row r="299">
          <cell r="A299" t="str">
            <v>PiècesVentes Détails</v>
          </cell>
          <cell r="C299">
            <v>162276</v>
          </cell>
          <cell r="D299">
            <v>0.29059133821390715</v>
          </cell>
          <cell r="E299">
            <v>47156</v>
          </cell>
          <cell r="F299">
            <v>15337.262724745135</v>
          </cell>
          <cell r="G299">
            <v>0.29059133821390715</v>
          </cell>
          <cell r="H299">
            <v>4456.8756997219643</v>
          </cell>
          <cell r="I299">
            <v>3771.9018350324372</v>
          </cell>
          <cell r="J299">
            <v>0.29059133821390715</v>
          </cell>
          <cell r="K299">
            <v>1096.082001853568</v>
          </cell>
          <cell r="L299">
            <v>13362.578869323448</v>
          </cell>
          <cell r="M299">
            <v>0.29059133821390715</v>
          </cell>
          <cell r="N299">
            <v>3883.0496756255789</v>
          </cell>
          <cell r="O299">
            <v>13812.259351251158</v>
          </cell>
          <cell r="P299">
            <v>0.29059133821390715</v>
          </cell>
          <cell r="Q299">
            <v>4013.7229286376269</v>
          </cell>
          <cell r="R299">
            <v>16110.29204819277</v>
          </cell>
          <cell r="S299">
            <v>0.29059133821390715</v>
          </cell>
          <cell r="T299">
            <v>4681.5113253012041</v>
          </cell>
          <cell r="U299">
            <v>9559.0941241890632</v>
          </cell>
          <cell r="V299">
            <v>0.29059133821390715</v>
          </cell>
          <cell r="W299">
            <v>2777.7899536607965</v>
          </cell>
          <cell r="X299">
            <v>13079.836626506025</v>
          </cell>
          <cell r="Y299">
            <v>0.29059133821390715</v>
          </cell>
          <cell r="Z299">
            <v>3800.8872289156625</v>
          </cell>
          <cell r="AA299">
            <v>18700.090676552361</v>
          </cell>
          <cell r="AB299">
            <v>0.29059133821390715</v>
          </cell>
          <cell r="AC299">
            <v>5434.0843744207586</v>
          </cell>
          <cell r="AD299">
            <v>8056.6499721964783</v>
          </cell>
          <cell r="AE299">
            <v>0.29059133821390715</v>
          </cell>
          <cell r="AF299">
            <v>2341.1926969416122</v>
          </cell>
          <cell r="AG299">
            <v>17984.211380908248</v>
          </cell>
          <cell r="AH299">
            <v>0.29059133821390715</v>
          </cell>
          <cell r="AI299">
            <v>5226.0560518999064</v>
          </cell>
          <cell r="AJ299">
            <v>19474.623948100092</v>
          </cell>
          <cell r="AK299">
            <v>0.29059133821390715</v>
          </cell>
          <cell r="AL299">
            <v>5659.1570342910099</v>
          </cell>
          <cell r="AM299">
            <v>13027.198443002781</v>
          </cell>
          <cell r="AN299">
            <v>0.29059133821390715</v>
          </cell>
          <cell r="AO299">
            <v>3785.5910287303054</v>
          </cell>
        </row>
        <row r="300">
          <cell r="A300" t="str">
            <v>PiècesVentes de Gros</v>
          </cell>
          <cell r="C300">
            <v>1385243</v>
          </cell>
          <cell r="D300">
            <v>0.24834415333627385</v>
          </cell>
          <cell r="E300">
            <v>344017</v>
          </cell>
          <cell r="F300">
            <v>152376.73000000001</v>
          </cell>
          <cell r="G300">
            <v>0.24834415333627385</v>
          </cell>
          <cell r="H300">
            <v>37841.870000000003</v>
          </cell>
          <cell r="I300">
            <v>152376.73000000001</v>
          </cell>
          <cell r="J300">
            <v>0.24834415333627385</v>
          </cell>
          <cell r="K300">
            <v>37841.870000000003</v>
          </cell>
          <cell r="L300">
            <v>138524.30000000002</v>
          </cell>
          <cell r="M300">
            <v>0.24834415333627385</v>
          </cell>
          <cell r="N300">
            <v>34401.700000000004</v>
          </cell>
          <cell r="O300">
            <v>96967.010000000009</v>
          </cell>
          <cell r="P300">
            <v>0.24834415333627385</v>
          </cell>
          <cell r="Q300">
            <v>24081.190000000002</v>
          </cell>
          <cell r="R300">
            <v>96967.010000000009</v>
          </cell>
          <cell r="S300">
            <v>0.24834415333627385</v>
          </cell>
          <cell r="T300">
            <v>24081.190000000002</v>
          </cell>
          <cell r="U300">
            <v>96967.010000000009</v>
          </cell>
          <cell r="V300">
            <v>0.24834415333627385</v>
          </cell>
          <cell r="W300">
            <v>24081.190000000002</v>
          </cell>
          <cell r="X300">
            <v>96967.010000000009</v>
          </cell>
          <cell r="Y300">
            <v>0.24834415333627385</v>
          </cell>
          <cell r="Z300">
            <v>24081.190000000002</v>
          </cell>
          <cell r="AA300">
            <v>96967.010000000009</v>
          </cell>
          <cell r="AB300">
            <v>0.24834415333627385</v>
          </cell>
          <cell r="AC300">
            <v>24081.190000000002</v>
          </cell>
          <cell r="AD300">
            <v>69262.150000000009</v>
          </cell>
          <cell r="AE300">
            <v>0.24834415333627385</v>
          </cell>
          <cell r="AF300">
            <v>17200.850000000002</v>
          </cell>
          <cell r="AG300">
            <v>138524.30000000002</v>
          </cell>
          <cell r="AH300">
            <v>0.24834415333627385</v>
          </cell>
          <cell r="AI300">
            <v>34401.700000000004</v>
          </cell>
          <cell r="AJ300">
            <v>124671.87</v>
          </cell>
          <cell r="AK300">
            <v>0.24834415333627385</v>
          </cell>
          <cell r="AL300">
            <v>30961.53</v>
          </cell>
          <cell r="AM300">
            <v>124671.87</v>
          </cell>
          <cell r="AN300">
            <v>0.24834415333627385</v>
          </cell>
          <cell r="AO300">
            <v>30961.53</v>
          </cell>
        </row>
        <row r="301">
          <cell r="A301" t="str">
            <v>Pièces[...]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C302">
            <v>0</v>
          </cell>
          <cell r="D302">
            <v>0</v>
          </cell>
          <cell r="E302">
            <v>-7009.9999999999991</v>
          </cell>
          <cell r="G302">
            <v>0</v>
          </cell>
          <cell r="H302">
            <v>-559.63625675317439</v>
          </cell>
          <cell r="J302">
            <v>0</v>
          </cell>
          <cell r="K302">
            <v>-532.18084072405884</v>
          </cell>
          <cell r="M302">
            <v>0</v>
          </cell>
          <cell r="N302">
            <v>-637.26844694222928</v>
          </cell>
          <cell r="P302">
            <v>0</v>
          </cell>
          <cell r="Q302">
            <v>-620.89466211032754</v>
          </cell>
          <cell r="S302">
            <v>0</v>
          </cell>
          <cell r="T302">
            <v>-624.8663271198152</v>
          </cell>
          <cell r="V302">
            <v>0</v>
          </cell>
          <cell r="W302">
            <v>-584.61626553996575</v>
          </cell>
          <cell r="Y302">
            <v>0</v>
          </cell>
          <cell r="Z302">
            <v>-513.26145907071725</v>
          </cell>
          <cell r="AB302">
            <v>0</v>
          </cell>
          <cell r="AC302">
            <v>-522.97488324640813</v>
          </cell>
          <cell r="AE302">
            <v>0</v>
          </cell>
          <cell r="AF302">
            <v>-474.48384159017911</v>
          </cell>
          <cell r="AH302">
            <v>0</v>
          </cell>
          <cell r="AI302">
            <v>-727.36552610330125</v>
          </cell>
          <cell r="AK302">
            <v>0</v>
          </cell>
          <cell r="AL302">
            <v>-713.03061915508931</v>
          </cell>
          <cell r="AN302">
            <v>0</v>
          </cell>
          <cell r="AO302">
            <v>-499.42087164473378</v>
          </cell>
        </row>
        <row r="303">
          <cell r="A303" t="str">
            <v>PiècesRectif. Inventaire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H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Y303">
            <v>0</v>
          </cell>
          <cell r="Z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</row>
        <row r="304">
          <cell r="A304" t="str">
            <v>PiècesSous-total Pièces</v>
          </cell>
          <cell r="C304">
            <v>4056034.2242052443</v>
          </cell>
          <cell r="D304">
            <v>0.30247942399391431</v>
          </cell>
          <cell r="E304">
            <v>1226866.8958372055</v>
          </cell>
          <cell r="F304">
            <v>323809.38808801549</v>
          </cell>
          <cell r="G304">
            <v>0.2926247178334484</v>
          </cell>
          <cell r="H304">
            <v>94754.630821077124</v>
          </cell>
          <cell r="I304">
            <v>307923.4954983028</v>
          </cell>
          <cell r="J304">
            <v>0.29031561911964149</v>
          </cell>
          <cell r="K304">
            <v>89395.000237073924</v>
          </cell>
          <cell r="L304">
            <v>368727.90738998656</v>
          </cell>
          <cell r="M304">
            <v>0.29804729290743898</v>
          </cell>
          <cell r="N304">
            <v>109898.35461701035</v>
          </cell>
          <cell r="O304">
            <v>359253.92284534086</v>
          </cell>
          <cell r="P304">
            <v>0.312185616451017</v>
          </cell>
          <cell r="Q304">
            <v>112153.90736591883</v>
          </cell>
          <cell r="R304">
            <v>361551.95554228249</v>
          </cell>
          <cell r="S304">
            <v>0.31203737766640072</v>
          </cell>
          <cell r="T304">
            <v>112817.72409757292</v>
          </cell>
          <cell r="U304">
            <v>338262.99301814009</v>
          </cell>
          <cell r="V304">
            <v>0.30429815142848421</v>
          </cell>
          <cell r="W304">
            <v>102932.80347208629</v>
          </cell>
          <cell r="X304">
            <v>296976.61112073442</v>
          </cell>
          <cell r="Y304">
            <v>0.29967194868140778</v>
          </cell>
          <cell r="Z304">
            <v>88995.559767351122</v>
          </cell>
          <cell r="AA304">
            <v>302596.86517078074</v>
          </cell>
          <cell r="AB304">
            <v>0.29947119061374483</v>
          </cell>
          <cell r="AC304">
            <v>90619.043488680531</v>
          </cell>
          <cell r="AD304">
            <v>274539.61488190386</v>
          </cell>
          <cell r="AE304">
            <v>0.30427552085542287</v>
          </cell>
          <cell r="AF304">
            <v>83535.6843136385</v>
          </cell>
          <cell r="AG304">
            <v>420858.69720143266</v>
          </cell>
          <cell r="AH304">
            <v>0.30621904589549809</v>
          </cell>
          <cell r="AI304">
            <v>128874.94871384505</v>
          </cell>
          <cell r="AJ304">
            <v>412564.42142643331</v>
          </cell>
          <cell r="AK304">
            <v>0.30982581434981715</v>
          </cell>
          <cell r="AL304">
            <v>127823.10784020585</v>
          </cell>
          <cell r="AM304">
            <v>288968.35202189081</v>
          </cell>
          <cell r="AN304">
            <v>0.29437871139709088</v>
          </cell>
          <cell r="AO304">
            <v>85066.131102745159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C307">
            <v>579706</v>
          </cell>
          <cell r="D307">
            <v>0.21371522806388063</v>
          </cell>
          <cell r="E307">
            <v>123891.99999999999</v>
          </cell>
          <cell r="F307">
            <v>34274.947156488073</v>
          </cell>
          <cell r="G307">
            <v>0.21371522806388066</v>
          </cell>
          <cell r="H307">
            <v>7325.0781484263061</v>
          </cell>
          <cell r="I307">
            <v>37916.99666333184</v>
          </cell>
          <cell r="J307">
            <v>0.21371522806388066</v>
          </cell>
          <cell r="K307">
            <v>8103.439589401366</v>
          </cell>
          <cell r="L307">
            <v>22394.507763850361</v>
          </cell>
          <cell r="M307">
            <v>0.21371522806388066</v>
          </cell>
          <cell r="N307">
            <v>4786.0473341296256</v>
          </cell>
          <cell r="O307">
            <v>32238.644664240837</v>
          </cell>
          <cell r="P307">
            <v>0.21371522806388069</v>
          </cell>
          <cell r="Q307">
            <v>6889.8892968886403</v>
          </cell>
          <cell r="R307">
            <v>41744.602728640748</v>
          </cell>
          <cell r="S307">
            <v>0.21371522806388066</v>
          </cell>
          <cell r="T307">
            <v>8921.4572925875527</v>
          </cell>
          <cell r="U307">
            <v>13842.840571556844</v>
          </cell>
          <cell r="V307">
            <v>0.21371522806388066</v>
          </cell>
          <cell r="W307">
            <v>2958.425829802211</v>
          </cell>
          <cell r="X307">
            <v>18456.85300369417</v>
          </cell>
          <cell r="Y307">
            <v>0.21371522806388066</v>
          </cell>
          <cell r="Z307">
            <v>3944.5105490260203</v>
          </cell>
          <cell r="AA307">
            <v>16575.58261440698</v>
          </cell>
          <cell r="AB307">
            <v>0.21371522806388066</v>
          </cell>
          <cell r="AC307">
            <v>3542.4544187296829</v>
          </cell>
          <cell r="AD307">
            <v>16432.599638619995</v>
          </cell>
          <cell r="AE307">
            <v>0.21371522806388066</v>
          </cell>
          <cell r="AF307">
            <v>3511.896779450115</v>
          </cell>
          <cell r="AG307">
            <v>92781.492333145798</v>
          </cell>
          <cell r="AH307">
            <v>0.21371522806388063</v>
          </cell>
          <cell r="AI307">
            <v>19828.817794085448</v>
          </cell>
          <cell r="AJ307">
            <v>193290.49155994781</v>
          </cell>
          <cell r="AK307">
            <v>0.21371522806388066</v>
          </cell>
          <cell r="AL307">
            <v>41309.121486313845</v>
          </cell>
          <cell r="AM307">
            <v>59756.44130207655</v>
          </cell>
          <cell r="AN307">
            <v>0.21371522806388066</v>
          </cell>
          <cell r="AO307">
            <v>12770.861481159187</v>
          </cell>
        </row>
        <row r="308">
          <cell r="A308" t="str">
            <v>PiècesHuiles et Graisse</v>
          </cell>
          <cell r="C308">
            <v>160533.00000000003</v>
          </cell>
          <cell r="D308">
            <v>0.3677437037867603</v>
          </cell>
          <cell r="E308">
            <v>59035</v>
          </cell>
          <cell r="F308">
            <v>12437.21605686908</v>
          </cell>
          <cell r="G308">
            <v>0.36774370378676036</v>
          </cell>
          <cell r="H308">
            <v>4573.7078975492022</v>
          </cell>
          <cell r="I308">
            <v>5755.9713493197569</v>
          </cell>
          <cell r="J308">
            <v>0.3677437037867603</v>
          </cell>
          <cell r="K308">
            <v>2116.7222228893238</v>
          </cell>
          <cell r="L308">
            <v>9648.5449633160824</v>
          </cell>
          <cell r="M308">
            <v>0.36774370378676036</v>
          </cell>
          <cell r="N308">
            <v>3548.1916609629479</v>
          </cell>
          <cell r="O308">
            <v>11556.278713721345</v>
          </cell>
          <cell r="P308">
            <v>0.36774370378676041</v>
          </cell>
          <cell r="Q308">
            <v>4249.7487361759868</v>
          </cell>
          <cell r="R308">
            <v>16832.907059402733</v>
          </cell>
          <cell r="S308">
            <v>0.36774370378676036</v>
          </cell>
          <cell r="T308">
            <v>6190.195587523066</v>
          </cell>
          <cell r="U308">
            <v>13065.630879333325</v>
          </cell>
          <cell r="V308">
            <v>0.36774370378676036</v>
          </cell>
          <cell r="W308">
            <v>4804.8034918767034</v>
          </cell>
          <cell r="X308">
            <v>33701.154420682287</v>
          </cell>
          <cell r="Y308">
            <v>0.36774370378676036</v>
          </cell>
          <cell r="Z308">
            <v>12393.387348551256</v>
          </cell>
          <cell r="AA308">
            <v>18900.635994668522</v>
          </cell>
          <cell r="AB308">
            <v>0.36774370378676036</v>
          </cell>
          <cell r="AC308">
            <v>6950.5898846047621</v>
          </cell>
          <cell r="AD308">
            <v>7425.3186997922639</v>
          </cell>
          <cell r="AE308">
            <v>0.3677437037867603</v>
          </cell>
          <cell r="AF308">
            <v>2730.6142004586986</v>
          </cell>
          <cell r="AG308">
            <v>10713.894427166511</v>
          </cell>
          <cell r="AH308">
            <v>0.36774370378676036</v>
          </cell>
          <cell r="AI308">
            <v>3939.9672186265443</v>
          </cell>
          <cell r="AJ308">
            <v>13235.264328342078</v>
          </cell>
          <cell r="AK308">
            <v>0.3677437037867603</v>
          </cell>
          <cell r="AL308">
            <v>4867.1851247013046</v>
          </cell>
          <cell r="AM308">
            <v>7260.1831073860158</v>
          </cell>
          <cell r="AN308">
            <v>0.36774370378676036</v>
          </cell>
          <cell r="AO308">
            <v>2669.8866260802042</v>
          </cell>
        </row>
        <row r="309">
          <cell r="A309" t="str">
            <v>PiècesSous-total Pièces et Acc.</v>
          </cell>
          <cell r="C309">
            <v>4796273.2242052443</v>
          </cell>
          <cell r="D309">
            <v>0.29393527639802303</v>
          </cell>
          <cell r="E309">
            <v>1409793.8958372055</v>
          </cell>
          <cell r="F309">
            <v>370521.55130137264</v>
          </cell>
          <cell r="G309">
            <v>0.28784672981222492</v>
          </cell>
          <cell r="H309">
            <v>106653.41686705264</v>
          </cell>
          <cell r="I309">
            <v>351596.46351095435</v>
          </cell>
          <cell r="J309">
            <v>0.28332242325372825</v>
          </cell>
          <cell r="K309">
            <v>99615.162049364619</v>
          </cell>
          <cell r="L309">
            <v>400770.96011715301</v>
          </cell>
          <cell r="M309">
            <v>0.2950128761264072</v>
          </cell>
          <cell r="N309">
            <v>118232.59361210294</v>
          </cell>
          <cell r="O309">
            <v>403048.846223303</v>
          </cell>
          <cell r="P309">
            <v>0.30590224126500676</v>
          </cell>
          <cell r="Q309">
            <v>123293.54539898345</v>
          </cell>
          <cell r="R309">
            <v>420129.46533032594</v>
          </cell>
          <cell r="S309">
            <v>0.30449989237745878</v>
          </cell>
          <cell r="T309">
            <v>127929.37697768354</v>
          </cell>
          <cell r="U309">
            <v>365171.46446903021</v>
          </cell>
          <cell r="V309">
            <v>0.30313440004059578</v>
          </cell>
          <cell r="W309">
            <v>110696.03279376522</v>
          </cell>
          <cell r="X309">
            <v>349134.61854511086</v>
          </cell>
          <cell r="Y309">
            <v>0.30169869176498898</v>
          </cell>
          <cell r="Z309">
            <v>105333.4576649284</v>
          </cell>
          <cell r="AA309">
            <v>338073.08377985627</v>
          </cell>
          <cell r="AB309">
            <v>0.29908351963877827</v>
          </cell>
          <cell r="AC309">
            <v>101112.08779201498</v>
          </cell>
          <cell r="AD309">
            <v>298397.53322031611</v>
          </cell>
          <cell r="AE309">
            <v>0.30086775290887308</v>
          </cell>
          <cell r="AF309">
            <v>89778.195293547309</v>
          </cell>
          <cell r="AG309">
            <v>524354.08396174503</v>
          </cell>
          <cell r="AH309">
            <v>0.291108124062391</v>
          </cell>
          <cell r="AI309">
            <v>152643.73372655705</v>
          </cell>
          <cell r="AJ309">
            <v>619090.17731472314</v>
          </cell>
          <cell r="AK309">
            <v>0.28105665511595734</v>
          </cell>
          <cell r="AL309">
            <v>173999.414451221</v>
          </cell>
          <cell r="AM309">
            <v>355984.97643135337</v>
          </cell>
          <cell r="AN309">
            <v>0.28233460922294251</v>
          </cell>
          <cell r="AO309">
            <v>100506.87920998455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C314">
            <v>4796273.2242052443</v>
          </cell>
          <cell r="D314">
            <v>0.29393527639802303</v>
          </cell>
          <cell r="E314">
            <v>1409793.8958372055</v>
          </cell>
          <cell r="F314">
            <v>370521.55130137264</v>
          </cell>
          <cell r="G314">
            <v>0.28784672981222492</v>
          </cell>
          <cell r="H314">
            <v>106653.41686705264</v>
          </cell>
          <cell r="I314">
            <v>351596.46351095435</v>
          </cell>
          <cell r="J314">
            <v>0.28332242325372825</v>
          </cell>
          <cell r="K314">
            <v>99615.162049364619</v>
          </cell>
          <cell r="L314">
            <v>400770.96011715301</v>
          </cell>
          <cell r="M314">
            <v>0.2950128761264072</v>
          </cell>
          <cell r="N314">
            <v>118232.59361210294</v>
          </cell>
          <cell r="O314">
            <v>403048.846223303</v>
          </cell>
          <cell r="P314">
            <v>0.30590224126500676</v>
          </cell>
          <cell r="Q314">
            <v>123293.54539898345</v>
          </cell>
          <cell r="R314">
            <v>420129.46533032594</v>
          </cell>
          <cell r="S314">
            <v>0.30449989237745878</v>
          </cell>
          <cell r="T314">
            <v>127929.37697768354</v>
          </cell>
          <cell r="U314">
            <v>365171.46446903021</v>
          </cell>
          <cell r="V314">
            <v>0.30313440004059578</v>
          </cell>
          <cell r="W314">
            <v>110696.03279376522</v>
          </cell>
          <cell r="X314">
            <v>349134.61854511086</v>
          </cell>
          <cell r="Y314">
            <v>0.30169869176498898</v>
          </cell>
          <cell r="Z314">
            <v>105333.4576649284</v>
          </cell>
          <cell r="AA314">
            <v>338073.08377985627</v>
          </cell>
          <cell r="AB314">
            <v>0.29908351963877827</v>
          </cell>
          <cell r="AC314">
            <v>101112.08779201498</v>
          </cell>
          <cell r="AD314">
            <v>298397.53322031611</v>
          </cell>
          <cell r="AE314">
            <v>0.30086775290887308</v>
          </cell>
          <cell r="AF314">
            <v>89778.195293547309</v>
          </cell>
          <cell r="AG314">
            <v>524354.08396174503</v>
          </cell>
          <cell r="AH314">
            <v>0.291108124062391</v>
          </cell>
          <cell r="AI314">
            <v>152643.73372655705</v>
          </cell>
          <cell r="AJ314">
            <v>619090.17731472314</v>
          </cell>
          <cell r="AK314">
            <v>0.28105665511595734</v>
          </cell>
          <cell r="AL314">
            <v>173999.414451221</v>
          </cell>
          <cell r="AM314">
            <v>355984.97643135337</v>
          </cell>
          <cell r="AN314">
            <v>0.28233460922294251</v>
          </cell>
          <cell r="AO314">
            <v>100506.87920998455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</row>
        <row r="318">
          <cell r="A318" t="str">
            <v>PiècesSalaires cadres</v>
          </cell>
          <cell r="E318">
            <v>66360.800000000003</v>
          </cell>
          <cell r="H318">
            <v>5385.3517241379313</v>
          </cell>
          <cell r="K318">
            <v>5192.3984674329504</v>
          </cell>
          <cell r="N318">
            <v>5771.2582375478923</v>
          </cell>
          <cell r="Q318">
            <v>5385.3517241379313</v>
          </cell>
          <cell r="T318">
            <v>5578.3049808429123</v>
          </cell>
          <cell r="W318">
            <v>5578.3049808429123</v>
          </cell>
          <cell r="Z318">
            <v>5578.3049808429123</v>
          </cell>
          <cell r="AC318">
            <v>5578.3049808429123</v>
          </cell>
          <cell r="AF318">
            <v>5578.3049808429123</v>
          </cell>
          <cell r="AI318">
            <v>5385.3517241379313</v>
          </cell>
          <cell r="AL318">
            <v>5578.3049808429123</v>
          </cell>
          <cell r="AO318">
            <v>5771.2582375478923</v>
          </cell>
        </row>
        <row r="319">
          <cell r="A319" t="str">
            <v>PiècesSalaires commis</v>
          </cell>
          <cell r="E319">
            <v>149812.02271999998</v>
          </cell>
          <cell r="H319">
            <v>12071.082287816093</v>
          </cell>
          <cell r="K319">
            <v>11520.078369348659</v>
          </cell>
          <cell r="N319">
            <v>13173.090124750957</v>
          </cell>
          <cell r="Q319">
            <v>12071.082287816093</v>
          </cell>
          <cell r="T319">
            <v>12622.086206283524</v>
          </cell>
          <cell r="W319">
            <v>12622.086206283524</v>
          </cell>
          <cell r="Z319">
            <v>12622.086206283524</v>
          </cell>
          <cell r="AC319">
            <v>12622.086206283524</v>
          </cell>
          <cell r="AF319">
            <v>12622.086206283524</v>
          </cell>
          <cell r="AI319">
            <v>12071.082287816093</v>
          </cell>
          <cell r="AL319">
            <v>12622.086206283524</v>
          </cell>
          <cell r="AO319">
            <v>13173.090124750957</v>
          </cell>
        </row>
        <row r="320">
          <cell r="A320" t="str">
            <v>PiècesSalaires autres</v>
          </cell>
          <cell r="E320">
            <v>1732.0000000000002</v>
          </cell>
          <cell r="H320">
            <v>139.35632183908046</v>
          </cell>
          <cell r="K320">
            <v>132.72030651340995</v>
          </cell>
          <cell r="N320">
            <v>152.62835249042146</v>
          </cell>
          <cell r="Q320">
            <v>139.35632183908046</v>
          </cell>
          <cell r="T320">
            <v>145.99233716475095</v>
          </cell>
          <cell r="W320">
            <v>145.99233716475095</v>
          </cell>
          <cell r="Z320">
            <v>145.99233716475095</v>
          </cell>
          <cell r="AC320">
            <v>145.99233716475095</v>
          </cell>
          <cell r="AF320">
            <v>145.99233716475095</v>
          </cell>
          <cell r="AI320">
            <v>139.35632183908046</v>
          </cell>
          <cell r="AL320">
            <v>145.99233716475095</v>
          </cell>
          <cell r="AO320">
            <v>152.62835249042146</v>
          </cell>
        </row>
        <row r="321">
          <cell r="A321" t="str">
            <v>PiècesSalaires spécialistes</v>
          </cell>
          <cell r="E321">
            <v>0</v>
          </cell>
        </row>
        <row r="322">
          <cell r="A322" t="str">
            <v>Pièces[...]</v>
          </cell>
          <cell r="E322">
            <v>0</v>
          </cell>
        </row>
        <row r="323">
          <cell r="A323" t="str">
            <v>Pièces[...]</v>
          </cell>
          <cell r="E323">
            <v>0</v>
          </cell>
        </row>
        <row r="324">
          <cell r="A324" t="str">
            <v>Pièces[...]</v>
          </cell>
          <cell r="E324">
            <v>0</v>
          </cell>
        </row>
        <row r="325">
          <cell r="A325" t="str">
            <v>PiècesSalaires en absences</v>
          </cell>
          <cell r="E325">
            <v>22927.390776365231</v>
          </cell>
          <cell r="H325">
            <v>1852.3142028033267</v>
          </cell>
          <cell r="K325">
            <v>1774.57860916718</v>
          </cell>
          <cell r="N325">
            <v>2007.7853900756188</v>
          </cell>
          <cell r="Q325">
            <v>1852.3142028033267</v>
          </cell>
          <cell r="T325">
            <v>1930.0497964394724</v>
          </cell>
          <cell r="W325">
            <v>1930.0497964394724</v>
          </cell>
          <cell r="Z325">
            <v>1930.0497964394724</v>
          </cell>
          <cell r="AC325">
            <v>1930.0497964394724</v>
          </cell>
          <cell r="AF325">
            <v>1930.0497964394724</v>
          </cell>
          <cell r="AI325">
            <v>1852.3142028033267</v>
          </cell>
          <cell r="AL325">
            <v>1930.0497964394724</v>
          </cell>
          <cell r="AO325">
            <v>2007.7853900756188</v>
          </cell>
        </row>
        <row r="326">
          <cell r="A326" t="str">
            <v>PiècesDéduction à la source</v>
          </cell>
          <cell r="E326">
            <v>17254.634295615073</v>
          </cell>
          <cell r="H326">
            <v>1394.0096577798231</v>
          </cell>
          <cell r="K326">
            <v>1335.5076130845787</v>
          </cell>
          <cell r="N326">
            <v>1511.013747170311</v>
          </cell>
          <cell r="Q326">
            <v>1394.0096577798231</v>
          </cell>
          <cell r="T326">
            <v>1452.5117024750668</v>
          </cell>
          <cell r="W326">
            <v>1452.5117024750668</v>
          </cell>
          <cell r="Z326">
            <v>1452.5117024750668</v>
          </cell>
          <cell r="AC326">
            <v>1452.5117024750668</v>
          </cell>
          <cell r="AF326">
            <v>1452.5117024750668</v>
          </cell>
          <cell r="AI326">
            <v>1394.0096577798231</v>
          </cell>
          <cell r="AL326">
            <v>1452.5117024750668</v>
          </cell>
          <cell r="AO326">
            <v>1511.013747170311</v>
          </cell>
        </row>
        <row r="327">
          <cell r="A327" t="str">
            <v>PiècesBénéfices marginaux</v>
          </cell>
          <cell r="E327">
            <v>26236.498723469496</v>
          </cell>
          <cell r="H327">
            <v>2119.6585207337034</v>
          </cell>
          <cell r="K327">
            <v>2030.7033568820309</v>
          </cell>
          <cell r="N327">
            <v>2297.5688484370485</v>
          </cell>
          <cell r="Q327">
            <v>2119.6585207337034</v>
          </cell>
          <cell r="T327">
            <v>2208.6136845853757</v>
          </cell>
          <cell r="W327">
            <v>2208.6136845853757</v>
          </cell>
          <cell r="Z327">
            <v>2208.6136845853757</v>
          </cell>
          <cell r="AC327">
            <v>2208.6136845853757</v>
          </cell>
          <cell r="AF327">
            <v>2208.6136845853757</v>
          </cell>
          <cell r="AI327">
            <v>2119.6585207337034</v>
          </cell>
          <cell r="AL327">
            <v>2208.6136845853757</v>
          </cell>
          <cell r="AO327">
            <v>2297.5688484370485</v>
          </cell>
        </row>
        <row r="328">
          <cell r="A328" t="str">
            <v>PiècesCsst</v>
          </cell>
          <cell r="E328">
            <v>4727.2970672918</v>
          </cell>
          <cell r="H328">
            <v>381.92045418625293</v>
          </cell>
          <cell r="K328">
            <v>365.89249673550103</v>
          </cell>
          <cell r="N328">
            <v>413.9763690877565</v>
          </cell>
          <cell r="Q328">
            <v>381.92045418625293</v>
          </cell>
          <cell r="T328">
            <v>397.9484116370046</v>
          </cell>
          <cell r="W328">
            <v>397.9484116370046</v>
          </cell>
          <cell r="Z328">
            <v>397.9484116370046</v>
          </cell>
          <cell r="AC328">
            <v>397.9484116370046</v>
          </cell>
          <cell r="AF328">
            <v>397.9484116370046</v>
          </cell>
          <cell r="AI328">
            <v>381.92045418625293</v>
          </cell>
          <cell r="AL328">
            <v>397.9484116370046</v>
          </cell>
          <cell r="AO328">
            <v>413.9763690877565</v>
          </cell>
        </row>
        <row r="329">
          <cell r="A329" t="str">
            <v>Pièces[...]</v>
          </cell>
          <cell r="E329">
            <v>0</v>
          </cell>
        </row>
        <row r="330">
          <cell r="A330" t="str">
            <v>PiècesTOTAL PERSONNEL</v>
          </cell>
          <cell r="C330" t="str">
            <v>% brut</v>
          </cell>
          <cell r="D330">
            <v>0.20503042638802818</v>
          </cell>
          <cell r="E330">
            <v>289050.64358274161</v>
          </cell>
          <cell r="F330" t="str">
            <v>% brut</v>
          </cell>
          <cell r="G330">
            <v>0.21887431134433297</v>
          </cell>
          <cell r="H330">
            <v>23343.693169296213</v>
          </cell>
          <cell r="I330" t="str">
            <v>% brut</v>
          </cell>
          <cell r="J330">
            <v>0.22438230043823812</v>
          </cell>
          <cell r="K330">
            <v>22351.879219164308</v>
          </cell>
          <cell r="L330" t="str">
            <v>% brut</v>
          </cell>
          <cell r="M330">
            <v>0.21421606594078266</v>
          </cell>
          <cell r="N330">
            <v>25327.321069560003</v>
          </cell>
          <cell r="O330" t="str">
            <v>% brut</v>
          </cell>
          <cell r="P330">
            <v>0.18933426801666683</v>
          </cell>
          <cell r="Q330">
            <v>23343.693169296213</v>
          </cell>
          <cell r="R330" t="str">
            <v>% brut</v>
          </cell>
          <cell r="S330">
            <v>0.19022610517108415</v>
          </cell>
          <cell r="T330">
            <v>24335.507119428101</v>
          </cell>
          <cell r="U330" t="str">
            <v>% brut</v>
          </cell>
          <cell r="V330">
            <v>0.21984082451054887</v>
          </cell>
          <cell r="W330">
            <v>24335.507119428101</v>
          </cell>
          <cell r="X330" t="str">
            <v>% brut</v>
          </cell>
          <cell r="Y330">
            <v>0.23103302273472029</v>
          </cell>
          <cell r="Z330">
            <v>24335.507119428101</v>
          </cell>
          <cell r="AA330" t="str">
            <v>% brut</v>
          </cell>
          <cell r="AB330">
            <v>0.2406785148130422</v>
          </cell>
          <cell r="AC330">
            <v>24335.507119428101</v>
          </cell>
          <cell r="AD330" t="str">
            <v>% brut</v>
          </cell>
          <cell r="AE330">
            <v>0.27106255633518156</v>
          </cell>
          <cell r="AF330">
            <v>24335.507119428101</v>
          </cell>
          <cell r="AG330" t="str">
            <v>% brut</v>
          </cell>
          <cell r="AH330">
            <v>0.15292925952082409</v>
          </cell>
          <cell r="AI330">
            <v>23343.693169296213</v>
          </cell>
          <cell r="AJ330" t="str">
            <v>% brut</v>
          </cell>
          <cell r="AK330">
            <v>0.1398597069776365</v>
          </cell>
          <cell r="AL330">
            <v>24335.507119428101</v>
          </cell>
          <cell r="AM330" t="str">
            <v>% brut</v>
          </cell>
          <cell r="AN330">
            <v>0.25199589588932275</v>
          </cell>
          <cell r="AO330">
            <v>25327.321069560003</v>
          </cell>
        </row>
        <row r="331">
          <cell r="A331" t="str">
            <v>PiècesPublicité 2</v>
          </cell>
          <cell r="E331">
            <v>28393.399999999991</v>
          </cell>
          <cell r="H331">
            <v>2366.1166666666663</v>
          </cell>
          <cell r="K331">
            <v>2366.1166666666663</v>
          </cell>
          <cell r="N331">
            <v>2366.1166666666663</v>
          </cell>
          <cell r="Q331">
            <v>2366.1166666666663</v>
          </cell>
          <cell r="T331">
            <v>2366.1166666666663</v>
          </cell>
          <cell r="W331">
            <v>2366.1166666666663</v>
          </cell>
          <cell r="Z331">
            <v>2366.1166666666663</v>
          </cell>
          <cell r="AC331">
            <v>2366.1166666666663</v>
          </cell>
          <cell r="AF331">
            <v>2366.1166666666663</v>
          </cell>
          <cell r="AI331">
            <v>2366.1166666666663</v>
          </cell>
          <cell r="AL331">
            <v>2366.1166666666663</v>
          </cell>
          <cell r="AO331">
            <v>2366.1166666666663</v>
          </cell>
        </row>
        <row r="332">
          <cell r="A332" t="str">
            <v>PiècesService gratuit 2</v>
          </cell>
          <cell r="E332">
            <v>8000.0000000000009</v>
          </cell>
          <cell r="H332">
            <v>666.66666666666663</v>
          </cell>
          <cell r="K332">
            <v>666.66666666666663</v>
          </cell>
          <cell r="N332">
            <v>666.66666666666663</v>
          </cell>
          <cell r="Q332">
            <v>666.66666666666663</v>
          </cell>
          <cell r="T332">
            <v>666.66666666666663</v>
          </cell>
          <cell r="W332">
            <v>666.66666666666663</v>
          </cell>
          <cell r="Z332">
            <v>666.66666666666663</v>
          </cell>
          <cell r="AC332">
            <v>666.66666666666663</v>
          </cell>
          <cell r="AF332">
            <v>666.66666666666663</v>
          </cell>
          <cell r="AI332">
            <v>666.66666666666663</v>
          </cell>
          <cell r="AL332">
            <v>666.66666666666663</v>
          </cell>
          <cell r="AO332">
            <v>666.66666666666663</v>
          </cell>
        </row>
        <row r="333">
          <cell r="A333" t="str">
            <v>PiècesFrais véhicules de cie</v>
          </cell>
          <cell r="E333">
            <v>6901.44</v>
          </cell>
          <cell r="H333">
            <v>575.12</v>
          </cell>
          <cell r="K333">
            <v>575.12</v>
          </cell>
          <cell r="N333">
            <v>575.12</v>
          </cell>
          <cell r="Q333">
            <v>575.12</v>
          </cell>
          <cell r="T333">
            <v>575.12</v>
          </cell>
          <cell r="W333">
            <v>575.12</v>
          </cell>
          <cell r="Z333">
            <v>575.12</v>
          </cell>
          <cell r="AC333">
            <v>575.12</v>
          </cell>
          <cell r="AF333">
            <v>575.12</v>
          </cell>
          <cell r="AI333">
            <v>575.12</v>
          </cell>
          <cell r="AL333">
            <v>575.12</v>
          </cell>
          <cell r="AO333">
            <v>575.12</v>
          </cell>
        </row>
        <row r="334">
          <cell r="A334" t="str">
            <v>PiècesInformatique</v>
          </cell>
          <cell r="E334">
            <v>25710.599999999995</v>
          </cell>
          <cell r="H334">
            <v>2142.5500000000002</v>
          </cell>
          <cell r="K334">
            <v>2142.5500000000002</v>
          </cell>
          <cell r="N334">
            <v>2142.5500000000002</v>
          </cell>
          <cell r="Q334">
            <v>2142.5500000000002</v>
          </cell>
          <cell r="T334">
            <v>2142.5500000000002</v>
          </cell>
          <cell r="W334">
            <v>2142.5500000000002</v>
          </cell>
          <cell r="Z334">
            <v>2142.5500000000002</v>
          </cell>
          <cell r="AC334">
            <v>2142.5500000000002</v>
          </cell>
          <cell r="AF334">
            <v>2142.5500000000002</v>
          </cell>
          <cell r="AI334">
            <v>2142.5500000000002</v>
          </cell>
          <cell r="AL334">
            <v>2142.5500000000002</v>
          </cell>
          <cell r="AO334">
            <v>2142.5500000000002</v>
          </cell>
        </row>
        <row r="335">
          <cell r="A335" t="str">
            <v>PiècesFrais de déplacement</v>
          </cell>
          <cell r="E335">
            <v>16200</v>
          </cell>
          <cell r="H335">
            <v>1350</v>
          </cell>
          <cell r="K335">
            <v>1350</v>
          </cell>
          <cell r="N335">
            <v>1350</v>
          </cell>
          <cell r="Q335">
            <v>1350</v>
          </cell>
          <cell r="T335">
            <v>1350</v>
          </cell>
          <cell r="W335">
            <v>1350</v>
          </cell>
          <cell r="Z335">
            <v>1350</v>
          </cell>
          <cell r="AC335">
            <v>1350</v>
          </cell>
          <cell r="AF335">
            <v>1350</v>
          </cell>
          <cell r="AI335">
            <v>1350</v>
          </cell>
          <cell r="AL335">
            <v>1350</v>
          </cell>
          <cell r="AO335">
            <v>1350</v>
          </cell>
        </row>
        <row r="336">
          <cell r="A336" t="str">
            <v>PiècesServices extérieurs</v>
          </cell>
          <cell r="E336">
            <v>117245.80000000002</v>
          </cell>
          <cell r="H336">
            <v>6429.4450466779981</v>
          </cell>
          <cell r="K336">
            <v>5239.2354819875382</v>
          </cell>
          <cell r="N336">
            <v>9934.1001020883377</v>
          </cell>
          <cell r="Q336">
            <v>10679.621472304454</v>
          </cell>
          <cell r="T336">
            <v>11559.841437367912</v>
          </cell>
          <cell r="W336">
            <v>11613.012754698257</v>
          </cell>
          <cell r="Z336">
            <v>9215.7257868627948</v>
          </cell>
          <cell r="AC336">
            <v>10159.816567922591</v>
          </cell>
          <cell r="AF336">
            <v>10733.775445678353</v>
          </cell>
          <cell r="AI336">
            <v>11591.282928658113</v>
          </cell>
          <cell r="AL336">
            <v>10378.79867455272</v>
          </cell>
          <cell r="AO336">
            <v>9711.1443012009513</v>
          </cell>
        </row>
        <row r="337">
          <cell r="A337" t="str">
            <v>PiècesFournitures autres</v>
          </cell>
          <cell r="E337">
            <v>1314.816</v>
          </cell>
          <cell r="H337">
            <v>110.88809638554216</v>
          </cell>
          <cell r="K337">
            <v>105.60771084337348</v>
          </cell>
          <cell r="N337">
            <v>116.16848192771083</v>
          </cell>
          <cell r="Q337">
            <v>110.88809638554216</v>
          </cell>
          <cell r="T337">
            <v>105.60771084337348</v>
          </cell>
          <cell r="W337">
            <v>110.88809638554216</v>
          </cell>
          <cell r="Z337">
            <v>116.16848192771083</v>
          </cell>
          <cell r="AC337">
            <v>110.88809638554216</v>
          </cell>
          <cell r="AF337">
            <v>110.88809638554216</v>
          </cell>
          <cell r="AI337">
            <v>110.88809638554216</v>
          </cell>
          <cell r="AL337">
            <v>110.88809638554216</v>
          </cell>
          <cell r="AO337">
            <v>95.046939759036135</v>
          </cell>
        </row>
        <row r="338">
          <cell r="A338" t="str">
            <v>PiècesUniformes</v>
          </cell>
          <cell r="E338">
            <v>1200</v>
          </cell>
          <cell r="H338">
            <v>100</v>
          </cell>
          <cell r="K338">
            <v>100</v>
          </cell>
          <cell r="N338">
            <v>100</v>
          </cell>
          <cell r="Q338">
            <v>100</v>
          </cell>
          <cell r="T338">
            <v>100</v>
          </cell>
          <cell r="W338">
            <v>100</v>
          </cell>
          <cell r="Z338">
            <v>100</v>
          </cell>
          <cell r="AC338">
            <v>100</v>
          </cell>
          <cell r="AF338">
            <v>100</v>
          </cell>
          <cell r="AI338">
            <v>100</v>
          </cell>
          <cell r="AL338">
            <v>100</v>
          </cell>
          <cell r="AO338">
            <v>100</v>
          </cell>
        </row>
        <row r="339">
          <cell r="A339" t="str">
            <v>PiècesPapeterie</v>
          </cell>
          <cell r="E339">
            <v>2400</v>
          </cell>
          <cell r="H339">
            <v>200</v>
          </cell>
          <cell r="K339">
            <v>200</v>
          </cell>
          <cell r="N339">
            <v>200</v>
          </cell>
          <cell r="Q339">
            <v>200</v>
          </cell>
          <cell r="T339">
            <v>200</v>
          </cell>
          <cell r="W339">
            <v>200</v>
          </cell>
          <cell r="Z339">
            <v>200</v>
          </cell>
          <cell r="AC339">
            <v>200</v>
          </cell>
          <cell r="AF339">
            <v>200</v>
          </cell>
          <cell r="AI339">
            <v>200</v>
          </cell>
          <cell r="AL339">
            <v>200</v>
          </cell>
          <cell r="AO339">
            <v>200</v>
          </cell>
        </row>
        <row r="340">
          <cell r="A340" t="str">
            <v>PiècesTéléphone</v>
          </cell>
          <cell r="E340">
            <v>3892.8000000000006</v>
          </cell>
          <cell r="H340">
            <v>324.39999999999998</v>
          </cell>
          <cell r="K340">
            <v>324.39999999999998</v>
          </cell>
          <cell r="N340">
            <v>324.39999999999998</v>
          </cell>
          <cell r="Q340">
            <v>324.39999999999998</v>
          </cell>
          <cell r="T340">
            <v>324.39999999999998</v>
          </cell>
          <cell r="W340">
            <v>324.39999999999998</v>
          </cell>
          <cell r="Z340">
            <v>324.39999999999998</v>
          </cell>
          <cell r="AC340">
            <v>324.39999999999998</v>
          </cell>
          <cell r="AF340">
            <v>324.39999999999998</v>
          </cell>
          <cell r="AI340">
            <v>324.39999999999998</v>
          </cell>
          <cell r="AL340">
            <v>324.39999999999998</v>
          </cell>
          <cell r="AO340">
            <v>324.39999999999998</v>
          </cell>
        </row>
        <row r="341">
          <cell r="A341" t="str">
            <v>PiècesFrais postaux</v>
          </cell>
          <cell r="E341">
            <v>5200</v>
          </cell>
          <cell r="H341">
            <v>433.33333333333331</v>
          </cell>
          <cell r="K341">
            <v>433.33333333333331</v>
          </cell>
          <cell r="N341">
            <v>433.33333333333331</v>
          </cell>
          <cell r="Q341">
            <v>433.33333333333331</v>
          </cell>
          <cell r="T341">
            <v>433.33333333333331</v>
          </cell>
          <cell r="W341">
            <v>433.33333333333331</v>
          </cell>
          <cell r="Z341">
            <v>433.33333333333331</v>
          </cell>
          <cell r="AC341">
            <v>433.33333333333331</v>
          </cell>
          <cell r="AF341">
            <v>433.33333333333331</v>
          </cell>
          <cell r="AI341">
            <v>433.33333333333331</v>
          </cell>
          <cell r="AL341">
            <v>433.33333333333331</v>
          </cell>
          <cell r="AO341">
            <v>433.33333333333331</v>
          </cell>
        </row>
        <row r="342">
          <cell r="A342" t="str">
            <v>PiècesDivers</v>
          </cell>
          <cell r="E342">
            <v>8668.2000000000025</v>
          </cell>
          <cell r="H342">
            <v>722.35</v>
          </cell>
          <cell r="K342">
            <v>722.35</v>
          </cell>
          <cell r="N342">
            <v>722.35</v>
          </cell>
          <cell r="Q342">
            <v>722.35</v>
          </cell>
          <cell r="T342">
            <v>722.35</v>
          </cell>
          <cell r="W342">
            <v>722.35</v>
          </cell>
          <cell r="Z342">
            <v>722.35</v>
          </cell>
          <cell r="AC342">
            <v>722.35</v>
          </cell>
          <cell r="AF342">
            <v>722.35</v>
          </cell>
          <cell r="AI342">
            <v>722.35</v>
          </cell>
          <cell r="AL342">
            <v>722.35</v>
          </cell>
          <cell r="AO342">
            <v>722.35</v>
          </cell>
        </row>
        <row r="343">
          <cell r="A343" t="str">
            <v>PiècesFormation</v>
          </cell>
          <cell r="E343">
            <v>5000</v>
          </cell>
          <cell r="H343">
            <v>416.66666666666669</v>
          </cell>
          <cell r="K343">
            <v>416.66666666666669</v>
          </cell>
          <cell r="N343">
            <v>416.66666666666669</v>
          </cell>
          <cell r="Q343">
            <v>416.66666666666669</v>
          </cell>
          <cell r="T343">
            <v>416.66666666666669</v>
          </cell>
          <cell r="W343">
            <v>416.66666666666669</v>
          </cell>
          <cell r="Z343">
            <v>416.66666666666669</v>
          </cell>
          <cell r="AC343">
            <v>416.66666666666669</v>
          </cell>
          <cell r="AF343">
            <v>416.66666666666669</v>
          </cell>
          <cell r="AI343">
            <v>416.66666666666669</v>
          </cell>
          <cell r="AL343">
            <v>416.66666666666669</v>
          </cell>
          <cell r="AO343">
            <v>416.66666666666669</v>
          </cell>
        </row>
        <row r="344">
          <cell r="A344" t="str">
            <v>PiècesFrais bancaires</v>
          </cell>
          <cell r="E344">
            <v>23845.21254229877</v>
          </cell>
          <cell r="H344">
            <v>1261.027127314705</v>
          </cell>
          <cell r="K344">
            <v>1462.4674279658684</v>
          </cell>
          <cell r="N344">
            <v>2288.4084255380108</v>
          </cell>
          <cell r="Q344">
            <v>2194.3482646525763</v>
          </cell>
          <cell r="T344">
            <v>2304.3090233334606</v>
          </cell>
          <cell r="W344">
            <v>2284.4542770429593</v>
          </cell>
          <cell r="Z344">
            <v>1901.8586210970254</v>
          </cell>
          <cell r="AC344">
            <v>2010.8569424538236</v>
          </cell>
          <cell r="AF344">
            <v>2068.3643629112535</v>
          </cell>
          <cell r="AI344">
            <v>2267.6366223941545</v>
          </cell>
          <cell r="AL344">
            <v>2077.008422020474</v>
          </cell>
          <cell r="AO344">
            <v>1724.473025574458</v>
          </cell>
        </row>
        <row r="345">
          <cell r="A345" t="str">
            <v>Pièces[...]</v>
          </cell>
          <cell r="E345">
            <v>0</v>
          </cell>
        </row>
        <row r="346">
          <cell r="A346" t="str">
            <v>Pièces[...]</v>
          </cell>
          <cell r="E346">
            <v>0</v>
          </cell>
        </row>
        <row r="347">
          <cell r="A347" t="str">
            <v>Pièces[...]</v>
          </cell>
          <cell r="E347">
            <v>0</v>
          </cell>
        </row>
        <row r="348">
          <cell r="A348" t="str">
            <v>PiècesTOTAL SEMI-FIXES</v>
          </cell>
          <cell r="C348" t="str">
            <v>% brut</v>
          </cell>
          <cell r="D348">
            <v>0.18014850914890465</v>
          </cell>
          <cell r="E348">
            <v>253972.26854229876</v>
          </cell>
          <cell r="F348" t="str">
            <v>% brut</v>
          </cell>
          <cell r="G348">
            <v>0.16031894810295258</v>
          </cell>
          <cell r="H348">
            <v>17098.56360371158</v>
          </cell>
          <cell r="I348" t="str">
            <v>% brut</v>
          </cell>
          <cell r="J348">
            <v>0.16166729665258656</v>
          </cell>
          <cell r="K348">
            <v>16104.513954130112</v>
          </cell>
          <cell r="L348" t="str">
            <v>% brut</v>
          </cell>
          <cell r="M348">
            <v>0.18299421235628402</v>
          </cell>
          <cell r="N348">
            <v>21635.880342887394</v>
          </cell>
          <cell r="O348" t="str">
            <v>% brut</v>
          </cell>
          <cell r="P348">
            <v>0.18072366314530217</v>
          </cell>
          <cell r="Q348">
            <v>22282.061166675903</v>
          </cell>
          <cell r="R348" t="str">
            <v>% brut</v>
          </cell>
          <cell r="S348">
            <v>0.18187348406251402</v>
          </cell>
          <cell r="T348">
            <v>23266.961504878076</v>
          </cell>
          <cell r="U348" t="str">
            <v>% brut</v>
          </cell>
          <cell r="V348">
            <v>0.21053652848499135</v>
          </cell>
          <cell r="W348">
            <v>23305.558461460088</v>
          </cell>
          <cell r="X348" t="str">
            <v>% brut</v>
          </cell>
          <cell r="Y348">
            <v>0.19491391129047506</v>
          </cell>
          <cell r="Z348">
            <v>20530.956223220863</v>
          </cell>
          <cell r="AA348" t="str">
            <v>% brut</v>
          </cell>
          <cell r="AB348">
            <v>0.21341429507896487</v>
          </cell>
          <cell r="AC348">
            <v>21578.764940095287</v>
          </cell>
          <cell r="AD348" t="str">
            <v>% brut</v>
          </cell>
          <cell r="AE348">
            <v>0.24739003903662576</v>
          </cell>
          <cell r="AF348">
            <v>22210.231238308479</v>
          </cell>
          <cell r="AG348" t="str">
            <v>% brut</v>
          </cell>
          <cell r="AH348">
            <v>0.15242689898067616</v>
          </cell>
          <cell r="AI348">
            <v>23267.010980771141</v>
          </cell>
          <cell r="AJ348" t="str">
            <v>% brut</v>
          </cell>
          <cell r="AK348">
            <v>0.12565501208868374</v>
          </cell>
          <cell r="AL348">
            <v>21863.898526292069</v>
          </cell>
          <cell r="AM348" t="str">
            <v>% brut</v>
          </cell>
          <cell r="AN348">
            <v>0.20722827893554474</v>
          </cell>
          <cell r="AO348">
            <v>20827.867599867779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C350" t="str">
            <v>% brut</v>
          </cell>
          <cell r="D350">
            <v>0.38517893553693278</v>
          </cell>
          <cell r="E350">
            <v>543022.91212504031</v>
          </cell>
          <cell r="F350" t="str">
            <v>% brut</v>
          </cell>
          <cell r="G350">
            <v>0.37919325944728555</v>
          </cell>
          <cell r="H350">
            <v>40442.256773007794</v>
          </cell>
          <cell r="I350" t="str">
            <v>% brut</v>
          </cell>
          <cell r="J350">
            <v>0.38604959709082465</v>
          </cell>
          <cell r="K350">
            <v>38456.393173294418</v>
          </cell>
          <cell r="L350" t="str">
            <v>% brut</v>
          </cell>
          <cell r="M350">
            <v>0.39721027829706668</v>
          </cell>
          <cell r="N350">
            <v>46963.201412447394</v>
          </cell>
          <cell r="O350" t="str">
            <v>% brut</v>
          </cell>
          <cell r="P350">
            <v>0.370057931161969</v>
          </cell>
          <cell r="Q350">
            <v>45625.754335972117</v>
          </cell>
          <cell r="R350" t="str">
            <v>% brut</v>
          </cell>
          <cell r="S350">
            <v>0.37209958923359815</v>
          </cell>
          <cell r="T350">
            <v>47602.468624306173</v>
          </cell>
          <cell r="U350" t="str">
            <v>% brut</v>
          </cell>
          <cell r="V350">
            <v>0.4303773529955402</v>
          </cell>
          <cell r="W350">
            <v>47641.065580888186</v>
          </cell>
          <cell r="X350" t="str">
            <v>% brut</v>
          </cell>
          <cell r="Y350">
            <v>0.42594693402519529</v>
          </cell>
          <cell r="Z350">
            <v>44866.46334264896</v>
          </cell>
          <cell r="AA350" t="str">
            <v>% brut</v>
          </cell>
          <cell r="AB350">
            <v>0.45409280989200707</v>
          </cell>
          <cell r="AC350">
            <v>45914.272059523384</v>
          </cell>
          <cell r="AD350" t="str">
            <v>% brut</v>
          </cell>
          <cell r="AE350">
            <v>0.51845259537180732</v>
          </cell>
          <cell r="AF350">
            <v>46545.738357736584</v>
          </cell>
          <cell r="AG350" t="str">
            <v>% brut</v>
          </cell>
          <cell r="AH350">
            <v>0.30535615850150022</v>
          </cell>
          <cell r="AI350">
            <v>46610.704150067351</v>
          </cell>
          <cell r="AJ350" t="str">
            <v>% brut</v>
          </cell>
          <cell r="AK350">
            <v>0.26551471906632024</v>
          </cell>
          <cell r="AL350">
            <v>46199.405645720166</v>
          </cell>
          <cell r="AM350" t="str">
            <v>% brut</v>
          </cell>
          <cell r="AN350">
            <v>0.45922417482486744</v>
          </cell>
          <cell r="AO350">
            <v>46155.188669427778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E352">
            <v>866770.98371216515</v>
          </cell>
          <cell r="H352">
            <v>66211.160094044841</v>
          </cell>
          <cell r="K352">
            <v>61158.7688760702</v>
          </cell>
          <cell r="N352">
            <v>71269.392199655544</v>
          </cell>
          <cell r="Q352">
            <v>77667.791063011333</v>
          </cell>
          <cell r="T352">
            <v>80326.908353377366</v>
          </cell>
          <cell r="W352">
            <v>63054.967212877033</v>
          </cell>
          <cell r="Z352">
            <v>60466.994322279439</v>
          </cell>
          <cell r="AC352">
            <v>55197.815732491596</v>
          </cell>
          <cell r="AF352">
            <v>43232.456935810726</v>
          </cell>
          <cell r="AI352">
            <v>106033.0295764897</v>
          </cell>
          <cell r="AL352">
            <v>127800.00880550084</v>
          </cell>
          <cell r="AO352">
            <v>54351.690540556767</v>
          </cell>
        </row>
        <row r="355">
          <cell r="C355" t="str">
            <v>Boutique</v>
          </cell>
        </row>
        <row r="357">
          <cell r="C357" t="str">
            <v>TOTAL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</row>
        <row r="364">
          <cell r="A364" t="str">
            <v>BoutiqueSalaires cadres</v>
          </cell>
          <cell r="E364">
            <v>0</v>
          </cell>
        </row>
        <row r="365">
          <cell r="A365" t="str">
            <v>BoutiqueSalaires commis</v>
          </cell>
          <cell r="E365">
            <v>0</v>
          </cell>
        </row>
        <row r="366">
          <cell r="A366" t="str">
            <v>BoutiqueSalaires autres</v>
          </cell>
          <cell r="E366">
            <v>0</v>
          </cell>
        </row>
        <row r="367">
          <cell r="A367" t="str">
            <v>BoutiqueSalaires spécialistes</v>
          </cell>
          <cell r="E367">
            <v>0</v>
          </cell>
        </row>
        <row r="368">
          <cell r="A368" t="str">
            <v>Boutique[...]</v>
          </cell>
          <cell r="E368">
            <v>0</v>
          </cell>
        </row>
        <row r="369">
          <cell r="A369" t="str">
            <v>Boutique[...]</v>
          </cell>
          <cell r="E369">
            <v>0</v>
          </cell>
        </row>
        <row r="370">
          <cell r="A370" t="str">
            <v>Boutique[...]</v>
          </cell>
          <cell r="E370">
            <v>0</v>
          </cell>
        </row>
        <row r="371">
          <cell r="A371" t="str">
            <v>BoutiqueSalaires en absences</v>
          </cell>
          <cell r="E371">
            <v>0</v>
          </cell>
        </row>
        <row r="372">
          <cell r="A372" t="str">
            <v>BoutiqueDéduction à la source</v>
          </cell>
          <cell r="E372">
            <v>0</v>
          </cell>
        </row>
        <row r="373">
          <cell r="A373" t="str">
            <v>BoutiqueBénéfices marginaux</v>
          </cell>
          <cell r="E373">
            <v>0</v>
          </cell>
        </row>
        <row r="374">
          <cell r="A374" t="str">
            <v>BoutiqueCsst</v>
          </cell>
          <cell r="E374">
            <v>0</v>
          </cell>
        </row>
        <row r="375">
          <cell r="A375" t="str">
            <v>Boutique[...]</v>
          </cell>
          <cell r="E375">
            <v>0</v>
          </cell>
        </row>
        <row r="376">
          <cell r="A376" t="str">
            <v>BoutiqueTOTAL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E377">
            <v>0</v>
          </cell>
        </row>
        <row r="378">
          <cell r="A378" t="str">
            <v>BoutiqueService gratuit 2</v>
          </cell>
          <cell r="E378">
            <v>0</v>
          </cell>
        </row>
        <row r="379">
          <cell r="A379" t="str">
            <v>BoutiqueFrais véhicules de cie</v>
          </cell>
          <cell r="E379">
            <v>0</v>
          </cell>
        </row>
        <row r="380">
          <cell r="A380" t="str">
            <v>BoutiqueInformatique</v>
          </cell>
          <cell r="E380">
            <v>0</v>
          </cell>
        </row>
        <row r="381">
          <cell r="A381" t="str">
            <v>BoutiqueFrais de déplacement</v>
          </cell>
          <cell r="E381">
            <v>0</v>
          </cell>
        </row>
        <row r="382">
          <cell r="A382" t="str">
            <v>BoutiqueServices extérieurs</v>
          </cell>
          <cell r="E382">
            <v>0</v>
          </cell>
        </row>
        <row r="383">
          <cell r="A383" t="str">
            <v>BoutiqueFournitures autres</v>
          </cell>
          <cell r="E383">
            <v>0</v>
          </cell>
        </row>
        <row r="384">
          <cell r="A384" t="str">
            <v>BoutiqueUniformes</v>
          </cell>
          <cell r="E384">
            <v>0</v>
          </cell>
        </row>
        <row r="385">
          <cell r="A385" t="str">
            <v>BoutiquePapeterie</v>
          </cell>
          <cell r="E385">
            <v>0</v>
          </cell>
        </row>
        <row r="386">
          <cell r="A386" t="str">
            <v>BoutiqueTéléphone</v>
          </cell>
          <cell r="E386">
            <v>0</v>
          </cell>
        </row>
        <row r="387">
          <cell r="A387" t="str">
            <v>BoutiqueFrais postaux</v>
          </cell>
          <cell r="E387">
            <v>0</v>
          </cell>
        </row>
        <row r="388">
          <cell r="A388" t="str">
            <v>BoutiqueDivers</v>
          </cell>
          <cell r="E388">
            <v>0</v>
          </cell>
        </row>
        <row r="389">
          <cell r="A389" t="str">
            <v>BoutiqueFormation</v>
          </cell>
          <cell r="E389">
            <v>0</v>
          </cell>
        </row>
        <row r="390">
          <cell r="A390" t="str">
            <v>BoutiqueFrais bancaires</v>
          </cell>
          <cell r="E390">
            <v>0</v>
          </cell>
        </row>
        <row r="391">
          <cell r="A391" t="str">
            <v>Boutique[...]</v>
          </cell>
          <cell r="E391">
            <v>0</v>
          </cell>
        </row>
        <row r="392">
          <cell r="A392" t="str">
            <v>Boutique[...]</v>
          </cell>
          <cell r="E392">
            <v>0</v>
          </cell>
        </row>
        <row r="393">
          <cell r="A393" t="str">
            <v>Boutique[...]</v>
          </cell>
          <cell r="E393">
            <v>0</v>
          </cell>
        </row>
        <row r="394">
          <cell r="A394" t="str">
            <v>BoutiqueTOTAL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C401" t="str">
            <v>TOTAL  DES  REVENUS  ET  DÉPENSES</v>
          </cell>
        </row>
        <row r="403">
          <cell r="C403" t="str">
            <v>TOTAL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E405">
            <v>77874535.485824451</v>
          </cell>
          <cell r="H405">
            <v>4118030.4623053707</v>
          </cell>
          <cell r="K405">
            <v>4758676.2204655204</v>
          </cell>
          <cell r="N405">
            <v>7463688.5832286272</v>
          </cell>
          <cell r="Q405">
            <v>7165938.0732079912</v>
          </cell>
          <cell r="T405">
            <v>7528203.2188505242</v>
          </cell>
          <cell r="W405">
            <v>7464632.8842583997</v>
          </cell>
          <cell r="Z405">
            <v>6209532.0266412608</v>
          </cell>
          <cell r="AC405">
            <v>6569373.2991474103</v>
          </cell>
          <cell r="AF405">
            <v>6759886.8668076545</v>
          </cell>
          <cell r="AI405">
            <v>7410224.9084528573</v>
          </cell>
          <cell r="AL405">
            <v>6784712.0672920616</v>
          </cell>
          <cell r="AO405">
            <v>5641636.8751667682</v>
          </cell>
        </row>
        <row r="406">
          <cell r="A406" t="str">
            <v>Profit brut</v>
          </cell>
          <cell r="E406">
            <v>5875144.3224358996</v>
          </cell>
          <cell r="H406">
            <v>358623.28567251179</v>
          </cell>
          <cell r="K406">
            <v>335642.68085635907</v>
          </cell>
          <cell r="N406">
            <v>501916.83127270127</v>
          </cell>
          <cell r="Q406">
            <v>560005.08109625231</v>
          </cell>
          <cell r="T406">
            <v>581555.80711561907</v>
          </cell>
          <cell r="W406">
            <v>538581.0629763935</v>
          </cell>
          <cell r="Z406">
            <v>450646.52828829666</v>
          </cell>
          <cell r="AC406">
            <v>461242.43269012892</v>
          </cell>
          <cell r="AF406">
            <v>462037.21812720335</v>
          </cell>
          <cell r="AI406">
            <v>606753.02004309976</v>
          </cell>
          <cell r="AL406">
            <v>605524.68901188811</v>
          </cell>
          <cell r="AO406">
            <v>412615.68528544664</v>
          </cell>
        </row>
        <row r="407">
          <cell r="A407" t="str">
            <v>DÉPENSES</v>
          </cell>
        </row>
        <row r="408">
          <cell r="A408" t="str">
            <v>Comm. vendeurs</v>
          </cell>
          <cell r="C408">
            <v>0.32863809373485176</v>
          </cell>
          <cell r="D408">
            <v>1112.7005816806575</v>
          </cell>
          <cell r="E408">
            <v>508515.41977211169</v>
          </cell>
          <cell r="G408">
            <v>1258.8311268446942</v>
          </cell>
          <cell r="H408">
            <v>30175.900229668106</v>
          </cell>
          <cell r="J408">
            <v>1364.1855983566625</v>
          </cell>
          <cell r="K408">
            <v>25157.507965640645</v>
          </cell>
          <cell r="M408">
            <v>1138.7141170851908</v>
          </cell>
          <cell r="N408">
            <v>42882.653630286921</v>
          </cell>
          <cell r="P408">
            <v>1059.3481532360072</v>
          </cell>
          <cell r="Q408">
            <v>45586.954228396055</v>
          </cell>
          <cell r="S408">
            <v>1065.6510089146345</v>
          </cell>
          <cell r="T408">
            <v>49228.118449327994</v>
          </cell>
          <cell r="V408">
            <v>1062.8058875823203</v>
          </cell>
          <cell r="W408">
            <v>49250.210131303276</v>
          </cell>
          <cell r="Y408">
            <v>1097.6646425792649</v>
          </cell>
          <cell r="Z408">
            <v>41080.668321237623</v>
          </cell>
          <cell r="AB408">
            <v>1089.716390396221</v>
          </cell>
          <cell r="AC408">
            <v>44158.268640031107</v>
          </cell>
          <cell r="AE408">
            <v>1084.7194879727761</v>
          </cell>
          <cell r="AF408">
            <v>45998.143161435743</v>
          </cell>
          <cell r="AH408">
            <v>1073.2328835786682</v>
          </cell>
          <cell r="AI408">
            <v>48421.464275526661</v>
          </cell>
          <cell r="AK408">
            <v>1110.9810472959823</v>
          </cell>
          <cell r="AL408">
            <v>44526.806120766407</v>
          </cell>
          <cell r="AN408">
            <v>1173.8790084988598</v>
          </cell>
          <cell r="AO408">
            <v>42048.724618491193</v>
          </cell>
        </row>
        <row r="409">
          <cell r="A409" t="str">
            <v>Comm. F&amp;I</v>
          </cell>
          <cell r="C409">
            <v>0.25</v>
          </cell>
          <cell r="D409">
            <v>351.36107480907901</v>
          </cell>
          <cell r="E409">
            <v>160575.56488219555</v>
          </cell>
          <cell r="G409">
            <v>348.44005448070283</v>
          </cell>
          <cell r="H409">
            <v>8352.5836752899213</v>
          </cell>
          <cell r="J409">
            <v>403.02313843944654</v>
          </cell>
          <cell r="K409">
            <v>7432.3155352480417</v>
          </cell>
          <cell r="M409">
            <v>367.19272263597099</v>
          </cell>
          <cell r="N409">
            <v>13828.052277657269</v>
          </cell>
          <cell r="P409">
            <v>349.78237731499081</v>
          </cell>
          <cell r="Q409">
            <v>15052.193347247585</v>
          </cell>
          <cell r="S409">
            <v>346.94628161718384</v>
          </cell>
          <cell r="T409">
            <v>16027.303971119134</v>
          </cell>
          <cell r="V409">
            <v>347.13589684885221</v>
          </cell>
          <cell r="W409">
            <v>16086.207334450966</v>
          </cell>
          <cell r="Y409">
            <v>348.2178831411133</v>
          </cell>
          <cell r="Z409">
            <v>13032.234806461445</v>
          </cell>
          <cell r="AB409">
            <v>347.41258382153444</v>
          </cell>
          <cell r="AC409">
            <v>14078.101734104048</v>
          </cell>
          <cell r="AE409">
            <v>346.98123158839587</v>
          </cell>
          <cell r="AF409">
            <v>14713.935300233949</v>
          </cell>
          <cell r="AH409">
            <v>347.18067030069318</v>
          </cell>
          <cell r="AI409">
            <v>15663.884960422165</v>
          </cell>
          <cell r="AK409">
            <v>347.37654142115576</v>
          </cell>
          <cell r="AL409">
            <v>13922.440844880937</v>
          </cell>
          <cell r="AN409">
            <v>345.79004997590238</v>
          </cell>
          <cell r="AO409">
            <v>12386.311095080075</v>
          </cell>
        </row>
        <row r="410">
          <cell r="A410" t="str">
            <v>Frais de livraison</v>
          </cell>
          <cell r="D410">
            <v>188.18030196859317</v>
          </cell>
          <cell r="E410">
            <v>86000.301270504278</v>
          </cell>
          <cell r="G410">
            <v>186.58559164033801</v>
          </cell>
          <cell r="H410">
            <v>4472.7112934879578</v>
          </cell>
          <cell r="J410">
            <v>216.11695077343666</v>
          </cell>
          <cell r="K410">
            <v>3985.5016187989554</v>
          </cell>
          <cell r="M410">
            <v>196.69647448376236</v>
          </cell>
          <cell r="N410">
            <v>7407.3612147505428</v>
          </cell>
          <cell r="P410">
            <v>187.38716805870155</v>
          </cell>
          <cell r="Q410">
            <v>8063.8364518653789</v>
          </cell>
          <cell r="S410">
            <v>185.81731612335474</v>
          </cell>
          <cell r="T410">
            <v>8583.8954512635391</v>
          </cell>
          <cell r="V410">
            <v>185.91601501058756</v>
          </cell>
          <cell r="W410">
            <v>8615.3105783738483</v>
          </cell>
          <cell r="Y410">
            <v>186.5819238122499</v>
          </cell>
          <cell r="Z410">
            <v>6982.9252301127708</v>
          </cell>
          <cell r="AB410">
            <v>186.08626289685509</v>
          </cell>
          <cell r="AC410">
            <v>7540.7209248554918</v>
          </cell>
          <cell r="AE410">
            <v>185.82070750212358</v>
          </cell>
          <cell r="AF410">
            <v>7879.8321601247717</v>
          </cell>
          <cell r="AH410">
            <v>185.88115084134085</v>
          </cell>
          <cell r="AI410">
            <v>8386.471978891821</v>
          </cell>
          <cell r="AK410">
            <v>185.98607284132962</v>
          </cell>
          <cell r="AL410">
            <v>7454.1017839364995</v>
          </cell>
          <cell r="AN410">
            <v>185.024369634019</v>
          </cell>
          <cell r="AO410">
            <v>6627.6325840427062</v>
          </cell>
        </row>
        <row r="411">
          <cell r="A411" t="str">
            <v>Service gratuit 1</v>
          </cell>
          <cell r="D411">
            <v>84.024681145473153</v>
          </cell>
          <cell r="E411">
            <v>38400.129115930409</v>
          </cell>
          <cell r="G411">
            <v>83.183378919987035</v>
          </cell>
          <cell r="H411">
            <v>1994.0191257805534</v>
          </cell>
          <cell r="J411">
            <v>97.641308641752275</v>
          </cell>
          <cell r="K411">
            <v>1800.643550913838</v>
          </cell>
          <cell r="M411">
            <v>87.985727969803293</v>
          </cell>
          <cell r="N411">
            <v>3313.4405206073757</v>
          </cell>
          <cell r="P411">
            <v>83.894072699614028</v>
          </cell>
          <cell r="Q411">
            <v>3610.2156222280196</v>
          </cell>
          <cell r="S411">
            <v>82.975846599394984</v>
          </cell>
          <cell r="T411">
            <v>3833.0980505415164</v>
          </cell>
          <cell r="V411">
            <v>83.007735109679174</v>
          </cell>
          <cell r="W411">
            <v>3846.5616764459351</v>
          </cell>
          <cell r="Y411">
            <v>83.673907935204781</v>
          </cell>
          <cell r="Z411">
            <v>3131.5393843340448</v>
          </cell>
          <cell r="AB411">
            <v>83.177904921666695</v>
          </cell>
          <cell r="AC411">
            <v>3370.5946820809249</v>
          </cell>
          <cell r="AE411">
            <v>82.911948879392014</v>
          </cell>
          <cell r="AF411">
            <v>3515.9280686249022</v>
          </cell>
          <cell r="AH411">
            <v>82.741036136165462</v>
          </cell>
          <cell r="AI411">
            <v>3733.0594195250665</v>
          </cell>
          <cell r="AK411">
            <v>82.78796300362643</v>
          </cell>
          <cell r="AL411">
            <v>3318.0436216870712</v>
          </cell>
          <cell r="AN411">
            <v>81.880485472598451</v>
          </cell>
          <cell r="AO411">
            <v>2932.9853931611597</v>
          </cell>
        </row>
        <row r="412">
          <cell r="A412" t="str">
            <v>Entretien stock</v>
          </cell>
          <cell r="D412">
            <v>260.23150631038322</v>
          </cell>
          <cell r="E412">
            <v>118928.43038643469</v>
          </cell>
          <cell r="G412">
            <v>263.36132539939484</v>
          </cell>
          <cell r="H412">
            <v>6313.1304192685111</v>
          </cell>
          <cell r="J412">
            <v>300.50981581554043</v>
          </cell>
          <cell r="K412">
            <v>5541.8251697127944</v>
          </cell>
          <cell r="M412">
            <v>270.96749458444293</v>
          </cell>
          <cell r="N412">
            <v>10204.321735357917</v>
          </cell>
          <cell r="P412">
            <v>257.17114699284457</v>
          </cell>
          <cell r="Q412">
            <v>11066.8520740934</v>
          </cell>
          <cell r="S412">
            <v>255.64898185630025</v>
          </cell>
          <cell r="T412">
            <v>11809.793501805056</v>
          </cell>
          <cell r="V412">
            <v>255.82054237314259</v>
          </cell>
          <cell r="W412">
            <v>11854.672254819783</v>
          </cell>
          <cell r="Y412">
            <v>256.45562211682761</v>
          </cell>
          <cell r="Z412">
            <v>9597.9846144468156</v>
          </cell>
          <cell r="AB412">
            <v>256.51872424373391</v>
          </cell>
          <cell r="AC412">
            <v>10394.835606936416</v>
          </cell>
          <cell r="AE412">
            <v>256.55312297770041</v>
          </cell>
          <cell r="AF412">
            <v>10879.280228749674</v>
          </cell>
          <cell r="AH412">
            <v>257.17471573713601</v>
          </cell>
          <cell r="AI412">
            <v>11603.051398416887</v>
          </cell>
          <cell r="AK412">
            <v>258.15096781232359</v>
          </cell>
          <cell r="AL412">
            <v>10346.38540562357</v>
          </cell>
          <cell r="AN412">
            <v>260.08414598978686</v>
          </cell>
          <cell r="AO412">
            <v>9316.2979772038652</v>
          </cell>
        </row>
        <row r="413">
          <cell r="A413" t="str">
            <v>Publicité 1</v>
          </cell>
          <cell r="D413">
            <v>425.18049124018199</v>
          </cell>
          <cell r="E413">
            <v>194311.78480678267</v>
          </cell>
          <cell r="G413">
            <v>428.2450449693979</v>
          </cell>
          <cell r="H413">
            <v>10265.618219369462</v>
          </cell>
          <cell r="J413">
            <v>429.35596749936775</v>
          </cell>
          <cell r="K413">
            <v>7917.9300715918134</v>
          </cell>
          <cell r="M413">
            <v>436.24646434017433</v>
          </cell>
          <cell r="N413">
            <v>16428.53614182202</v>
          </cell>
          <cell r="P413">
            <v>411.85644226462932</v>
          </cell>
          <cell r="Q413">
            <v>17723.428057937854</v>
          </cell>
          <cell r="S413">
            <v>419.51823007223345</v>
          </cell>
          <cell r="T413">
            <v>19379.790333687666</v>
          </cell>
          <cell r="V413">
            <v>420.36967812843051</v>
          </cell>
          <cell r="W413">
            <v>19479.845964863398</v>
          </cell>
          <cell r="Y413">
            <v>402.84621517083878</v>
          </cell>
          <cell r="Z413">
            <v>15076.728454159072</v>
          </cell>
          <cell r="AB413">
            <v>415.89709650618312</v>
          </cell>
          <cell r="AC413">
            <v>16853.280244276542</v>
          </cell>
          <cell r="AE413">
            <v>422.90045310335512</v>
          </cell>
          <cell r="AF413">
            <v>17933.332811452528</v>
          </cell>
          <cell r="AH413">
            <v>433.24661697747246</v>
          </cell>
          <cell r="AI413">
            <v>19546.955658417206</v>
          </cell>
          <cell r="AK413">
            <v>433.47965805545232</v>
          </cell>
          <cell r="AL413">
            <v>17373.351902365117</v>
          </cell>
          <cell r="AN413">
            <v>455.96984681314109</v>
          </cell>
          <cell r="AO413">
            <v>16332.986946840021</v>
          </cell>
        </row>
        <row r="414">
          <cell r="A414" t="str">
            <v>Intérêt de gros</v>
          </cell>
          <cell r="D414">
            <v>800.4222054962695</v>
          </cell>
          <cell r="E414">
            <v>365801.04344698793</v>
          </cell>
          <cell r="G414">
            <v>970.56112426508309</v>
          </cell>
          <cell r="H414">
            <v>23265.674821711771</v>
          </cell>
          <cell r="J414">
            <v>1374.8043683681362</v>
          </cell>
          <cell r="K414">
            <v>25353.333072921327</v>
          </cell>
          <cell r="M414">
            <v>857.10467998378169</v>
          </cell>
          <cell r="N414">
            <v>32277.568676082963</v>
          </cell>
          <cell r="P414">
            <v>825.78964124908737</v>
          </cell>
          <cell r="Q414">
            <v>35536.22523710478</v>
          </cell>
          <cell r="S414">
            <v>775.30849199921636</v>
          </cell>
          <cell r="T414">
            <v>35815.645046665282</v>
          </cell>
          <cell r="V414">
            <v>730.83395941214508</v>
          </cell>
          <cell r="W414">
            <v>33866.698042122574</v>
          </cell>
          <cell r="Y414">
            <v>796.09469748368542</v>
          </cell>
          <cell r="Z414">
            <v>29794.256780263964</v>
          </cell>
          <cell r="AB414">
            <v>746.64325911852677</v>
          </cell>
          <cell r="AC414">
            <v>30256.013312267602</v>
          </cell>
          <cell r="AE414">
            <v>723.80346411027347</v>
          </cell>
          <cell r="AF414">
            <v>30693.295116426514</v>
          </cell>
          <cell r="AH414">
            <v>730.13587467605521</v>
          </cell>
          <cell r="AI414">
            <v>32941.823450302007</v>
          </cell>
          <cell r="AK414">
            <v>744.95989386089036</v>
          </cell>
          <cell r="AL414">
            <v>29857.111282343423</v>
          </cell>
          <cell r="AN414">
            <v>729.84822051331071</v>
          </cell>
          <cell r="AO414">
            <v>26143.398608775653</v>
          </cell>
        </row>
        <row r="415">
          <cell r="A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C418">
            <v>0.25063770230420807</v>
          </cell>
          <cell r="E418">
            <v>1472532.6736809472</v>
          </cell>
          <cell r="F418">
            <v>0.23657035439146101</v>
          </cell>
          <cell r="H418">
            <v>84839.637784576276</v>
          </cell>
          <cell r="I418">
            <v>0.22997390197184453</v>
          </cell>
          <cell r="K418">
            <v>77189.056984827417</v>
          </cell>
          <cell r="L418">
            <v>0.25171886321525039</v>
          </cell>
          <cell r="N418">
            <v>126341.93419656501</v>
          </cell>
          <cell r="O418">
            <v>0.24399725936663028</v>
          </cell>
          <cell r="Q418">
            <v>136639.70501887309</v>
          </cell>
          <cell r="R418">
            <v>0.24877688956796343</v>
          </cell>
          <cell r="T418">
            <v>144677.6448044102</v>
          </cell>
          <cell r="U418">
            <v>0.26551157441762407</v>
          </cell>
          <cell r="W418">
            <v>142999.50598237978</v>
          </cell>
          <cell r="X418">
            <v>0.26339121715164071</v>
          </cell>
          <cell r="Z418">
            <v>118696.33759101575</v>
          </cell>
          <cell r="AA418">
            <v>0.27458838599448443</v>
          </cell>
          <cell r="AC418">
            <v>126651.81514455212</v>
          </cell>
          <cell r="AD418">
            <v>0.28485529235182422</v>
          </cell>
          <cell r="AF418">
            <v>131613.74684704808</v>
          </cell>
          <cell r="AG418">
            <v>0.23122540227576621</v>
          </cell>
          <cell r="AI418">
            <v>140296.71114150179</v>
          </cell>
          <cell r="AJ418">
            <v>0.20940226428837425</v>
          </cell>
          <cell r="AL418">
            <v>126798.24096160302</v>
          </cell>
          <cell r="AM418">
            <v>0.28062029959789958</v>
          </cell>
          <cell r="AO418">
            <v>115788.33722359467</v>
          </cell>
        </row>
        <row r="419">
          <cell r="A419" t="str">
            <v>Salaires propriétaire</v>
          </cell>
          <cell r="E419">
            <v>142000</v>
          </cell>
          <cell r="H419">
            <v>11540.22988505747</v>
          </cell>
          <cell r="K419">
            <v>11149.42528735632</v>
          </cell>
          <cell r="N419">
            <v>12321.839080459771</v>
          </cell>
          <cell r="Q419">
            <v>11540.22988505747</v>
          </cell>
          <cell r="T419">
            <v>11931.034482758623</v>
          </cell>
          <cell r="W419">
            <v>11931.034482758623</v>
          </cell>
          <cell r="Z419">
            <v>11931.034482758623</v>
          </cell>
          <cell r="AC419">
            <v>11931.034482758623</v>
          </cell>
          <cell r="AF419">
            <v>11931.034482758623</v>
          </cell>
          <cell r="AI419">
            <v>11540.22988505747</v>
          </cell>
          <cell r="AL419">
            <v>11931.034482758623</v>
          </cell>
          <cell r="AO419">
            <v>12321.839080459771</v>
          </cell>
        </row>
        <row r="420">
          <cell r="A420" t="str">
            <v>Salaires cadres</v>
          </cell>
          <cell r="E420">
            <v>574916.00000000012</v>
          </cell>
          <cell r="H420">
            <v>46744.678160919539</v>
          </cell>
          <cell r="K420">
            <v>45191.360153256705</v>
          </cell>
          <cell r="N420">
            <v>49851.314176245214</v>
          </cell>
          <cell r="Q420">
            <v>46744.678160919539</v>
          </cell>
          <cell r="T420">
            <v>48297.996168582387</v>
          </cell>
          <cell r="W420">
            <v>48297.996168582387</v>
          </cell>
          <cell r="Z420">
            <v>48297.996168582387</v>
          </cell>
          <cell r="AC420">
            <v>48297.996168582387</v>
          </cell>
          <cell r="AF420">
            <v>48297.996168582387</v>
          </cell>
          <cell r="AI420">
            <v>46744.678160919539</v>
          </cell>
          <cell r="AL420">
            <v>48297.996168582387</v>
          </cell>
          <cell r="AO420">
            <v>49851.314176245214</v>
          </cell>
        </row>
        <row r="421">
          <cell r="A421" t="str">
            <v>Salaires commis</v>
          </cell>
          <cell r="E421">
            <v>321100.11872000009</v>
          </cell>
          <cell r="H421">
            <v>25852.883115402299</v>
          </cell>
          <cell r="K421">
            <v>24645.602967049806</v>
          </cell>
          <cell r="N421">
            <v>28267.443412107281</v>
          </cell>
          <cell r="Q421">
            <v>25852.883115402299</v>
          </cell>
          <cell r="T421">
            <v>27060.163263754788</v>
          </cell>
          <cell r="W421">
            <v>27060.163263754788</v>
          </cell>
          <cell r="Z421">
            <v>27060.163263754788</v>
          </cell>
          <cell r="AC421">
            <v>27060.163263754788</v>
          </cell>
          <cell r="AF421">
            <v>27060.163263754788</v>
          </cell>
          <cell r="AI421">
            <v>25852.883115402299</v>
          </cell>
          <cell r="AL421">
            <v>27060.163263754788</v>
          </cell>
          <cell r="AO421">
            <v>28267.443412107281</v>
          </cell>
        </row>
        <row r="422">
          <cell r="A422" t="str">
            <v>Salaires autres</v>
          </cell>
          <cell r="E422">
            <v>203721.44960000002</v>
          </cell>
          <cell r="H422">
            <v>16391.381002298851</v>
          </cell>
          <cell r="K422">
            <v>15610.83904980843</v>
          </cell>
          <cell r="N422">
            <v>17952.464907279693</v>
          </cell>
          <cell r="Q422">
            <v>16391.381002298851</v>
          </cell>
          <cell r="T422">
            <v>17171.922954789272</v>
          </cell>
          <cell r="W422">
            <v>17171.922954789272</v>
          </cell>
          <cell r="Z422">
            <v>17171.922954789272</v>
          </cell>
          <cell r="AC422">
            <v>17171.922954789272</v>
          </cell>
          <cell r="AF422">
            <v>17171.922954789272</v>
          </cell>
          <cell r="AI422">
            <v>16391.381002298851</v>
          </cell>
          <cell r="AL422">
            <v>17171.922954789272</v>
          </cell>
          <cell r="AO422">
            <v>17952.464907279693</v>
          </cell>
        </row>
        <row r="423">
          <cell r="A423" t="str">
            <v>Salaires spécialistes</v>
          </cell>
          <cell r="E423">
            <v>186953.80799999999</v>
          </cell>
          <cell r="H423">
            <v>15254.812137931034</v>
          </cell>
          <cell r="K423">
            <v>14821.916321839079</v>
          </cell>
          <cell r="N423">
            <v>16120.603770114942</v>
          </cell>
          <cell r="Q423">
            <v>15254.812137931034</v>
          </cell>
          <cell r="T423">
            <v>15687.707954022988</v>
          </cell>
          <cell r="W423">
            <v>15687.707954022988</v>
          </cell>
          <cell r="Z423">
            <v>15687.707954022988</v>
          </cell>
          <cell r="AC423">
            <v>15687.707954022988</v>
          </cell>
          <cell r="AF423">
            <v>15687.707954022988</v>
          </cell>
          <cell r="AI423">
            <v>15254.812137931034</v>
          </cell>
          <cell r="AL423">
            <v>15687.707954022988</v>
          </cell>
          <cell r="AO423">
            <v>16120.603770114942</v>
          </cell>
        </row>
        <row r="424">
          <cell r="A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E427">
            <v>272438.80565450777</v>
          </cell>
          <cell r="H427">
            <v>20783.69997603702</v>
          </cell>
          <cell r="K427">
            <v>19507.337026179306</v>
          </cell>
          <cell r="N427">
            <v>23671.077931652657</v>
          </cell>
          <cell r="Q427">
            <v>22928.434352093525</v>
          </cell>
          <cell r="T427">
            <v>23522.67918270245</v>
          </cell>
          <cell r="W427">
            <v>23807.459062097241</v>
          </cell>
          <cell r="Z427">
            <v>22995.701531305891</v>
          </cell>
          <cell r="AC427">
            <v>23118.754494210189</v>
          </cell>
          <cell r="AF427">
            <v>23358.898178701038</v>
          </cell>
          <cell r="AI427">
            <v>23262.715913143129</v>
          </cell>
          <cell r="AL427">
            <v>23139.403523586869</v>
          </cell>
          <cell r="AO427">
            <v>22342.644482798485</v>
          </cell>
        </row>
        <row r="428">
          <cell r="A428" t="str">
            <v>Déduction à la source</v>
          </cell>
          <cell r="E428">
            <v>205031.26611112439</v>
          </cell>
          <cell r="H428">
            <v>15641.341219079408</v>
          </cell>
          <cell r="K428">
            <v>14680.77941145453</v>
          </cell>
          <cell r="N428">
            <v>17814.316381553028</v>
          </cell>
          <cell r="Q428">
            <v>17255.419667039456</v>
          </cell>
          <cell r="T428">
            <v>17702.634848837926</v>
          </cell>
          <cell r="W428">
            <v>17916.953727145348</v>
          </cell>
          <cell r="Z428">
            <v>17306.043420467318</v>
          </cell>
          <cell r="AC428">
            <v>17398.650289457153</v>
          </cell>
          <cell r="AF428">
            <v>17579.376979847173</v>
          </cell>
          <cell r="AI428">
            <v>17506.992388241735</v>
          </cell>
          <cell r="AL428">
            <v>17414.190280637544</v>
          </cell>
          <cell r="AO428">
            <v>16814.567497363805</v>
          </cell>
        </row>
        <row r="429">
          <cell r="A429" t="str">
            <v>Bénéfices marginaux</v>
          </cell>
          <cell r="E429">
            <v>311759.87038814812</v>
          </cell>
          <cell r="H429">
            <v>23783.409250928962</v>
          </cell>
          <cell r="K429">
            <v>22322.828968102094</v>
          </cell>
          <cell r="N429">
            <v>27087.522169210773</v>
          </cell>
          <cell r="Q429">
            <v>26237.692918375069</v>
          </cell>
          <cell r="T429">
            <v>26917.705044123424</v>
          </cell>
          <cell r="W429">
            <v>27243.587174152515</v>
          </cell>
          <cell r="Z429">
            <v>26314.668762628393</v>
          </cell>
          <cell r="AC429">
            <v>26455.481946982796</v>
          </cell>
          <cell r="AF429">
            <v>26730.285544699127</v>
          </cell>
          <cell r="AI429">
            <v>26620.221302668942</v>
          </cell>
          <cell r="AL429">
            <v>26479.111248640649</v>
          </cell>
          <cell r="AO429">
            <v>25567.356057635378</v>
          </cell>
        </row>
        <row r="430">
          <cell r="A430" t="str">
            <v>Csst</v>
          </cell>
          <cell r="E430">
            <v>56172.949619486142</v>
          </cell>
          <cell r="H430">
            <v>4285.2989641313452</v>
          </cell>
          <cell r="K430">
            <v>4022.1313456039811</v>
          </cell>
          <cell r="N430">
            <v>4880.6346250830211</v>
          </cell>
          <cell r="Q430">
            <v>4727.5122375450565</v>
          </cell>
          <cell r="T430">
            <v>4850.0369448871033</v>
          </cell>
          <cell r="W430">
            <v>4908.7544457932463</v>
          </cell>
          <cell r="Z430">
            <v>4741.3817590321423</v>
          </cell>
          <cell r="AC430">
            <v>4766.7535039608638</v>
          </cell>
          <cell r="AF430">
            <v>4816.2676657115544</v>
          </cell>
          <cell r="AI430">
            <v>4796.43627075116</v>
          </cell>
          <cell r="AL430">
            <v>4771.011035791108</v>
          </cell>
          <cell r="AO430">
            <v>4606.7308211955633</v>
          </cell>
        </row>
        <row r="431">
          <cell r="A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C432">
            <v>0.38707036683490387</v>
          </cell>
          <cell r="E432">
            <v>2274094.2680932665</v>
          </cell>
          <cell r="F432">
            <v>0.50269388774830492</v>
          </cell>
          <cell r="H432">
            <v>180277.73371178593</v>
          </cell>
          <cell r="I432">
            <v>0.51230737429438711</v>
          </cell>
          <cell r="K432">
            <v>171952.22053065026</v>
          </cell>
          <cell r="L432">
            <v>0.39442235071440929</v>
          </cell>
          <cell r="N432">
            <v>197967.21645370638</v>
          </cell>
          <cell r="O432">
            <v>0.33380597745778789</v>
          </cell>
          <cell r="Q432">
            <v>186933.04347666228</v>
          </cell>
          <cell r="R432">
            <v>0.3321123759427278</v>
          </cell>
          <cell r="T432">
            <v>193141.88084445897</v>
          </cell>
          <cell r="U432">
            <v>0.36025325168479</v>
          </cell>
          <cell r="W432">
            <v>194025.57923309642</v>
          </cell>
          <cell r="X432">
            <v>0.42495971515579356</v>
          </cell>
          <cell r="Z432">
            <v>191506.62029734181</v>
          </cell>
          <cell r="AA432">
            <v>0.41602517777767695</v>
          </cell>
          <cell r="AC432">
            <v>191888.46505851907</v>
          </cell>
          <cell r="AD432">
            <v>0.41692237256054343</v>
          </cell>
          <cell r="AF432">
            <v>192633.65319286694</v>
          </cell>
          <cell r="AG432">
            <v>0.3097971398033782</v>
          </cell>
          <cell r="AI432">
            <v>187970.35017641413</v>
          </cell>
          <cell r="AJ432">
            <v>0.31700200569162207</v>
          </cell>
          <cell r="AL432">
            <v>191952.54091256423</v>
          </cell>
          <cell r="AM432">
            <v>0.46979543220975367</v>
          </cell>
          <cell r="AO432">
            <v>193844.96420520011</v>
          </cell>
        </row>
        <row r="433">
          <cell r="A433" t="str">
            <v>Publicité 2</v>
          </cell>
          <cell r="E433">
            <v>81123.999999999956</v>
          </cell>
          <cell r="H433">
            <v>6760.3333333333321</v>
          </cell>
          <cell r="K433">
            <v>6760.3333333333321</v>
          </cell>
          <cell r="N433">
            <v>6760.3333333333321</v>
          </cell>
          <cell r="Q433">
            <v>6760.3333333333321</v>
          </cell>
          <cell r="T433">
            <v>6760.3333333333321</v>
          </cell>
          <cell r="W433">
            <v>6760.3333333333321</v>
          </cell>
          <cell r="Z433">
            <v>6760.3333333333321</v>
          </cell>
          <cell r="AC433">
            <v>6760.3333333333321</v>
          </cell>
          <cell r="AF433">
            <v>6760.3333333333321</v>
          </cell>
          <cell r="AI433">
            <v>6760.3333333333321</v>
          </cell>
          <cell r="AL433">
            <v>6760.3333333333321</v>
          </cell>
          <cell r="AO433">
            <v>6760.3333333333321</v>
          </cell>
        </row>
        <row r="434">
          <cell r="A434" t="str">
            <v>Service gratuit 2</v>
          </cell>
          <cell r="E434">
            <v>52999.999999999993</v>
          </cell>
          <cell r="H434">
            <v>4416.666666666667</v>
          </cell>
          <cell r="K434">
            <v>4416.666666666667</v>
          </cell>
          <cell r="N434">
            <v>4416.666666666667</v>
          </cell>
          <cell r="Q434">
            <v>4416.666666666667</v>
          </cell>
          <cell r="T434">
            <v>4416.666666666667</v>
          </cell>
          <cell r="W434">
            <v>4416.666666666667</v>
          </cell>
          <cell r="Z434">
            <v>4416.666666666667</v>
          </cell>
          <cell r="AC434">
            <v>4416.666666666667</v>
          </cell>
          <cell r="AF434">
            <v>4416.666666666667</v>
          </cell>
          <cell r="AI434">
            <v>4416.666666666667</v>
          </cell>
          <cell r="AL434">
            <v>4416.666666666667</v>
          </cell>
          <cell r="AO434">
            <v>4416.666666666667</v>
          </cell>
        </row>
        <row r="435">
          <cell r="A435" t="str">
            <v>Frais véhicules de cie</v>
          </cell>
          <cell r="E435">
            <v>590832.6399999999</v>
          </cell>
          <cell r="H435">
            <v>34347.720000000008</v>
          </cell>
          <cell r="K435">
            <v>34347.720000000008</v>
          </cell>
          <cell r="N435">
            <v>49107.72</v>
          </cell>
          <cell r="Q435">
            <v>60177.72</v>
          </cell>
          <cell r="T435">
            <v>61177.72</v>
          </cell>
          <cell r="W435">
            <v>54027.72</v>
          </cell>
          <cell r="Z435">
            <v>46647.72</v>
          </cell>
          <cell r="AC435">
            <v>46647.72</v>
          </cell>
          <cell r="AF435">
            <v>46647.72</v>
          </cell>
          <cell r="AI435">
            <v>60177.72</v>
          </cell>
          <cell r="AL435">
            <v>63177.72</v>
          </cell>
          <cell r="AO435">
            <v>34347.720000000008</v>
          </cell>
        </row>
        <row r="436">
          <cell r="A436" t="str">
            <v>Informatique</v>
          </cell>
          <cell r="E436">
            <v>175353</v>
          </cell>
          <cell r="H436">
            <v>14612.75</v>
          </cell>
          <cell r="K436">
            <v>14612.75</v>
          </cell>
          <cell r="N436">
            <v>14612.75</v>
          </cell>
          <cell r="Q436">
            <v>14612.75</v>
          </cell>
          <cell r="T436">
            <v>14612.75</v>
          </cell>
          <cell r="W436">
            <v>14612.75</v>
          </cell>
          <cell r="Z436">
            <v>14612.75</v>
          </cell>
          <cell r="AC436">
            <v>14612.75</v>
          </cell>
          <cell r="AF436">
            <v>14612.75</v>
          </cell>
          <cell r="AI436">
            <v>14612.75</v>
          </cell>
          <cell r="AL436">
            <v>14612.75</v>
          </cell>
          <cell r="AO436">
            <v>14612.75</v>
          </cell>
        </row>
        <row r="437">
          <cell r="A437" t="str">
            <v>Frais de déplacement</v>
          </cell>
          <cell r="E437">
            <v>81000</v>
          </cell>
          <cell r="H437">
            <v>6750</v>
          </cell>
          <cell r="K437">
            <v>6750</v>
          </cell>
          <cell r="N437">
            <v>6750</v>
          </cell>
          <cell r="Q437">
            <v>6750</v>
          </cell>
          <cell r="T437">
            <v>6750</v>
          </cell>
          <cell r="W437">
            <v>6750</v>
          </cell>
          <cell r="Z437">
            <v>6750</v>
          </cell>
          <cell r="AC437">
            <v>6750</v>
          </cell>
          <cell r="AF437">
            <v>6750</v>
          </cell>
          <cell r="AI437">
            <v>6750</v>
          </cell>
          <cell r="AL437">
            <v>6750</v>
          </cell>
          <cell r="AO437">
            <v>6750</v>
          </cell>
        </row>
        <row r="438">
          <cell r="A438" t="str">
            <v>Services extérieurs</v>
          </cell>
          <cell r="E438">
            <v>301970</v>
          </cell>
          <cell r="H438">
            <v>20878.461713344663</v>
          </cell>
          <cell r="K438">
            <v>18979.752148654203</v>
          </cell>
          <cell r="N438">
            <v>25091.616768755004</v>
          </cell>
          <cell r="Q438">
            <v>27962.63813897112</v>
          </cell>
          <cell r="T438">
            <v>28842.858104034578</v>
          </cell>
          <cell r="W438">
            <v>26770.529421364925</v>
          </cell>
          <cell r="Z438">
            <v>22956.242453529463</v>
          </cell>
          <cell r="AC438">
            <v>23900.333234589256</v>
          </cell>
          <cell r="AF438">
            <v>24474.292112345021</v>
          </cell>
          <cell r="AI438">
            <v>29582.799595324781</v>
          </cell>
          <cell r="AL438">
            <v>29078.815341219382</v>
          </cell>
          <cell r="AO438">
            <v>23451.660967867618</v>
          </cell>
        </row>
        <row r="439">
          <cell r="A439" t="str">
            <v>Fournitures autres</v>
          </cell>
          <cell r="E439">
            <v>32870.399999999994</v>
          </cell>
          <cell r="H439">
            <v>2549.9917460970173</v>
          </cell>
          <cell r="K439">
            <v>2482.6197341618267</v>
          </cell>
          <cell r="N439">
            <v>2908.2450310810732</v>
          </cell>
          <cell r="Q439">
            <v>2864.2228357046915</v>
          </cell>
          <cell r="T439">
            <v>2769.2328064538392</v>
          </cell>
          <cell r="W439">
            <v>2875.4818980198465</v>
          </cell>
          <cell r="Z439">
            <v>2899.5796178365999</v>
          </cell>
          <cell r="AC439">
            <v>2805.360032354602</v>
          </cell>
          <cell r="AF439">
            <v>2812.2834297474033</v>
          </cell>
          <cell r="AI439">
            <v>2822.6271412954907</v>
          </cell>
          <cell r="AL439">
            <v>2755.4088710473634</v>
          </cell>
          <cell r="AO439">
            <v>2325.346856200244</v>
          </cell>
        </row>
        <row r="440">
          <cell r="A440" t="str">
            <v>Uniformes</v>
          </cell>
          <cell r="E440">
            <v>9600</v>
          </cell>
          <cell r="H440">
            <v>800</v>
          </cell>
          <cell r="K440">
            <v>800</v>
          </cell>
          <cell r="N440">
            <v>800</v>
          </cell>
          <cell r="Q440">
            <v>800</v>
          </cell>
          <cell r="T440">
            <v>800</v>
          </cell>
          <cell r="W440">
            <v>800</v>
          </cell>
          <cell r="Z440">
            <v>800</v>
          </cell>
          <cell r="AC440">
            <v>800</v>
          </cell>
          <cell r="AF440">
            <v>800</v>
          </cell>
          <cell r="AI440">
            <v>800</v>
          </cell>
          <cell r="AL440">
            <v>800</v>
          </cell>
          <cell r="AO440">
            <v>800</v>
          </cell>
        </row>
        <row r="441">
          <cell r="A441" t="str">
            <v>Papeterie</v>
          </cell>
          <cell r="E441">
            <v>12000</v>
          </cell>
          <cell r="H441">
            <v>1000</v>
          </cell>
          <cell r="K441">
            <v>1000</v>
          </cell>
          <cell r="N441">
            <v>1000</v>
          </cell>
          <cell r="Q441">
            <v>1000</v>
          </cell>
          <cell r="T441">
            <v>1000</v>
          </cell>
          <cell r="W441">
            <v>1000</v>
          </cell>
          <cell r="Z441">
            <v>1000</v>
          </cell>
          <cell r="AC441">
            <v>1000</v>
          </cell>
          <cell r="AF441">
            <v>1000</v>
          </cell>
          <cell r="AI441">
            <v>1000</v>
          </cell>
          <cell r="AL441">
            <v>1000</v>
          </cell>
          <cell r="AO441">
            <v>1000</v>
          </cell>
        </row>
        <row r="442">
          <cell r="A442" t="str">
            <v>Téléphone</v>
          </cell>
          <cell r="E442">
            <v>18743.999999999996</v>
          </cell>
          <cell r="H442">
            <v>1561.9999999999995</v>
          </cell>
          <cell r="K442">
            <v>1561.9999999999995</v>
          </cell>
          <cell r="N442">
            <v>1561.9999999999995</v>
          </cell>
          <cell r="Q442">
            <v>1561.9999999999995</v>
          </cell>
          <cell r="T442">
            <v>1561.9999999999995</v>
          </cell>
          <cell r="W442">
            <v>1561.9999999999995</v>
          </cell>
          <cell r="Z442">
            <v>1561.9999999999995</v>
          </cell>
          <cell r="AC442">
            <v>1561.9999999999995</v>
          </cell>
          <cell r="AF442">
            <v>1561.9999999999995</v>
          </cell>
          <cell r="AI442">
            <v>1561.9999999999995</v>
          </cell>
          <cell r="AL442">
            <v>1561.9999999999995</v>
          </cell>
          <cell r="AO442">
            <v>1561.9999999999995</v>
          </cell>
        </row>
        <row r="443">
          <cell r="A443" t="str">
            <v>Frais postaux</v>
          </cell>
          <cell r="E443">
            <v>6800.0000000000009</v>
          </cell>
          <cell r="H443">
            <v>566.66666666666663</v>
          </cell>
          <cell r="K443">
            <v>566.66666666666663</v>
          </cell>
          <cell r="N443">
            <v>566.66666666666663</v>
          </cell>
          <cell r="Q443">
            <v>566.66666666666663</v>
          </cell>
          <cell r="T443">
            <v>566.66666666666663</v>
          </cell>
          <cell r="W443">
            <v>566.66666666666663</v>
          </cell>
          <cell r="Z443">
            <v>566.66666666666663</v>
          </cell>
          <cell r="AC443">
            <v>566.66666666666663</v>
          </cell>
          <cell r="AF443">
            <v>566.66666666666663</v>
          </cell>
          <cell r="AI443">
            <v>566.66666666666663</v>
          </cell>
          <cell r="AL443">
            <v>566.66666666666663</v>
          </cell>
          <cell r="AO443">
            <v>566.66666666666663</v>
          </cell>
        </row>
        <row r="444">
          <cell r="A444" t="str">
            <v>Divers</v>
          </cell>
          <cell r="E444">
            <v>43341</v>
          </cell>
          <cell r="H444">
            <v>3611.75</v>
          </cell>
          <cell r="K444">
            <v>3611.75</v>
          </cell>
          <cell r="N444">
            <v>3611.75</v>
          </cell>
          <cell r="Q444">
            <v>3611.75</v>
          </cell>
          <cell r="T444">
            <v>3611.75</v>
          </cell>
          <cell r="W444">
            <v>3611.75</v>
          </cell>
          <cell r="Z444">
            <v>3611.75</v>
          </cell>
          <cell r="AC444">
            <v>3611.75</v>
          </cell>
          <cell r="AF444">
            <v>3611.75</v>
          </cell>
          <cell r="AI444">
            <v>3611.75</v>
          </cell>
          <cell r="AL444">
            <v>3611.75</v>
          </cell>
          <cell r="AO444">
            <v>3611.75</v>
          </cell>
        </row>
        <row r="445">
          <cell r="A445" t="str">
            <v>Formation</v>
          </cell>
          <cell r="E445">
            <v>79000</v>
          </cell>
          <cell r="H445">
            <v>6583.3333333333339</v>
          </cell>
          <cell r="K445">
            <v>6583.3333333333339</v>
          </cell>
          <cell r="N445">
            <v>6583.3333333333339</v>
          </cell>
          <cell r="Q445">
            <v>6583.3333333333339</v>
          </cell>
          <cell r="T445">
            <v>6583.3333333333339</v>
          </cell>
          <cell r="W445">
            <v>6583.3333333333339</v>
          </cell>
          <cell r="Z445">
            <v>6583.3333333333339</v>
          </cell>
          <cell r="AC445">
            <v>6583.3333333333339</v>
          </cell>
          <cell r="AF445">
            <v>6583.3333333333339</v>
          </cell>
          <cell r="AI445">
            <v>6583.3333333333339</v>
          </cell>
          <cell r="AL445">
            <v>6583.3333333333339</v>
          </cell>
          <cell r="AO445">
            <v>6583.3333333333339</v>
          </cell>
        </row>
        <row r="446">
          <cell r="A446" t="str">
            <v>Frais bancaires</v>
          </cell>
          <cell r="E446">
            <v>119226.06271149387</v>
          </cell>
          <cell r="H446">
            <v>6305.1356365735246</v>
          </cell>
          <cell r="K446">
            <v>7312.337139829342</v>
          </cell>
          <cell r="N446">
            <v>11442.042127690056</v>
          </cell>
          <cell r="Q446">
            <v>10971.741323262882</v>
          </cell>
          <cell r="T446">
            <v>11521.545116667305</v>
          </cell>
          <cell r="W446">
            <v>11422.271385214797</v>
          </cell>
          <cell r="Z446">
            <v>9509.2931054851288</v>
          </cell>
          <cell r="AC446">
            <v>10054.28471226912</v>
          </cell>
          <cell r="AF446">
            <v>10341.821814556268</v>
          </cell>
          <cell r="AI446">
            <v>11338.183111970773</v>
          </cell>
          <cell r="AL446">
            <v>10385.042110102369</v>
          </cell>
          <cell r="AO446">
            <v>8622.36512787229</v>
          </cell>
        </row>
        <row r="447">
          <cell r="A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C450">
            <v>0.27316113692439481</v>
          </cell>
          <cell r="E450">
            <v>1604861.1027114936</v>
          </cell>
          <cell r="F450">
            <v>0.30880540533875239</v>
          </cell>
          <cell r="H450">
            <v>110744.8090960152</v>
          </cell>
          <cell r="I450">
            <v>0.32709168197124822</v>
          </cell>
          <cell r="K450">
            <v>109785.92902264536</v>
          </cell>
          <cell r="L450">
            <v>0.26939348414491038</v>
          </cell>
          <cell r="N450">
            <v>135213.12392752612</v>
          </cell>
          <cell r="O450">
            <v>0.26542584579226497</v>
          </cell>
          <cell r="Q450">
            <v>148639.82229793869</v>
          </cell>
          <cell r="R450">
            <v>0.25960510441114115</v>
          </cell>
          <cell r="T450">
            <v>150974.85602715577</v>
          </cell>
          <cell r="U450">
            <v>0.26320922225000881</v>
          </cell>
          <cell r="W450">
            <v>141759.50270459955</v>
          </cell>
          <cell r="X450">
            <v>0.28553717181757982</v>
          </cell>
          <cell r="Z450">
            <v>128676.33517685119</v>
          </cell>
          <cell r="AA450">
            <v>0.28200180373820283</v>
          </cell>
          <cell r="AC450">
            <v>130071.19797921297</v>
          </cell>
          <cell r="AD450">
            <v>0.28339625514886496</v>
          </cell>
          <cell r="AF450">
            <v>130939.6173566487</v>
          </cell>
          <cell r="AG450">
            <v>0.24818142617220848</v>
          </cell>
          <cell r="AI450">
            <v>150584.82984859109</v>
          </cell>
          <cell r="AJ450">
            <v>0.25112186023414768</v>
          </cell>
          <cell r="AL450">
            <v>152060.48632236911</v>
          </cell>
          <cell r="AM450">
            <v>0.27970481265659919</v>
          </cell>
          <cell r="AO450">
            <v>115410.59295194014</v>
          </cell>
        </row>
        <row r="451">
          <cell r="A451" t="str">
            <v>Loyer</v>
          </cell>
          <cell r="E451">
            <v>567434.15999999992</v>
          </cell>
          <cell r="H451">
            <v>46818</v>
          </cell>
          <cell r="K451">
            <v>46818</v>
          </cell>
          <cell r="N451">
            <v>46818</v>
          </cell>
          <cell r="Q451">
            <v>46818</v>
          </cell>
          <cell r="T451">
            <v>46818</v>
          </cell>
          <cell r="W451">
            <v>46818</v>
          </cell>
          <cell r="Z451">
            <v>47754.36</v>
          </cell>
          <cell r="AC451">
            <v>47754.36</v>
          </cell>
          <cell r="AF451">
            <v>47754.36</v>
          </cell>
          <cell r="AI451">
            <v>47754.36</v>
          </cell>
          <cell r="AL451">
            <v>47754.36</v>
          </cell>
          <cell r="AO451">
            <v>47754.36</v>
          </cell>
        </row>
        <row r="452">
          <cell r="A452" t="str">
            <v>Taxes foncières</v>
          </cell>
          <cell r="E452">
            <v>96822.840000000026</v>
          </cell>
          <cell r="H452">
            <v>8068.57</v>
          </cell>
          <cell r="K452">
            <v>8068.57</v>
          </cell>
          <cell r="N452">
            <v>8068.57</v>
          </cell>
          <cell r="Q452">
            <v>8068.57</v>
          </cell>
          <cell r="T452">
            <v>8068.57</v>
          </cell>
          <cell r="W452">
            <v>8068.57</v>
          </cell>
          <cell r="Z452">
            <v>8068.57</v>
          </cell>
          <cell r="AC452">
            <v>8068.57</v>
          </cell>
          <cell r="AF452">
            <v>8068.57</v>
          </cell>
          <cell r="AI452">
            <v>8068.57</v>
          </cell>
          <cell r="AL452">
            <v>8068.57</v>
          </cell>
          <cell r="AO452">
            <v>8068.57</v>
          </cell>
        </row>
        <row r="453">
          <cell r="A453" t="str">
            <v>Taxes d`affaires</v>
          </cell>
          <cell r="E453">
            <v>30533.279999999995</v>
          </cell>
          <cell r="H453">
            <v>2544.44</v>
          </cell>
          <cell r="K453">
            <v>2544.44</v>
          </cell>
          <cell r="N453">
            <v>2544.44</v>
          </cell>
          <cell r="Q453">
            <v>2544.44</v>
          </cell>
          <cell r="T453">
            <v>2544.44</v>
          </cell>
          <cell r="W453">
            <v>2544.44</v>
          </cell>
          <cell r="Z453">
            <v>2544.44</v>
          </cell>
          <cell r="AC453">
            <v>2544.44</v>
          </cell>
          <cell r="AF453">
            <v>2544.44</v>
          </cell>
          <cell r="AI453">
            <v>2544.44</v>
          </cell>
          <cell r="AL453">
            <v>2544.44</v>
          </cell>
          <cell r="AO453">
            <v>2544.44</v>
          </cell>
        </row>
        <row r="454">
          <cell r="A454" t="str">
            <v>Taxe sur le capital</v>
          </cell>
          <cell r="E454">
            <v>0</v>
          </cell>
          <cell r="H454">
            <v>0</v>
          </cell>
          <cell r="K454">
            <v>0</v>
          </cell>
          <cell r="N454">
            <v>0</v>
          </cell>
          <cell r="Q454">
            <v>0</v>
          </cell>
          <cell r="T454">
            <v>0</v>
          </cell>
          <cell r="W454">
            <v>0</v>
          </cell>
          <cell r="Z454">
            <v>0</v>
          </cell>
          <cell r="AC454">
            <v>0</v>
          </cell>
          <cell r="AF454">
            <v>0</v>
          </cell>
          <cell r="AI454">
            <v>0</v>
          </cell>
          <cell r="AL454">
            <v>0</v>
          </cell>
          <cell r="AO454">
            <v>0</v>
          </cell>
        </row>
        <row r="455">
          <cell r="A455" t="str">
            <v>Assurances</v>
          </cell>
          <cell r="E455">
            <v>107273.00000000001</v>
          </cell>
          <cell r="H455">
            <v>8939.4166666666661</v>
          </cell>
          <cell r="K455">
            <v>8939.4166666666661</v>
          </cell>
          <cell r="N455">
            <v>8939.4166666666661</v>
          </cell>
          <cell r="Q455">
            <v>8939.4166666666661</v>
          </cell>
          <cell r="T455">
            <v>8939.4166666666661</v>
          </cell>
          <cell r="W455">
            <v>8939.4166666666661</v>
          </cell>
          <cell r="Z455">
            <v>8939.4166666666661</v>
          </cell>
          <cell r="AC455">
            <v>8939.4166666666661</v>
          </cell>
          <cell r="AF455">
            <v>8939.4166666666661</v>
          </cell>
          <cell r="AI455">
            <v>8939.4166666666661</v>
          </cell>
          <cell r="AL455">
            <v>8939.4166666666661</v>
          </cell>
          <cell r="AO455">
            <v>8939.4166666666661</v>
          </cell>
        </row>
        <row r="456">
          <cell r="A456" t="str">
            <v>Chauffage, éclairage</v>
          </cell>
          <cell r="E456">
            <v>51000</v>
          </cell>
          <cell r="H456">
            <v>4250</v>
          </cell>
          <cell r="K456">
            <v>4250</v>
          </cell>
          <cell r="N456">
            <v>4250</v>
          </cell>
          <cell r="Q456">
            <v>4250</v>
          </cell>
          <cell r="T456">
            <v>4250</v>
          </cell>
          <cell r="W456">
            <v>4250</v>
          </cell>
          <cell r="Z456">
            <v>4250</v>
          </cell>
          <cell r="AC456">
            <v>4250</v>
          </cell>
          <cell r="AF456">
            <v>4250</v>
          </cell>
          <cell r="AI456">
            <v>4250</v>
          </cell>
          <cell r="AL456">
            <v>4250</v>
          </cell>
          <cell r="AO456">
            <v>4250</v>
          </cell>
        </row>
        <row r="457">
          <cell r="A457" t="str">
            <v>Honoraires</v>
          </cell>
          <cell r="E457">
            <v>92606.000000000044</v>
          </cell>
          <cell r="H457">
            <v>7717.1666666666679</v>
          </cell>
          <cell r="K457">
            <v>7717.1666666666679</v>
          </cell>
          <cell r="N457">
            <v>7717.1666666666679</v>
          </cell>
          <cell r="Q457">
            <v>7717.1666666666679</v>
          </cell>
          <cell r="T457">
            <v>7717.1666666666679</v>
          </cell>
          <cell r="W457">
            <v>7717.1666666666679</v>
          </cell>
          <cell r="Z457">
            <v>7717.1666666666679</v>
          </cell>
          <cell r="AC457">
            <v>7717.1666666666679</v>
          </cell>
          <cell r="AF457">
            <v>7717.1666666666679</v>
          </cell>
          <cell r="AI457">
            <v>7717.1666666666679</v>
          </cell>
          <cell r="AL457">
            <v>7717.1666666666679</v>
          </cell>
          <cell r="AO457">
            <v>7717.1666666666679</v>
          </cell>
        </row>
        <row r="458">
          <cell r="A458" t="str">
            <v>Réparation équipement</v>
          </cell>
          <cell r="E458">
            <v>10000</v>
          </cell>
          <cell r="H458">
            <v>833.33333333333337</v>
          </cell>
          <cell r="K458">
            <v>833.33333333333337</v>
          </cell>
          <cell r="N458">
            <v>833.33333333333337</v>
          </cell>
          <cell r="Q458">
            <v>833.33333333333337</v>
          </cell>
          <cell r="T458">
            <v>833.33333333333337</v>
          </cell>
          <cell r="W458">
            <v>833.33333333333337</v>
          </cell>
          <cell r="Z458">
            <v>833.33333333333337</v>
          </cell>
          <cell r="AC458">
            <v>833.33333333333337</v>
          </cell>
          <cell r="AF458">
            <v>833.33333333333337</v>
          </cell>
          <cell r="AI458">
            <v>833.33333333333337</v>
          </cell>
          <cell r="AL458">
            <v>833.33333333333337</v>
          </cell>
          <cell r="AO458">
            <v>833.33333333333337</v>
          </cell>
        </row>
        <row r="459">
          <cell r="A459" t="str">
            <v>Location équipement</v>
          </cell>
          <cell r="E459">
            <v>13950</v>
          </cell>
          <cell r="H459">
            <v>1162.5</v>
          </cell>
          <cell r="K459">
            <v>1162.5</v>
          </cell>
          <cell r="N459">
            <v>1162.5</v>
          </cell>
          <cell r="Q459">
            <v>1162.5</v>
          </cell>
          <cell r="T459">
            <v>1162.5</v>
          </cell>
          <cell r="W459">
            <v>1162.5</v>
          </cell>
          <cell r="Z459">
            <v>1162.5</v>
          </cell>
          <cell r="AC459">
            <v>1162.5</v>
          </cell>
          <cell r="AF459">
            <v>1162.5</v>
          </cell>
          <cell r="AI459">
            <v>1162.5</v>
          </cell>
          <cell r="AL459">
            <v>1162.5</v>
          </cell>
          <cell r="AO459">
            <v>1162.5</v>
          </cell>
        </row>
        <row r="460">
          <cell r="A460" t="str">
            <v>Dons</v>
          </cell>
          <cell r="E460">
            <v>0</v>
          </cell>
        </row>
        <row r="461">
          <cell r="A461" t="str">
            <v>[...]</v>
          </cell>
          <cell r="E461">
            <v>0</v>
          </cell>
        </row>
        <row r="462">
          <cell r="A462" t="str">
            <v>[...]</v>
          </cell>
          <cell r="E462">
            <v>0</v>
          </cell>
        </row>
        <row r="463">
          <cell r="A463" t="str">
            <v>[...]</v>
          </cell>
          <cell r="E463">
            <v>0</v>
          </cell>
        </row>
        <row r="464">
          <cell r="A464" t="str">
            <v>TOTAL DÉPENSES FIXES</v>
          </cell>
          <cell r="C464">
            <v>0.16503752534167282</v>
          </cell>
          <cell r="E464">
            <v>969619.28</v>
          </cell>
          <cell r="F464">
            <v>0.22400504896390269</v>
          </cell>
          <cell r="H464">
            <v>80333.426666666666</v>
          </cell>
          <cell r="I464">
            <v>0.23934210768935549</v>
          </cell>
          <cell r="K464">
            <v>80333.426666666666</v>
          </cell>
          <cell r="L464">
            <v>0.16005326313319015</v>
          </cell>
          <cell r="N464">
            <v>80333.426666666666</v>
          </cell>
          <cell r="O464">
            <v>0.14345124603049655</v>
          </cell>
          <cell r="Q464">
            <v>80333.426666666666</v>
          </cell>
          <cell r="R464">
            <v>0.13813537012913979</v>
          </cell>
          <cell r="T464">
            <v>80333.426666666666</v>
          </cell>
          <cell r="U464">
            <v>0.14915754041316479</v>
          </cell>
          <cell r="W464">
            <v>80333.426666666666</v>
          </cell>
          <cell r="X464">
            <v>0.18034042551122267</v>
          </cell>
          <cell r="Z464">
            <v>81269.786666666667</v>
          </cell>
          <cell r="AA464">
            <v>0.1761975501531213</v>
          </cell>
          <cell r="AC464">
            <v>81269.786666666667</v>
          </cell>
          <cell r="AD464">
            <v>0.17589445931667846</v>
          </cell>
          <cell r="AF464">
            <v>81269.786666666667</v>
          </cell>
          <cell r="AG464">
            <v>0.13394212139379841</v>
          </cell>
          <cell r="AI464">
            <v>81269.786666666667</v>
          </cell>
          <cell r="AJ464">
            <v>0.13421382833998882</v>
          </cell>
          <cell r="AL464">
            <v>81269.786666666667</v>
          </cell>
          <cell r="AM464">
            <v>0.19696242669602926</v>
          </cell>
          <cell r="AO464">
            <v>81269.786666666667</v>
          </cell>
        </row>
        <row r="465">
          <cell r="A465">
            <v>0</v>
          </cell>
        </row>
        <row r="466">
          <cell r="A466" t="str">
            <v>TOTAL DES DÉPENSES</v>
          </cell>
          <cell r="C466">
            <v>1.0759067314051796</v>
          </cell>
          <cell r="E466">
            <v>6321107.3244857071</v>
          </cell>
          <cell r="F466">
            <v>1.272074696442421</v>
          </cell>
          <cell r="H466">
            <v>456195.60725904407</v>
          </cell>
          <cell r="I466">
            <v>1.3087150659268354</v>
          </cell>
          <cell r="K466">
            <v>439260.63320478972</v>
          </cell>
          <cell r="L466">
            <v>1.0755879612077601</v>
          </cell>
          <cell r="N466">
            <v>539855.70124446414</v>
          </cell>
          <cell r="O466">
            <v>0.98668032864717969</v>
          </cell>
          <cell r="Q466">
            <v>552545.99746014073</v>
          </cell>
          <cell r="R466">
            <v>0.97862974005097225</v>
          </cell>
          <cell r="T466">
            <v>569127.80834269163</v>
          </cell>
          <cell r="U466">
            <v>1.0381315887655875</v>
          </cell>
          <cell r="W466">
            <v>559118.01458674239</v>
          </cell>
          <cell r="X466">
            <v>1.1542285296362369</v>
          </cell>
          <cell r="Z466">
            <v>520149.07973187545</v>
          </cell>
          <cell r="AA466">
            <v>1.1488129176634854</v>
          </cell>
          <cell r="AC466">
            <v>529881.26484895078</v>
          </cell>
          <cell r="AD466">
            <v>1.1610683793779109</v>
          </cell>
          <cell r="AF466">
            <v>536456.80406323029</v>
          </cell>
          <cell r="AG466">
            <v>0.92314608964515132</v>
          </cell>
          <cell r="AI466">
            <v>560121.67783317366</v>
          </cell>
          <cell r="AJ466">
            <v>0.9117399585541327</v>
          </cell>
          <cell r="AL466">
            <v>552081.05486320297</v>
          </cell>
          <cell r="AM466">
            <v>1.2270829711602818</v>
          </cell>
          <cell r="AO466">
            <v>506313.68104740162</v>
          </cell>
        </row>
        <row r="467">
          <cell r="A467" t="str">
            <v>Revenus autres</v>
          </cell>
          <cell r="E467">
            <v>0</v>
          </cell>
        </row>
        <row r="468">
          <cell r="A468" t="str">
            <v>Holdbacks</v>
          </cell>
          <cell r="E468">
            <v>0</v>
          </cell>
          <cell r="H468">
            <v>0</v>
          </cell>
          <cell r="K468">
            <v>0</v>
          </cell>
          <cell r="N468">
            <v>0</v>
          </cell>
          <cell r="Q468">
            <v>0</v>
          </cell>
          <cell r="T468">
            <v>0</v>
          </cell>
          <cell r="W468">
            <v>0</v>
          </cell>
          <cell r="Z468">
            <v>0</v>
          </cell>
          <cell r="AC468">
            <v>0</v>
          </cell>
          <cell r="AF468">
            <v>0</v>
          </cell>
          <cell r="AI468">
            <v>0</v>
          </cell>
          <cell r="AL468">
            <v>0</v>
          </cell>
          <cell r="AO468">
            <v>0</v>
          </cell>
        </row>
        <row r="469">
          <cell r="A469" t="str">
            <v>Business Builder Neuf</v>
          </cell>
          <cell r="E469">
            <v>630048.16001479386</v>
          </cell>
          <cell r="H469">
            <v>33127.675091063567</v>
          </cell>
          <cell r="K469">
            <v>27220.652137782014</v>
          </cell>
          <cell r="N469">
            <v>54029.844252697229</v>
          </cell>
          <cell r="Q469">
            <v>57676.408705354261</v>
          </cell>
          <cell r="T469">
            <v>62644.788481470932</v>
          </cell>
          <cell r="W469">
            <v>62961.098374049798</v>
          </cell>
          <cell r="Z469">
            <v>49159.186232011431</v>
          </cell>
          <cell r="AC469">
            <v>54590.458533853249</v>
          </cell>
          <cell r="AF469">
            <v>57892.425217359341</v>
          </cell>
          <cell r="AI469">
            <v>62860.804993476013</v>
          </cell>
          <cell r="AL469">
            <v>55878.842730454926</v>
          </cell>
          <cell r="AO469">
            <v>52005.975265221125</v>
          </cell>
        </row>
        <row r="470">
          <cell r="A470" t="str">
            <v>Facility  Bonus</v>
          </cell>
          <cell r="E470">
            <v>851416.43245242408</v>
          </cell>
          <cell r="H470">
            <v>44767.128501437262</v>
          </cell>
          <cell r="K470">
            <v>36784.665051056785</v>
          </cell>
          <cell r="N470">
            <v>73013.303044185421</v>
          </cell>
          <cell r="Q470">
            <v>77941.092845073319</v>
          </cell>
          <cell r="T470">
            <v>84655.119569555318</v>
          </cell>
          <cell r="W470">
            <v>85082.565370337557</v>
          </cell>
          <cell r="Z470">
            <v>66431.332745961394</v>
          </cell>
          <cell r="AC470">
            <v>73770.889910612503</v>
          </cell>
          <cell r="AF470">
            <v>78233.007050485598</v>
          </cell>
          <cell r="AI470">
            <v>84947.033774967582</v>
          </cell>
          <cell r="AL470">
            <v>75511.949635749916</v>
          </cell>
          <cell r="AO470">
            <v>70278.34495300152</v>
          </cell>
        </row>
        <row r="471">
          <cell r="A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Business Builder usagé</v>
          </cell>
          <cell r="E472">
            <v>204339.94378858182</v>
          </cell>
          <cell r="H472">
            <v>10744.110840344943</v>
          </cell>
          <cell r="K472">
            <v>8828.3196122536265</v>
          </cell>
          <cell r="N472">
            <v>17523.192730604504</v>
          </cell>
          <cell r="Q472">
            <v>18705.862282817598</v>
          </cell>
          <cell r="T472">
            <v>20317.228696693277</v>
          </cell>
          <cell r="W472">
            <v>20419.815688881015</v>
          </cell>
          <cell r="Z472">
            <v>15943.519859030734</v>
          </cell>
          <cell r="AC472">
            <v>17705.013578547001</v>
          </cell>
          <cell r="AF472">
            <v>18775.921692116546</v>
          </cell>
          <cell r="AI472">
            <v>20387.288105992222</v>
          </cell>
          <cell r="AL472">
            <v>18122.867912579979</v>
          </cell>
          <cell r="AO472">
            <v>16866.802788720368</v>
          </cell>
        </row>
        <row r="473">
          <cell r="A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[...]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[...]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Frais administration</v>
          </cell>
          <cell r="E478">
            <v>309833.78711338353</v>
          </cell>
          <cell r="H478">
            <v>16172.174178947371</v>
          </cell>
          <cell r="K478">
            <v>13962.012914360312</v>
          </cell>
          <cell r="N478">
            <v>26574.218386550976</v>
          </cell>
          <cell r="Q478">
            <v>28870.584133368116</v>
          </cell>
          <cell r="T478">
            <v>30919.802326353791</v>
          </cell>
          <cell r="W478">
            <v>31043.589146856666</v>
          </cell>
          <cell r="Z478">
            <v>24901.78902279793</v>
          </cell>
          <cell r="AC478">
            <v>27099.703272832372</v>
          </cell>
          <cell r="AF478">
            <v>28435.922650948789</v>
          </cell>
          <cell r="AI478">
            <v>30432.264479683381</v>
          </cell>
          <cell r="AL478">
            <v>27048.774065061218</v>
          </cell>
          <cell r="AO478">
            <v>24372.952535622564</v>
          </cell>
        </row>
        <row r="479">
          <cell r="A479" t="str">
            <v>TOTAL AUTRES REVENUS</v>
          </cell>
          <cell r="C479">
            <v>0.33967477458354067</v>
          </cell>
          <cell r="E479">
            <v>1995638.3233691831</v>
          </cell>
          <cell r="F479">
            <v>0.29225957376204709</v>
          </cell>
          <cell r="H479">
            <v>104811.08861179315</v>
          </cell>
          <cell r="I479">
            <v>0.25859538928125064</v>
          </cell>
          <cell r="K479">
            <v>86795.649715452746</v>
          </cell>
          <cell r="L479">
            <v>0.34097393781372137</v>
          </cell>
          <cell r="N479">
            <v>171140.55841403813</v>
          </cell>
          <cell r="O479">
            <v>0.3271290817718962</v>
          </cell>
          <cell r="Q479">
            <v>183193.94796661328</v>
          </cell>
          <cell r="R479">
            <v>0.34138931577137915</v>
          </cell>
          <cell r="T479">
            <v>198536.93907407334</v>
          </cell>
          <cell r="U479">
            <v>0.37043090129752593</v>
          </cell>
          <cell r="W479">
            <v>199507.06858012502</v>
          </cell>
          <cell r="X479">
            <v>0.34713643185934678</v>
          </cell>
          <cell r="Z479">
            <v>156435.82785980147</v>
          </cell>
          <cell r="AA479">
            <v>0.37543394324299134</v>
          </cell>
          <cell r="AC479">
            <v>173166.06529584512</v>
          </cell>
          <cell r="AD479">
            <v>0.39680196620099056</v>
          </cell>
          <cell r="AF479">
            <v>183337.27661091025</v>
          </cell>
          <cell r="AG479">
            <v>0.32736119111530754</v>
          </cell>
          <cell r="AI479">
            <v>198627.3913541192</v>
          </cell>
          <cell r="AJ479">
            <v>0.29158585528851921</v>
          </cell>
          <cell r="AL479">
            <v>176562.43434384602</v>
          </cell>
          <cell r="AM479">
            <v>0.39631085626189905</v>
          </cell>
          <cell r="AO479">
            <v>163524.07554256561</v>
          </cell>
        </row>
        <row r="480">
          <cell r="A480">
            <v>0</v>
          </cell>
        </row>
        <row r="481">
          <cell r="A481" t="str">
            <v>BAIIA OPÉRATIONNEL</v>
          </cell>
          <cell r="C481" t="str">
            <v>%vte</v>
          </cell>
          <cell r="D481">
            <v>1.9899641283914485E-2</v>
          </cell>
          <cell r="E481">
            <v>1549675.3213193757</v>
          </cell>
          <cell r="F481" t="str">
            <v>%vte</v>
          </cell>
          <cell r="G481">
            <v>1.757822602703243E-3</v>
          </cell>
          <cell r="H481">
            <v>7238.7670252608659</v>
          </cell>
          <cell r="I481" t="str">
            <v>%vte</v>
          </cell>
          <cell r="J481">
            <v>-3.5350803151159215E-3</v>
          </cell>
          <cell r="K481">
            <v>-16822.302632977895</v>
          </cell>
          <cell r="L481" t="str">
            <v>%vte</v>
          </cell>
          <cell r="M481">
            <v>1.7846629981533222E-2</v>
          </cell>
          <cell r="N481">
            <v>133201.68844227525</v>
          </cell>
          <cell r="O481" t="str">
            <v>%vte</v>
          </cell>
          <cell r="P481">
            <v>2.6605453417960504E-2</v>
          </cell>
          <cell r="Q481">
            <v>190653.03160272486</v>
          </cell>
          <cell r="R481" t="str">
            <v>%vte</v>
          </cell>
          <cell r="S481">
            <v>2.802327882418839E-2</v>
          </cell>
          <cell r="T481">
            <v>210964.93784700078</v>
          </cell>
          <cell r="U481" t="str">
            <v>%vte</v>
          </cell>
          <cell r="V481">
            <v>2.3975742644650709E-2</v>
          </cell>
          <cell r="W481">
            <v>178970.11696977614</v>
          </cell>
          <cell r="X481" t="str">
            <v>%vte</v>
          </cell>
          <cell r="Y481">
            <v>1.3999972307614449E-2</v>
          </cell>
          <cell r="Z481">
            <v>86933.276416222681</v>
          </cell>
          <cell r="AA481" t="str">
            <v>%vte</v>
          </cell>
          <cell r="AB481">
            <v>1.5911294483842021E-2</v>
          </cell>
          <cell r="AC481">
            <v>104527.23313702326</v>
          </cell>
          <cell r="AD481" t="str">
            <v>%vte</v>
          </cell>
          <cell r="AE481">
            <v>1.611235407055259E-2</v>
          </cell>
          <cell r="AF481">
            <v>108917.69067488331</v>
          </cell>
          <cell r="AG481" t="str">
            <v>%vte</v>
          </cell>
          <cell r="AH481">
            <v>3.3097340039474135E-2</v>
          </cell>
          <cell r="AI481">
            <v>245258.73356404531</v>
          </cell>
          <cell r="AJ481" t="str">
            <v>%vte</v>
          </cell>
          <cell r="AK481">
            <v>3.3900638112758112E-2</v>
          </cell>
          <cell r="AL481">
            <v>230006.06849253117</v>
          </cell>
          <cell r="AM481" t="str">
            <v>%vte</v>
          </cell>
          <cell r="AN481">
            <v>1.2376918494696019E-2</v>
          </cell>
          <cell r="AO481">
            <v>69826.079780610627</v>
          </cell>
        </row>
        <row r="483">
          <cell r="C483" t="str">
            <v>CALCUL DU PROFIT NET</v>
          </cell>
        </row>
        <row r="487">
          <cell r="C487" t="str">
            <v>%vte</v>
          </cell>
          <cell r="D487">
            <v>1.9899641283914485E-2</v>
          </cell>
          <cell r="E487">
            <v>1549675.3213193757</v>
          </cell>
          <cell r="F487" t="str">
            <v>%vte</v>
          </cell>
          <cell r="G487">
            <v>1.757822602703243E-3</v>
          </cell>
          <cell r="H487">
            <v>7238.7670252608659</v>
          </cell>
          <cell r="I487" t="str">
            <v>%vte</v>
          </cell>
          <cell r="J487">
            <v>-3.5350803151159215E-3</v>
          </cell>
          <cell r="K487">
            <v>-16822.302632977895</v>
          </cell>
          <cell r="L487" t="str">
            <v>%vte</v>
          </cell>
          <cell r="M487">
            <v>1.7846629981533222E-2</v>
          </cell>
          <cell r="N487">
            <v>133201.68844227525</v>
          </cell>
          <cell r="O487" t="str">
            <v>%vte</v>
          </cell>
          <cell r="P487">
            <v>2.6605453417960504E-2</v>
          </cell>
          <cell r="Q487">
            <v>190653.03160272486</v>
          </cell>
          <cell r="R487" t="str">
            <v>%vte</v>
          </cell>
          <cell r="S487">
            <v>2.802327882418839E-2</v>
          </cell>
          <cell r="T487">
            <v>210964.93784700078</v>
          </cell>
          <cell r="U487" t="str">
            <v>%vte</v>
          </cell>
          <cell r="V487">
            <v>2.3975742644650709E-2</v>
          </cell>
          <cell r="W487">
            <v>178970.11696977614</v>
          </cell>
          <cell r="X487" t="str">
            <v>%vte</v>
          </cell>
          <cell r="Y487">
            <v>1.3999972307614449E-2</v>
          </cell>
          <cell r="Z487">
            <v>86933.276416222681</v>
          </cell>
          <cell r="AA487" t="str">
            <v>%vte</v>
          </cell>
          <cell r="AB487">
            <v>1.5911294483842021E-2</v>
          </cell>
          <cell r="AC487">
            <v>104527.23313702326</v>
          </cell>
          <cell r="AD487" t="str">
            <v>%vte</v>
          </cell>
          <cell r="AE487">
            <v>1.611235407055259E-2</v>
          </cell>
          <cell r="AF487">
            <v>108917.69067488331</v>
          </cell>
          <cell r="AG487" t="str">
            <v>%vte</v>
          </cell>
          <cell r="AH487">
            <v>3.3097340039474135E-2</v>
          </cell>
          <cell r="AI487">
            <v>245258.73356404531</v>
          </cell>
          <cell r="AJ487" t="str">
            <v>%vte</v>
          </cell>
          <cell r="AK487">
            <v>3.3900638112758112E-2</v>
          </cell>
          <cell r="AL487">
            <v>230006.06849253117</v>
          </cell>
          <cell r="AM487" t="str">
            <v>%vte</v>
          </cell>
          <cell r="AN487">
            <v>1.2376918494696019E-2</v>
          </cell>
          <cell r="AO487">
            <v>69826.079780610627</v>
          </cell>
        </row>
        <row r="489">
          <cell r="A489" t="str">
            <v>Amortissement</v>
          </cell>
          <cell r="E489">
            <v>134000.00000000003</v>
          </cell>
          <cell r="H489">
            <v>11166.666666666668</v>
          </cell>
          <cell r="K489">
            <v>11166.666666666668</v>
          </cell>
          <cell r="N489">
            <v>11166.666666666668</v>
          </cell>
          <cell r="Q489">
            <v>11166.666666666668</v>
          </cell>
          <cell r="T489">
            <v>11166.666666666668</v>
          </cell>
          <cell r="W489">
            <v>11166.666666666668</v>
          </cell>
          <cell r="Z489">
            <v>11166.666666666668</v>
          </cell>
          <cell r="AC489">
            <v>11166.666666666668</v>
          </cell>
          <cell r="AF489">
            <v>11166.666666666668</v>
          </cell>
          <cell r="AI489">
            <v>11166.666666666668</v>
          </cell>
          <cell r="AL489">
            <v>11166.666666666668</v>
          </cell>
          <cell r="AO489">
            <v>11166.666666666668</v>
          </cell>
        </row>
        <row r="490">
          <cell r="A490" t="str">
            <v>Intérêts sur marge</v>
          </cell>
          <cell r="E490">
            <v>115300</v>
          </cell>
          <cell r="H490">
            <v>13000</v>
          </cell>
          <cell r="K490">
            <v>13000</v>
          </cell>
          <cell r="N490">
            <v>12000</v>
          </cell>
          <cell r="Q490">
            <v>11500</v>
          </cell>
          <cell r="T490">
            <v>8000</v>
          </cell>
          <cell r="W490">
            <v>8000</v>
          </cell>
          <cell r="Z490">
            <v>8000</v>
          </cell>
          <cell r="AC490">
            <v>8000</v>
          </cell>
          <cell r="AF490">
            <v>800</v>
          </cell>
          <cell r="AI490">
            <v>10000</v>
          </cell>
          <cell r="AL490">
            <v>11000</v>
          </cell>
          <cell r="AO490">
            <v>12000</v>
          </cell>
        </row>
        <row r="491">
          <cell r="A491" t="str">
            <v>Intérêts sur prêt</v>
          </cell>
          <cell r="E491">
            <v>445512</v>
          </cell>
          <cell r="H491">
            <v>37126</v>
          </cell>
          <cell r="K491">
            <v>37126</v>
          </cell>
          <cell r="N491">
            <v>37126</v>
          </cell>
          <cell r="Q491">
            <v>37126</v>
          </cell>
          <cell r="T491">
            <v>37126</v>
          </cell>
          <cell r="W491">
            <v>37126</v>
          </cell>
          <cell r="Z491">
            <v>37126</v>
          </cell>
          <cell r="AC491">
            <v>37126</v>
          </cell>
          <cell r="AF491">
            <v>37126</v>
          </cell>
          <cell r="AI491">
            <v>37126</v>
          </cell>
          <cell r="AL491">
            <v>37126</v>
          </cell>
          <cell r="AO491">
            <v>37126</v>
          </cell>
        </row>
        <row r="492">
          <cell r="A492" t="str">
            <v>Intérêts sur avance</v>
          </cell>
          <cell r="E492">
            <v>0</v>
          </cell>
        </row>
        <row r="493">
          <cell r="A493" t="str">
            <v>[...]</v>
          </cell>
        </row>
        <row r="494">
          <cell r="A494" t="str">
            <v>[...]</v>
          </cell>
        </row>
        <row r="495">
          <cell r="A495" t="str">
            <v>[...]</v>
          </cell>
        </row>
        <row r="496">
          <cell r="C496" t="str">
            <v>%vte</v>
          </cell>
          <cell r="D496">
            <v>1.0977443601894576E-2</v>
          </cell>
          <cell r="E496">
            <v>854863.32131937565</v>
          </cell>
          <cell r="F496" t="str">
            <v>%vte</v>
          </cell>
          <cell r="G496">
            <v>-1.3126153421202512E-2</v>
          </cell>
          <cell r="H496">
            <v>-54053.899641405806</v>
          </cell>
          <cell r="I496" t="str">
            <v>%vte</v>
          </cell>
          <cell r="J496">
            <v>-1.6415273004643068E-2</v>
          </cell>
          <cell r="K496">
            <v>-78114.969299644566</v>
          </cell>
          <cell r="L496" t="str">
            <v>%vte</v>
          </cell>
          <cell r="M496">
            <v>9.7684973003080121E-3</v>
          </cell>
          <cell r="N496">
            <v>72909.021775608577</v>
          </cell>
          <cell r="O496" t="str">
            <v>%vte</v>
          </cell>
          <cell r="P496">
            <v>1.8261442340022298E-2</v>
          </cell>
          <cell r="Q496">
            <v>130860.36493605821</v>
          </cell>
          <cell r="R496" t="str">
            <v>%vte</v>
          </cell>
          <cell r="S496">
            <v>2.0545708807785203E-2</v>
          </cell>
          <cell r="T496">
            <v>154672.27118033412</v>
          </cell>
          <cell r="U496" t="str">
            <v>%vte</v>
          </cell>
          <cell r="V496">
            <v>1.6434492118402057E-2</v>
          </cell>
          <cell r="W496">
            <v>122677.45030310948</v>
          </cell>
          <cell r="X496" t="str">
            <v>%vte</v>
          </cell>
          <cell r="Y496">
            <v>4.9344474942871874E-3</v>
          </cell>
          <cell r="Z496">
            <v>30640.60974955601</v>
          </cell>
          <cell r="AA496" t="str">
            <v>%vte</v>
          </cell>
          <cell r="AB496">
            <v>7.3423391051040728E-3</v>
          </cell>
          <cell r="AC496">
            <v>48234.566470356585</v>
          </cell>
          <cell r="AD496" t="str">
            <v>%vte</v>
          </cell>
          <cell r="AE496">
            <v>8.8500037333419032E-3</v>
          </cell>
          <cell r="AF496">
            <v>59825.024008216642</v>
          </cell>
          <cell r="AG496" t="str">
            <v>%vte</v>
          </cell>
          <cell r="AH496">
            <v>2.5230822168987897E-2</v>
          </cell>
          <cell r="AI496">
            <v>186966.06689737865</v>
          </cell>
          <cell r="AJ496" t="str">
            <v>%vte</v>
          </cell>
          <cell r="AK496">
            <v>2.5161480713211792E-2</v>
          </cell>
          <cell r="AL496">
            <v>170713.40182586451</v>
          </cell>
          <cell r="AM496" t="str">
            <v>%vte</v>
          </cell>
          <cell r="AN496">
            <v>1.6898310410419929E-3</v>
          </cell>
          <cell r="AO496">
            <v>9533.413113943956</v>
          </cell>
        </row>
      </sheetData>
      <sheetData sheetId="5"/>
      <sheetData sheetId="6"/>
      <sheetData sheetId="7">
        <row r="1">
          <cell r="N1" t="str">
            <v>Solde de fin</v>
          </cell>
          <cell r="O1" t="str">
            <v>Type compte</v>
          </cell>
          <cell r="Q1" t="str">
            <v>Debits</v>
          </cell>
          <cell r="R1" t="str">
            <v>Classification</v>
          </cell>
        </row>
        <row r="2">
          <cell r="N2">
            <v>620</v>
          </cell>
          <cell r="O2" t="str">
            <v>A</v>
          </cell>
          <cell r="Q2" t="str">
            <v>Bilan</v>
          </cell>
          <cell r="R2" t="str">
            <v>Marge de crédit</v>
          </cell>
        </row>
        <row r="3">
          <cell r="N3">
            <v>571212.16</v>
          </cell>
          <cell r="O3" t="str">
            <v>A</v>
          </cell>
          <cell r="Q3" t="str">
            <v>Bilan</v>
          </cell>
          <cell r="R3" t="str">
            <v>Marge de crédit</v>
          </cell>
        </row>
        <row r="4">
          <cell r="N4">
            <v>14973.54</v>
          </cell>
          <cell r="O4" t="str">
            <v>A</v>
          </cell>
          <cell r="Q4" t="str">
            <v>Bilan</v>
          </cell>
          <cell r="R4" t="str">
            <v>Marge de crédit</v>
          </cell>
        </row>
        <row r="5">
          <cell r="N5">
            <v>-4722.07</v>
          </cell>
          <cell r="O5" t="str">
            <v>A</v>
          </cell>
          <cell r="Q5" t="str">
            <v>Bilan</v>
          </cell>
          <cell r="R5" t="str">
            <v>Marge de crédit</v>
          </cell>
        </row>
        <row r="6">
          <cell r="N6">
            <v>0</v>
          </cell>
          <cell r="O6" t="str">
            <v>A</v>
          </cell>
          <cell r="Q6" t="str">
            <v>Bilan</v>
          </cell>
          <cell r="R6" t="str">
            <v>Salaires à Payer</v>
          </cell>
        </row>
        <row r="7">
          <cell r="N7">
            <v>889113.31</v>
          </cell>
          <cell r="O7" t="str">
            <v>A</v>
          </cell>
          <cell r="Q7" t="str">
            <v>Bilan</v>
          </cell>
          <cell r="R7" t="str">
            <v>Recevables Contrats en Transit</v>
          </cell>
        </row>
        <row r="8">
          <cell r="N8">
            <v>139852.97</v>
          </cell>
          <cell r="O8" t="str">
            <v>A</v>
          </cell>
          <cell r="Q8" t="str">
            <v>Bilan</v>
          </cell>
          <cell r="R8" t="str">
            <v>Recevables Véhicules</v>
          </cell>
        </row>
        <row r="9">
          <cell r="N9">
            <v>245457.5</v>
          </cell>
          <cell r="O9" t="str">
            <v>A</v>
          </cell>
          <cell r="Q9" t="str">
            <v>Bilan</v>
          </cell>
          <cell r="R9" t="str">
            <v>Recevables Pièces et Service</v>
          </cell>
        </row>
        <row r="10">
          <cell r="N10">
            <v>1980.85</v>
          </cell>
          <cell r="O10" t="str">
            <v>A</v>
          </cell>
          <cell r="Q10" t="str">
            <v>Bilan</v>
          </cell>
          <cell r="R10" t="str">
            <v>Recevables Garantie Manufacturier</v>
          </cell>
        </row>
        <row r="11">
          <cell r="N11">
            <v>-3027.26</v>
          </cell>
          <cell r="O11" t="str">
            <v>A</v>
          </cell>
          <cell r="Q11" t="str">
            <v>Bilan</v>
          </cell>
          <cell r="R11" t="str">
            <v>Recevables Garantie Manufacturier</v>
          </cell>
        </row>
        <row r="12">
          <cell r="N12">
            <v>635368.21</v>
          </cell>
          <cell r="O12" t="str">
            <v>A</v>
          </cell>
          <cell r="Q12" t="str">
            <v>Bilan</v>
          </cell>
          <cell r="R12" t="str">
            <v>Recevables Véhicules</v>
          </cell>
        </row>
        <row r="13">
          <cell r="N13">
            <v>2933742.66</v>
          </cell>
          <cell r="O13" t="str">
            <v>A</v>
          </cell>
          <cell r="Q13" t="str">
            <v>Bilan</v>
          </cell>
          <cell r="R13" t="str">
            <v>Recevables Véhicules</v>
          </cell>
        </row>
        <row r="14">
          <cell r="N14">
            <v>72113.31</v>
          </cell>
          <cell r="O14" t="str">
            <v>A</v>
          </cell>
          <cell r="Q14" t="str">
            <v>Bilan</v>
          </cell>
          <cell r="R14" t="str">
            <v>Recevables Manufacturier</v>
          </cell>
        </row>
        <row r="15">
          <cell r="N15">
            <v>476191</v>
          </cell>
          <cell r="O15" t="str">
            <v>A</v>
          </cell>
          <cell r="Q15" t="str">
            <v>Bilan</v>
          </cell>
          <cell r="R15" t="str">
            <v>Recevables Manufacturier</v>
          </cell>
        </row>
        <row r="16">
          <cell r="N16">
            <v>675077.19</v>
          </cell>
          <cell r="O16" t="str">
            <v>A</v>
          </cell>
          <cell r="Q16" t="str">
            <v>Bilan</v>
          </cell>
          <cell r="R16" t="str">
            <v>Taxes de Vente à Payer</v>
          </cell>
        </row>
        <row r="17">
          <cell r="N17">
            <v>52609.42</v>
          </cell>
          <cell r="O17" t="str">
            <v>A</v>
          </cell>
          <cell r="Q17" t="str">
            <v>Bilan</v>
          </cell>
          <cell r="R17" t="str">
            <v>Taxes de Vente à Payer</v>
          </cell>
        </row>
        <row r="18">
          <cell r="N18">
            <v>17141.8</v>
          </cell>
          <cell r="O18" t="str">
            <v>A</v>
          </cell>
          <cell r="Q18" t="str">
            <v>Bilan</v>
          </cell>
          <cell r="R18" t="str">
            <v>Recevables Pièces et Service</v>
          </cell>
        </row>
        <row r="19">
          <cell r="N19">
            <v>-33750</v>
          </cell>
          <cell r="O19" t="str">
            <v>A</v>
          </cell>
          <cell r="Q19" t="str">
            <v>Bilan</v>
          </cell>
          <cell r="R19" t="str">
            <v>Recevables Manufacturier</v>
          </cell>
        </row>
        <row r="20">
          <cell r="N20">
            <v>26476.83</v>
          </cell>
          <cell r="O20" t="str">
            <v>A</v>
          </cell>
          <cell r="Q20" t="str">
            <v>Bilan</v>
          </cell>
          <cell r="R20" t="str">
            <v>Recevables Manufacturier</v>
          </cell>
        </row>
        <row r="21">
          <cell r="N21">
            <v>28925.85</v>
          </cell>
          <cell r="O21" t="str">
            <v>A</v>
          </cell>
          <cell r="Q21" t="str">
            <v>Bilan</v>
          </cell>
          <cell r="R21" t="str">
            <v>Recevables Manufacturier</v>
          </cell>
        </row>
        <row r="22">
          <cell r="N22">
            <v>97002.09</v>
          </cell>
          <cell r="O22" t="str">
            <v>A</v>
          </cell>
          <cell r="Q22" t="str">
            <v>Bilan</v>
          </cell>
          <cell r="R22" t="str">
            <v>Taxes de Vente à Payer</v>
          </cell>
        </row>
        <row r="23">
          <cell r="N23">
            <v>-55494.77</v>
          </cell>
          <cell r="O23" t="str">
            <v>A</v>
          </cell>
          <cell r="Q23" t="str">
            <v>Bilan</v>
          </cell>
          <cell r="R23" t="str">
            <v>Recevables Pièces et Service</v>
          </cell>
        </row>
        <row r="24">
          <cell r="N24">
            <v>-20000</v>
          </cell>
          <cell r="O24" t="str">
            <v>A</v>
          </cell>
          <cell r="Q24" t="str">
            <v>Bilan</v>
          </cell>
          <cell r="R24" t="str">
            <v>Recevables Manufacturier</v>
          </cell>
        </row>
        <row r="25">
          <cell r="N25">
            <v>1179106.6499999999</v>
          </cell>
          <cell r="O25" t="str">
            <v>A</v>
          </cell>
          <cell r="Q25" t="str">
            <v>Bilan</v>
          </cell>
          <cell r="R25" t="str">
            <v>Inventaire Véhicules Neufs</v>
          </cell>
        </row>
        <row r="26">
          <cell r="N26">
            <v>7418643.6600000001</v>
          </cell>
          <cell r="O26" t="str">
            <v>A</v>
          </cell>
          <cell r="Q26" t="str">
            <v>Bilan</v>
          </cell>
          <cell r="R26" t="str">
            <v>Inventaire Véhicules Neufs</v>
          </cell>
        </row>
        <row r="27">
          <cell r="N27">
            <v>52642.48</v>
          </cell>
          <cell r="O27" t="str">
            <v>A</v>
          </cell>
          <cell r="Q27" t="str">
            <v>Bilan</v>
          </cell>
          <cell r="R27" t="str">
            <v>Inventaire Véhicules Usagés</v>
          </cell>
        </row>
        <row r="28">
          <cell r="N28">
            <v>77365</v>
          </cell>
          <cell r="O28" t="str">
            <v>A</v>
          </cell>
          <cell r="Q28" t="str">
            <v>Bilan</v>
          </cell>
          <cell r="R28" t="str">
            <v>Inventaire Véhicules Neufs</v>
          </cell>
        </row>
        <row r="29">
          <cell r="N29">
            <v>73370</v>
          </cell>
          <cell r="O29" t="str">
            <v>A</v>
          </cell>
          <cell r="Q29" t="str">
            <v>Bilan</v>
          </cell>
          <cell r="R29" t="str">
            <v>Inventaire Véhicules Usagés</v>
          </cell>
        </row>
        <row r="30">
          <cell r="N30">
            <v>488009</v>
          </cell>
          <cell r="O30" t="str">
            <v>A</v>
          </cell>
          <cell r="Q30" t="str">
            <v>Bilan</v>
          </cell>
          <cell r="R30" t="str">
            <v>Inventaire Véhicules Usagés</v>
          </cell>
        </row>
        <row r="31">
          <cell r="N31">
            <v>0</v>
          </cell>
          <cell r="O31" t="str">
            <v>A</v>
          </cell>
          <cell r="Q31" t="str">
            <v>Bilan</v>
          </cell>
          <cell r="R31" t="str">
            <v>Inventaire Véhicules Usagés</v>
          </cell>
        </row>
        <row r="32">
          <cell r="N32">
            <v>79373</v>
          </cell>
          <cell r="O32" t="str">
            <v>A</v>
          </cell>
          <cell r="Q32" t="str">
            <v>Bilan</v>
          </cell>
          <cell r="R32" t="str">
            <v>Inventaire Véhicules Usagés</v>
          </cell>
        </row>
        <row r="33">
          <cell r="N33">
            <v>255585.48</v>
          </cell>
          <cell r="O33" t="str">
            <v>A</v>
          </cell>
          <cell r="Q33" t="str">
            <v>Bilan</v>
          </cell>
          <cell r="R33" t="str">
            <v>Inventaire Véhicules Usagés</v>
          </cell>
        </row>
        <row r="34">
          <cell r="N34">
            <v>113349.33</v>
          </cell>
          <cell r="O34" t="str">
            <v>A</v>
          </cell>
          <cell r="Q34" t="str">
            <v>Bilan</v>
          </cell>
          <cell r="R34" t="str">
            <v>Inventaire Pièces, Pneus, Huile</v>
          </cell>
        </row>
        <row r="35">
          <cell r="N35">
            <v>425071.79</v>
          </cell>
          <cell r="O35" t="str">
            <v>A</v>
          </cell>
          <cell r="Q35" t="str">
            <v>Bilan</v>
          </cell>
          <cell r="R35" t="str">
            <v>Inventaire Pièces, Pneus, Huile</v>
          </cell>
        </row>
        <row r="36">
          <cell r="N36">
            <v>36671.370000000003</v>
          </cell>
          <cell r="O36" t="str">
            <v>A</v>
          </cell>
          <cell r="Q36" t="str">
            <v>Bilan</v>
          </cell>
          <cell r="R36" t="str">
            <v>Inventaire Pièces, Pneus, Huile</v>
          </cell>
        </row>
        <row r="37">
          <cell r="N37">
            <v>0.03</v>
          </cell>
          <cell r="O37" t="str">
            <v>A</v>
          </cell>
          <cell r="Q37" t="str">
            <v>Bilan</v>
          </cell>
          <cell r="R37" t="str">
            <v>Inventaire Véhicules Usagés</v>
          </cell>
        </row>
        <row r="38">
          <cell r="N38">
            <v>83515</v>
          </cell>
          <cell r="O38" t="str">
            <v>A</v>
          </cell>
          <cell r="Q38" t="str">
            <v>Bilan</v>
          </cell>
          <cell r="R38" t="str">
            <v>Inventaire Véhicules Usagés</v>
          </cell>
        </row>
        <row r="39">
          <cell r="N39">
            <v>130498</v>
          </cell>
          <cell r="O39" t="str">
            <v>A</v>
          </cell>
          <cell r="Q39" t="str">
            <v>Bilan</v>
          </cell>
          <cell r="R39" t="str">
            <v>Inventaire Véhicules Usagés</v>
          </cell>
        </row>
        <row r="40">
          <cell r="N40">
            <v>248261</v>
          </cell>
          <cell r="O40" t="str">
            <v>A</v>
          </cell>
          <cell r="Q40" t="str">
            <v>Bilan</v>
          </cell>
          <cell r="R40" t="str">
            <v>Inventaire Véhicules Usagés</v>
          </cell>
        </row>
        <row r="41">
          <cell r="N41">
            <v>411370</v>
          </cell>
          <cell r="O41" t="str">
            <v>A</v>
          </cell>
          <cell r="Q41" t="str">
            <v>Bilan</v>
          </cell>
          <cell r="R41" t="str">
            <v>Inventaire Véhicules Usagés</v>
          </cell>
        </row>
        <row r="42">
          <cell r="N42">
            <v>370485</v>
          </cell>
          <cell r="O42" t="str">
            <v>A</v>
          </cell>
          <cell r="Q42" t="str">
            <v>Bilan</v>
          </cell>
          <cell r="R42" t="str">
            <v>Inventaire Véhicules Usagés</v>
          </cell>
        </row>
        <row r="43">
          <cell r="N43">
            <v>121921</v>
          </cell>
          <cell r="O43" t="str">
            <v>A</v>
          </cell>
          <cell r="Q43" t="str">
            <v>Bilan</v>
          </cell>
          <cell r="R43" t="str">
            <v>Inventaire Véhicules Usagés</v>
          </cell>
        </row>
        <row r="44">
          <cell r="N44">
            <v>10730.41</v>
          </cell>
          <cell r="O44" t="str">
            <v>A</v>
          </cell>
          <cell r="Q44" t="str">
            <v>Bilan</v>
          </cell>
          <cell r="R44" t="str">
            <v>Inventaire Pièces, Pneus, Huile</v>
          </cell>
        </row>
        <row r="45">
          <cell r="N45">
            <v>-394.81</v>
          </cell>
          <cell r="O45" t="str">
            <v>A</v>
          </cell>
          <cell r="Q45" t="str">
            <v>Bilan</v>
          </cell>
          <cell r="R45" t="str">
            <v>Sous-Traitance</v>
          </cell>
        </row>
        <row r="46">
          <cell r="N46">
            <v>4897.3599999999997</v>
          </cell>
          <cell r="O46" t="str">
            <v>A</v>
          </cell>
          <cell r="Q46" t="str">
            <v>Bilan</v>
          </cell>
          <cell r="R46" t="str">
            <v>Travaux en Cours</v>
          </cell>
        </row>
        <row r="47">
          <cell r="N47">
            <v>4000</v>
          </cell>
          <cell r="O47" t="str">
            <v>A</v>
          </cell>
          <cell r="Q47" t="str">
            <v>Bilan</v>
          </cell>
          <cell r="R47" t="str">
            <v>Frais Payés d'Avance</v>
          </cell>
        </row>
        <row r="48">
          <cell r="N48">
            <v>162576.98000000001</v>
          </cell>
          <cell r="O48" t="str">
            <v>A</v>
          </cell>
          <cell r="Q48" t="str">
            <v>Bilan</v>
          </cell>
          <cell r="R48" t="str">
            <v>Inventaire Pièces, Pneus, Huile</v>
          </cell>
        </row>
        <row r="49">
          <cell r="N49">
            <v>-1238.67</v>
          </cell>
          <cell r="O49" t="str">
            <v>A</v>
          </cell>
          <cell r="Q49" t="str">
            <v>Bilan</v>
          </cell>
          <cell r="R49" t="str">
            <v>Frais Payés d'Avance</v>
          </cell>
        </row>
        <row r="50">
          <cell r="N50">
            <v>-4471.24</v>
          </cell>
          <cell r="O50" t="str">
            <v>A</v>
          </cell>
          <cell r="Q50" t="str">
            <v>Bilan</v>
          </cell>
          <cell r="R50" t="str">
            <v>Frais Payés d'Avance</v>
          </cell>
        </row>
        <row r="51">
          <cell r="N51">
            <v>11491.82</v>
          </cell>
          <cell r="O51" t="str">
            <v>A</v>
          </cell>
          <cell r="Q51" t="str">
            <v>Bilan</v>
          </cell>
          <cell r="R51" t="str">
            <v>Frais Payés d'Avance</v>
          </cell>
        </row>
        <row r="52">
          <cell r="N52">
            <v>8571.2800000000007</v>
          </cell>
          <cell r="O52" t="str">
            <v>A</v>
          </cell>
          <cell r="Q52" t="str">
            <v>Bilan</v>
          </cell>
          <cell r="R52" t="str">
            <v>Impôts à payer</v>
          </cell>
        </row>
        <row r="53">
          <cell r="N53">
            <v>9253.26</v>
          </cell>
          <cell r="O53" t="str">
            <v>A</v>
          </cell>
          <cell r="Q53" t="str">
            <v>Bilan</v>
          </cell>
          <cell r="R53" t="str">
            <v>Impôts à payer</v>
          </cell>
        </row>
        <row r="54">
          <cell r="N54">
            <v>-2925.19</v>
          </cell>
          <cell r="O54" t="str">
            <v>A</v>
          </cell>
          <cell r="Q54" t="str">
            <v>Bilan</v>
          </cell>
          <cell r="R54" t="str">
            <v>Frais Payés d'Avance</v>
          </cell>
        </row>
        <row r="55">
          <cell r="N55">
            <v>1463.42</v>
          </cell>
          <cell r="O55" t="str">
            <v>A</v>
          </cell>
          <cell r="Q55" t="str">
            <v>Bilan</v>
          </cell>
          <cell r="R55" t="str">
            <v>Frais Payés d'Avance</v>
          </cell>
        </row>
        <row r="56">
          <cell r="N56">
            <v>-10000</v>
          </cell>
          <cell r="O56" t="str">
            <v>A</v>
          </cell>
          <cell r="Q56" t="str">
            <v>Bilan</v>
          </cell>
          <cell r="R56" t="str">
            <v>Frais Payés d'Avance</v>
          </cell>
        </row>
        <row r="57">
          <cell r="N57">
            <v>40</v>
          </cell>
          <cell r="O57" t="str">
            <v>A</v>
          </cell>
          <cell r="Q57" t="str">
            <v>Bilan</v>
          </cell>
          <cell r="R57" t="str">
            <v>Frais Payés d'Avance</v>
          </cell>
        </row>
        <row r="58">
          <cell r="N58">
            <v>-161.54</v>
          </cell>
          <cell r="O58" t="str">
            <v>A</v>
          </cell>
          <cell r="Q58" t="str">
            <v>Bilan</v>
          </cell>
          <cell r="R58" t="str">
            <v>Frais Payés d'Avance</v>
          </cell>
        </row>
        <row r="59">
          <cell r="N59">
            <v>-57524</v>
          </cell>
          <cell r="O59" t="str">
            <v>A</v>
          </cell>
          <cell r="Q59" t="str">
            <v>Bilan</v>
          </cell>
          <cell r="R59" t="str">
            <v>Frais Payés d'Avance</v>
          </cell>
        </row>
        <row r="60">
          <cell r="N60">
            <v>213072.38</v>
          </cell>
          <cell r="O60" t="str">
            <v>A</v>
          </cell>
          <cell r="Q60" t="str">
            <v>Bilan</v>
          </cell>
          <cell r="R60" t="str">
            <v>Améliorations Locatives</v>
          </cell>
        </row>
        <row r="61">
          <cell r="N61">
            <v>-91122.95</v>
          </cell>
          <cell r="O61" t="str">
            <v>A</v>
          </cell>
          <cell r="Q61" t="str">
            <v>Bilan</v>
          </cell>
          <cell r="R61" t="str">
            <v>Améliorations Locatives</v>
          </cell>
        </row>
        <row r="62">
          <cell r="N62">
            <v>669879.55000000005</v>
          </cell>
          <cell r="O62" t="str">
            <v>A</v>
          </cell>
          <cell r="Q62" t="str">
            <v>Bilan</v>
          </cell>
          <cell r="R62" t="str">
            <v>Équipements Service</v>
          </cell>
        </row>
        <row r="63">
          <cell r="N63">
            <v>-426355.56</v>
          </cell>
          <cell r="O63" t="str">
            <v>A</v>
          </cell>
          <cell r="Q63" t="str">
            <v>Bilan</v>
          </cell>
          <cell r="R63" t="str">
            <v>Équipements Service</v>
          </cell>
        </row>
        <row r="64">
          <cell r="N64">
            <v>266711.77</v>
          </cell>
          <cell r="O64" t="str">
            <v>A</v>
          </cell>
          <cell r="Q64" t="str">
            <v>Bilan</v>
          </cell>
          <cell r="R64" t="str">
            <v>Mobilier</v>
          </cell>
        </row>
        <row r="65">
          <cell r="N65">
            <v>-209043.74</v>
          </cell>
          <cell r="O65" t="str">
            <v>A</v>
          </cell>
          <cell r="Q65" t="str">
            <v>Bilan</v>
          </cell>
          <cell r="R65" t="str">
            <v>Mobilier</v>
          </cell>
        </row>
        <row r="66">
          <cell r="N66">
            <v>158524.38</v>
          </cell>
          <cell r="O66" t="str">
            <v>A</v>
          </cell>
          <cell r="Q66" t="str">
            <v>Bilan</v>
          </cell>
          <cell r="R66" t="str">
            <v>Équipements Informatique</v>
          </cell>
        </row>
        <row r="67">
          <cell r="N67">
            <v>89508.47</v>
          </cell>
          <cell r="O67" t="str">
            <v>A</v>
          </cell>
          <cell r="Q67" t="str">
            <v>Bilan</v>
          </cell>
          <cell r="R67" t="str">
            <v>Enseigne</v>
          </cell>
        </row>
        <row r="68">
          <cell r="N68">
            <v>-137016.1</v>
          </cell>
          <cell r="O68" t="str">
            <v>A</v>
          </cell>
          <cell r="Q68" t="str">
            <v>Bilan</v>
          </cell>
          <cell r="R68" t="str">
            <v>Équipements Informatique</v>
          </cell>
        </row>
        <row r="69">
          <cell r="N69">
            <v>-89508.47</v>
          </cell>
          <cell r="O69" t="str">
            <v>A</v>
          </cell>
          <cell r="Q69" t="str">
            <v>Bilan</v>
          </cell>
          <cell r="R69" t="str">
            <v>Enseigne</v>
          </cell>
        </row>
        <row r="70">
          <cell r="N70">
            <v>2300000</v>
          </cell>
          <cell r="O70" t="str">
            <v>A</v>
          </cell>
          <cell r="Q70" t="str">
            <v>Bilan</v>
          </cell>
          <cell r="R70" t="str">
            <v>Avances à Recevoir Long Terme</v>
          </cell>
        </row>
        <row r="71">
          <cell r="N71">
            <v>-215845.48</v>
          </cell>
          <cell r="O71" t="str">
            <v>L</v>
          </cell>
          <cell r="Q71" t="str">
            <v>Bilan</v>
          </cell>
          <cell r="R71" t="str">
            <v>Comptes à Payer Fournisseurs</v>
          </cell>
        </row>
        <row r="72">
          <cell r="N72">
            <v>-78500</v>
          </cell>
          <cell r="O72" t="str">
            <v>L</v>
          </cell>
          <cell r="Q72" t="str">
            <v>Bilan</v>
          </cell>
          <cell r="R72" t="str">
            <v>Dépôts de Client</v>
          </cell>
        </row>
        <row r="73">
          <cell r="N73">
            <v>-64600.639999999999</v>
          </cell>
          <cell r="O73" t="str">
            <v>L</v>
          </cell>
          <cell r="Q73" t="str">
            <v>Bilan</v>
          </cell>
          <cell r="R73" t="str">
            <v>Autres Comptes à Payer</v>
          </cell>
        </row>
        <row r="74">
          <cell r="N74">
            <v>109354.84</v>
          </cell>
          <cell r="O74" t="str">
            <v>L</v>
          </cell>
          <cell r="Q74" t="str">
            <v>Bilan</v>
          </cell>
          <cell r="R74" t="str">
            <v>Comptes à Payer Fournisseurs</v>
          </cell>
        </row>
        <row r="75">
          <cell r="N75">
            <v>-32779.800000000003</v>
          </cell>
          <cell r="O75" t="str">
            <v>L</v>
          </cell>
          <cell r="Q75" t="str">
            <v>Bilan</v>
          </cell>
          <cell r="R75" t="str">
            <v>Autres Comptes à Payer</v>
          </cell>
        </row>
        <row r="76">
          <cell r="N76">
            <v>-110.65</v>
          </cell>
          <cell r="O76" t="str">
            <v>L</v>
          </cell>
          <cell r="Q76" t="str">
            <v>Bilan</v>
          </cell>
          <cell r="R76" t="str">
            <v>Autres Comptes à Payer</v>
          </cell>
        </row>
        <row r="77">
          <cell r="N77">
            <v>-2767.51</v>
          </cell>
          <cell r="O77" t="str">
            <v>L</v>
          </cell>
          <cell r="Q77" t="str">
            <v>Bilan</v>
          </cell>
          <cell r="R77" t="str">
            <v>Autres Comptes à Payer</v>
          </cell>
        </row>
        <row r="78">
          <cell r="N78">
            <v>-5760.15</v>
          </cell>
          <cell r="O78" t="str">
            <v>L</v>
          </cell>
          <cell r="Q78" t="str">
            <v>Bilan</v>
          </cell>
          <cell r="R78" t="str">
            <v>Autres Comptes à Payer</v>
          </cell>
        </row>
        <row r="79">
          <cell r="N79">
            <v>-11500</v>
          </cell>
          <cell r="O79" t="str">
            <v>L</v>
          </cell>
          <cell r="Q79" t="str">
            <v>Bilan</v>
          </cell>
          <cell r="R79" t="str">
            <v>Autres Comptes à Payer</v>
          </cell>
        </row>
        <row r="80">
          <cell r="N80">
            <v>-10301519.58</v>
          </cell>
          <cell r="O80" t="str">
            <v>L</v>
          </cell>
          <cell r="Q80" t="str">
            <v>Bilan</v>
          </cell>
          <cell r="R80" t="str">
            <v>Effet à Payer Véhicules Neufs</v>
          </cell>
        </row>
        <row r="81">
          <cell r="N81">
            <v>-660161.5</v>
          </cell>
          <cell r="O81" t="str">
            <v>L</v>
          </cell>
          <cell r="Q81" t="str">
            <v>Bilan</v>
          </cell>
          <cell r="R81" t="str">
            <v>Effet à Payer Véhicules Usagés</v>
          </cell>
        </row>
        <row r="82">
          <cell r="N82">
            <v>0</v>
          </cell>
          <cell r="O82" t="str">
            <v>L</v>
          </cell>
          <cell r="Q82" t="str">
            <v>Bilan</v>
          </cell>
          <cell r="R82" t="str">
            <v>Autres Comptes à Payer</v>
          </cell>
        </row>
        <row r="83">
          <cell r="N83">
            <v>-161905.71</v>
          </cell>
          <cell r="O83" t="str">
            <v>L</v>
          </cell>
          <cell r="Q83" t="str">
            <v>Bilan</v>
          </cell>
          <cell r="R83" t="str">
            <v>Autres Comptes à Payer</v>
          </cell>
        </row>
        <row r="84">
          <cell r="N84">
            <v>-64062.2</v>
          </cell>
          <cell r="O84" t="str">
            <v>L</v>
          </cell>
          <cell r="Q84" t="str">
            <v>Bilan</v>
          </cell>
          <cell r="R84" t="str">
            <v>Salaires à Payer</v>
          </cell>
        </row>
        <row r="85">
          <cell r="N85">
            <v>-8094.73</v>
          </cell>
          <cell r="O85" t="str">
            <v>A</v>
          </cell>
          <cell r="Q85" t="str">
            <v>Bilan</v>
          </cell>
          <cell r="R85" t="str">
            <v>Salaires à Payer</v>
          </cell>
        </row>
        <row r="86">
          <cell r="N86">
            <v>-104237.92</v>
          </cell>
          <cell r="O86" t="str">
            <v>L</v>
          </cell>
          <cell r="Q86" t="str">
            <v>Bilan</v>
          </cell>
          <cell r="R86" t="str">
            <v>DAS à Payer</v>
          </cell>
        </row>
        <row r="87">
          <cell r="N87">
            <v>-18929.03</v>
          </cell>
          <cell r="O87" t="str">
            <v>L</v>
          </cell>
          <cell r="Q87" t="str">
            <v>Bilan</v>
          </cell>
          <cell r="R87" t="str">
            <v>DAS à Payer</v>
          </cell>
        </row>
        <row r="88">
          <cell r="N88">
            <v>-300</v>
          </cell>
          <cell r="O88" t="str">
            <v>L</v>
          </cell>
          <cell r="Q88" t="str">
            <v>Bilan</v>
          </cell>
          <cell r="R88" t="str">
            <v>DAS à Payer</v>
          </cell>
        </row>
        <row r="89">
          <cell r="N89">
            <v>-839.46</v>
          </cell>
          <cell r="O89" t="str">
            <v>L</v>
          </cell>
          <cell r="Q89" t="str">
            <v>Bilan</v>
          </cell>
          <cell r="R89" t="str">
            <v>DAS à Payer</v>
          </cell>
        </row>
        <row r="90">
          <cell r="N90">
            <v>-767.75</v>
          </cell>
          <cell r="O90" t="str">
            <v>L</v>
          </cell>
          <cell r="Q90" t="str">
            <v>Bilan</v>
          </cell>
          <cell r="R90" t="str">
            <v>DAS à Payer</v>
          </cell>
        </row>
        <row r="91">
          <cell r="N91">
            <v>-824.39</v>
          </cell>
          <cell r="O91" t="str">
            <v>L</v>
          </cell>
          <cell r="Q91" t="str">
            <v>Bilan</v>
          </cell>
          <cell r="R91" t="str">
            <v>DAS à Payer</v>
          </cell>
        </row>
        <row r="92">
          <cell r="N92">
            <v>4581.78</v>
          </cell>
          <cell r="O92" t="str">
            <v>L</v>
          </cell>
          <cell r="Q92" t="str">
            <v>Bilan</v>
          </cell>
          <cell r="R92" t="str">
            <v>DAS à Payer</v>
          </cell>
        </row>
        <row r="93">
          <cell r="N93">
            <v>-626.84</v>
          </cell>
          <cell r="O93" t="str">
            <v>L</v>
          </cell>
          <cell r="Q93" t="str">
            <v>Bilan</v>
          </cell>
          <cell r="R93" t="str">
            <v>DAS à Payer</v>
          </cell>
        </row>
        <row r="94">
          <cell r="N94">
            <v>-122912.2</v>
          </cell>
          <cell r="O94" t="str">
            <v>L</v>
          </cell>
          <cell r="Q94" t="str">
            <v>Bilan</v>
          </cell>
          <cell r="R94" t="str">
            <v>Taxes de Vente à Payer</v>
          </cell>
        </row>
        <row r="95">
          <cell r="N95">
            <v>-1221</v>
          </cell>
          <cell r="O95" t="str">
            <v>L</v>
          </cell>
          <cell r="Q95" t="str">
            <v>Bilan</v>
          </cell>
          <cell r="R95" t="str">
            <v>Taxes de Vente à Payer</v>
          </cell>
        </row>
        <row r="96">
          <cell r="N96">
            <v>-544109.87</v>
          </cell>
          <cell r="O96" t="str">
            <v>L</v>
          </cell>
          <cell r="Q96" t="str">
            <v>Bilan</v>
          </cell>
          <cell r="R96" t="str">
            <v>Taxes de Vente à Payer</v>
          </cell>
        </row>
        <row r="97">
          <cell r="N97">
            <v>-1400</v>
          </cell>
          <cell r="O97" t="str">
            <v>L</v>
          </cell>
          <cell r="Q97" t="str">
            <v>Bilan</v>
          </cell>
          <cell r="R97" t="str">
            <v>Autres Courus</v>
          </cell>
        </row>
        <row r="98">
          <cell r="N98">
            <v>-4850</v>
          </cell>
          <cell r="O98" t="str">
            <v>L</v>
          </cell>
          <cell r="Q98" t="str">
            <v>Bilan</v>
          </cell>
          <cell r="R98" t="str">
            <v>Autres Courus</v>
          </cell>
        </row>
        <row r="99">
          <cell r="N99">
            <v>-1440.3</v>
          </cell>
          <cell r="O99" t="str">
            <v>L</v>
          </cell>
          <cell r="Q99" t="str">
            <v>Bilan</v>
          </cell>
          <cell r="R99" t="str">
            <v>Autres Courus</v>
          </cell>
        </row>
        <row r="100">
          <cell r="N100">
            <v>-4602.45</v>
          </cell>
          <cell r="O100" t="str">
            <v>L</v>
          </cell>
          <cell r="Q100" t="str">
            <v>Bilan</v>
          </cell>
          <cell r="R100" t="str">
            <v>Autres Courus</v>
          </cell>
        </row>
        <row r="101">
          <cell r="N101">
            <v>-35919.71</v>
          </cell>
          <cell r="O101" t="str">
            <v>L</v>
          </cell>
          <cell r="Q101" t="str">
            <v>Bilan</v>
          </cell>
          <cell r="R101" t="str">
            <v>Inventaire Véhicules Usagés</v>
          </cell>
        </row>
        <row r="102">
          <cell r="N102">
            <v>-24751.68</v>
          </cell>
          <cell r="O102" t="str">
            <v>L</v>
          </cell>
          <cell r="Q102" t="str">
            <v>Bilan</v>
          </cell>
          <cell r="R102" t="str">
            <v>Inventaire Véhicules Usagés</v>
          </cell>
        </row>
        <row r="103">
          <cell r="N103">
            <v>-56985.59</v>
          </cell>
          <cell r="O103" t="str">
            <v>L</v>
          </cell>
          <cell r="Q103" t="str">
            <v>Bilan</v>
          </cell>
          <cell r="R103" t="str">
            <v>Inventaire Véhicules Neufs</v>
          </cell>
        </row>
        <row r="104">
          <cell r="N104">
            <v>-79792.02</v>
          </cell>
          <cell r="O104" t="str">
            <v>L</v>
          </cell>
          <cell r="Q104" t="str">
            <v>Bilan</v>
          </cell>
          <cell r="R104" t="str">
            <v>Inventaire Véhicules Neufs</v>
          </cell>
        </row>
        <row r="105">
          <cell r="N105">
            <v>-9745.48</v>
          </cell>
          <cell r="O105" t="str">
            <v>L</v>
          </cell>
          <cell r="Q105" t="str">
            <v>Bilan</v>
          </cell>
          <cell r="R105" t="str">
            <v>Inventaire Véhicules Neufs</v>
          </cell>
        </row>
        <row r="106">
          <cell r="N106">
            <v>0</v>
          </cell>
          <cell r="O106" t="str">
            <v>L</v>
          </cell>
          <cell r="Q106" t="str">
            <v>Bilan</v>
          </cell>
          <cell r="R106" t="str">
            <v>Autres Courus</v>
          </cell>
        </row>
        <row r="107">
          <cell r="N107">
            <v>-72149.13</v>
          </cell>
          <cell r="O107" t="str">
            <v>L</v>
          </cell>
          <cell r="Q107" t="str">
            <v>Bilan</v>
          </cell>
          <cell r="R107" t="str">
            <v>Inventaire Véhicules Neufs</v>
          </cell>
        </row>
        <row r="108">
          <cell r="N108">
            <v>-140560.43</v>
          </cell>
          <cell r="O108" t="str">
            <v>L</v>
          </cell>
          <cell r="Q108" t="str">
            <v>Bilan</v>
          </cell>
          <cell r="R108" t="str">
            <v>Inventaire Véhicules Neufs</v>
          </cell>
        </row>
        <row r="109">
          <cell r="N109">
            <v>-17321.939999999999</v>
          </cell>
          <cell r="O109" t="str">
            <v>L</v>
          </cell>
          <cell r="Q109" t="str">
            <v>Bilan</v>
          </cell>
          <cell r="R109" t="str">
            <v>DAS à Payer</v>
          </cell>
        </row>
        <row r="110">
          <cell r="N110">
            <v>-3000000</v>
          </cell>
          <cell r="O110" t="str">
            <v>L</v>
          </cell>
          <cell r="Q110" t="str">
            <v>Bilan</v>
          </cell>
          <cell r="R110" t="str">
            <v>Dette à Long Terme</v>
          </cell>
        </row>
        <row r="111">
          <cell r="N111">
            <v>-34000</v>
          </cell>
          <cell r="O111" t="str">
            <v>L</v>
          </cell>
          <cell r="Q111" t="str">
            <v>Bilan</v>
          </cell>
          <cell r="R111" t="str">
            <v>Impôts Futurs à payer</v>
          </cell>
        </row>
        <row r="112">
          <cell r="N112">
            <v>-100</v>
          </cell>
          <cell r="O112" t="str">
            <v>Q</v>
          </cell>
          <cell r="Q112" t="str">
            <v>Bilan</v>
          </cell>
          <cell r="R112" t="str">
            <v>Capital Actions</v>
          </cell>
        </row>
        <row r="113">
          <cell r="N113">
            <v>-4987296.1100000003</v>
          </cell>
          <cell r="O113" t="str">
            <v>Q</v>
          </cell>
          <cell r="Q113" t="str">
            <v>Bilan</v>
          </cell>
          <cell r="R113" t="str">
            <v>Bénéfices non répartis</v>
          </cell>
        </row>
        <row r="114">
          <cell r="N114">
            <v>-350389</v>
          </cell>
          <cell r="O114" t="str">
            <v>S</v>
          </cell>
          <cell r="Q114" t="str">
            <v>Véhicules neufs</v>
          </cell>
          <cell r="R114" t="str">
            <v>Autos détail</v>
          </cell>
        </row>
        <row r="115">
          <cell r="N115">
            <v>-64763</v>
          </cell>
          <cell r="O115" t="str">
            <v>S</v>
          </cell>
          <cell r="Q115" t="str">
            <v>Véhicules neufs</v>
          </cell>
          <cell r="R115" t="str">
            <v>Camions détail</v>
          </cell>
        </row>
        <row r="116">
          <cell r="N116">
            <v>-104088</v>
          </cell>
          <cell r="O116" t="str">
            <v>S</v>
          </cell>
          <cell r="Q116" t="str">
            <v>Véhicules neufs</v>
          </cell>
          <cell r="R116" t="str">
            <v>Camions détail</v>
          </cell>
        </row>
        <row r="117">
          <cell r="N117">
            <v>-619371.42000000004</v>
          </cell>
          <cell r="O117" t="str">
            <v>S</v>
          </cell>
          <cell r="Q117" t="str">
            <v>Véhicules neufs</v>
          </cell>
          <cell r="R117" t="str">
            <v>Flottes</v>
          </cell>
        </row>
        <row r="118">
          <cell r="N118">
            <v>-385062.64</v>
          </cell>
          <cell r="O118" t="str">
            <v>S</v>
          </cell>
          <cell r="Q118" t="str">
            <v>Véhicules neufs</v>
          </cell>
          <cell r="R118" t="str">
            <v>Ex-démos et courtoisies</v>
          </cell>
        </row>
        <row r="119">
          <cell r="N119">
            <v>-14120</v>
          </cell>
          <cell r="O119" t="str">
            <v>S</v>
          </cell>
          <cell r="Q119" t="str">
            <v>Véhicules neufs</v>
          </cell>
          <cell r="R119" t="str">
            <v>Rev. Protections</v>
          </cell>
        </row>
        <row r="120">
          <cell r="N120">
            <v>-599</v>
          </cell>
          <cell r="O120" t="str">
            <v>S</v>
          </cell>
          <cell r="Q120" t="str">
            <v>Véhicules neufs</v>
          </cell>
          <cell r="R120" t="str">
            <v>Rev. Protections</v>
          </cell>
        </row>
        <row r="121">
          <cell r="N121">
            <v>-2994</v>
          </cell>
          <cell r="O121" t="str">
            <v>S</v>
          </cell>
          <cell r="Q121" t="str">
            <v>Véhicules neufs</v>
          </cell>
          <cell r="R121" t="str">
            <v>Rev. Protections</v>
          </cell>
        </row>
        <row r="122">
          <cell r="N122">
            <v>-1059</v>
          </cell>
          <cell r="O122" t="str">
            <v>S</v>
          </cell>
          <cell r="Q122" t="str">
            <v>Véhicules neufs</v>
          </cell>
          <cell r="R122" t="str">
            <v>Rev. Autres</v>
          </cell>
        </row>
        <row r="123">
          <cell r="N123">
            <v>-1595</v>
          </cell>
          <cell r="O123" t="str">
            <v>S</v>
          </cell>
          <cell r="Q123" t="str">
            <v>Véhicules neufs</v>
          </cell>
          <cell r="R123" t="str">
            <v>Rev. Autres</v>
          </cell>
        </row>
        <row r="124">
          <cell r="N124">
            <v>-305838.2</v>
          </cell>
          <cell r="O124" t="str">
            <v>S</v>
          </cell>
          <cell r="Q124" t="str">
            <v>Véhicules neufs</v>
          </cell>
          <cell r="R124" t="str">
            <v>Camions détail</v>
          </cell>
        </row>
        <row r="125">
          <cell r="N125">
            <v>-106990.06</v>
          </cell>
          <cell r="O125" t="str">
            <v>S</v>
          </cell>
          <cell r="Q125" t="str">
            <v>Véhicules neufs</v>
          </cell>
          <cell r="R125" t="str">
            <v>Camions détail</v>
          </cell>
        </row>
        <row r="126">
          <cell r="N126">
            <v>-104423.35</v>
          </cell>
          <cell r="O126" t="str">
            <v>S</v>
          </cell>
          <cell r="Q126" t="str">
            <v>Véhicules neufs</v>
          </cell>
          <cell r="R126" t="str">
            <v>Camions détail</v>
          </cell>
        </row>
        <row r="127">
          <cell r="N127">
            <v>-81183</v>
          </cell>
          <cell r="O127" t="str">
            <v>S</v>
          </cell>
          <cell r="Q127" t="str">
            <v>Véhicules neufs</v>
          </cell>
          <cell r="R127" t="str">
            <v>Camions détail</v>
          </cell>
        </row>
        <row r="128">
          <cell r="N128">
            <v>-394587.27</v>
          </cell>
          <cell r="O128" t="str">
            <v>S</v>
          </cell>
          <cell r="Q128" t="str">
            <v>Véhicules neufs</v>
          </cell>
          <cell r="R128" t="str">
            <v>Camions détail</v>
          </cell>
        </row>
        <row r="129">
          <cell r="N129">
            <v>-402994</v>
          </cell>
          <cell r="O129" t="str">
            <v>S</v>
          </cell>
          <cell r="Q129" t="str">
            <v>Véhicules neufs</v>
          </cell>
          <cell r="R129" t="str">
            <v>Camions détail</v>
          </cell>
        </row>
        <row r="130">
          <cell r="N130">
            <v>-130723</v>
          </cell>
          <cell r="O130" t="str">
            <v>S</v>
          </cell>
          <cell r="Q130" t="str">
            <v>Véhicules neufs</v>
          </cell>
          <cell r="R130" t="str">
            <v>Camions détail</v>
          </cell>
        </row>
        <row r="131">
          <cell r="N131">
            <v>-120665</v>
          </cell>
          <cell r="O131" t="str">
            <v>S</v>
          </cell>
          <cell r="Q131" t="str">
            <v>Véhicules neufs</v>
          </cell>
          <cell r="R131" t="str">
            <v>Camions détail</v>
          </cell>
        </row>
        <row r="132">
          <cell r="N132">
            <v>-861483.59</v>
          </cell>
          <cell r="O132" t="str">
            <v>S</v>
          </cell>
          <cell r="Q132" t="str">
            <v>Véhicules neufs</v>
          </cell>
          <cell r="R132" t="str">
            <v>Camions détail</v>
          </cell>
        </row>
        <row r="133">
          <cell r="N133">
            <v>-83688</v>
          </cell>
          <cell r="O133" t="str">
            <v>S</v>
          </cell>
          <cell r="Q133" t="str">
            <v>Véhicules neufs</v>
          </cell>
          <cell r="R133" t="str">
            <v>Camions détail</v>
          </cell>
        </row>
        <row r="134">
          <cell r="N134">
            <v>-2171753.7599999998</v>
          </cell>
          <cell r="O134" t="str">
            <v>S</v>
          </cell>
          <cell r="Q134" t="str">
            <v>Véhicules neufs</v>
          </cell>
          <cell r="R134" t="str">
            <v>Flottes</v>
          </cell>
        </row>
        <row r="135">
          <cell r="N135">
            <v>-1742564.65</v>
          </cell>
          <cell r="O135" t="str">
            <v>S</v>
          </cell>
          <cell r="Q135" t="str">
            <v>Véhicules neufs</v>
          </cell>
          <cell r="R135" t="str">
            <v>Ex-démos et courtoisies</v>
          </cell>
        </row>
        <row r="136">
          <cell r="N136">
            <v>-8677</v>
          </cell>
          <cell r="O136" t="str">
            <v>S</v>
          </cell>
          <cell r="Q136" t="str">
            <v>Véhicules neufs</v>
          </cell>
          <cell r="R136" t="str">
            <v>Rev. Protections</v>
          </cell>
        </row>
        <row r="137">
          <cell r="N137">
            <v>-4932</v>
          </cell>
          <cell r="O137" t="str">
            <v>S</v>
          </cell>
          <cell r="Q137" t="str">
            <v>Véhicules neufs</v>
          </cell>
          <cell r="R137" t="str">
            <v>Rev. Protections</v>
          </cell>
        </row>
        <row r="138">
          <cell r="N138">
            <v>-69165</v>
          </cell>
          <cell r="O138" t="str">
            <v>S</v>
          </cell>
          <cell r="Q138" t="str">
            <v>Véhicules neufs</v>
          </cell>
          <cell r="R138" t="str">
            <v>Rev. Protections</v>
          </cell>
        </row>
        <row r="139">
          <cell r="N139">
            <v>-4967.5600000000004</v>
          </cell>
          <cell r="O139" t="str">
            <v>S</v>
          </cell>
          <cell r="Q139" t="str">
            <v>Véhicules neufs</v>
          </cell>
          <cell r="R139" t="str">
            <v>Rev. Protections</v>
          </cell>
        </row>
        <row r="140">
          <cell r="N140">
            <v>-16886.5</v>
          </cell>
          <cell r="O140" t="str">
            <v>S</v>
          </cell>
          <cell r="Q140" t="str">
            <v>Véhicules neufs</v>
          </cell>
          <cell r="R140" t="str">
            <v>Rev. Protections</v>
          </cell>
        </row>
        <row r="141">
          <cell r="N141">
            <v>-2299</v>
          </cell>
          <cell r="O141" t="str">
            <v>S</v>
          </cell>
          <cell r="Q141" t="str">
            <v>Véhicules neufs</v>
          </cell>
          <cell r="R141" t="str">
            <v>Rev. Autres</v>
          </cell>
        </row>
        <row r="142">
          <cell r="N142">
            <v>-7708</v>
          </cell>
          <cell r="O142" t="str">
            <v>S</v>
          </cell>
          <cell r="Q142" t="str">
            <v>Véhicules neufs</v>
          </cell>
          <cell r="R142" t="str">
            <v>Rev. Autres</v>
          </cell>
        </row>
        <row r="143">
          <cell r="N143">
            <v>-78797.64</v>
          </cell>
          <cell r="O143" t="str">
            <v>S</v>
          </cell>
          <cell r="Q143" t="str">
            <v>Véhicules neufs</v>
          </cell>
          <cell r="R143" t="str">
            <v>Camions détail</v>
          </cell>
        </row>
        <row r="144">
          <cell r="N144">
            <v>-186962.23</v>
          </cell>
          <cell r="O144" t="str">
            <v>S</v>
          </cell>
          <cell r="Q144" t="str">
            <v>Véhicules neufs</v>
          </cell>
          <cell r="R144" t="str">
            <v>Camions détail</v>
          </cell>
        </row>
        <row r="145">
          <cell r="N145">
            <v>-580379.56999999995</v>
          </cell>
          <cell r="O145" t="str">
            <v>S</v>
          </cell>
          <cell r="Q145" t="str">
            <v>Véhicules neufs</v>
          </cell>
          <cell r="R145" t="str">
            <v>Camions détail</v>
          </cell>
        </row>
        <row r="146">
          <cell r="N146">
            <v>-255914.2</v>
          </cell>
          <cell r="O146" t="str">
            <v>S</v>
          </cell>
          <cell r="Q146" t="str">
            <v>Véhicules neufs</v>
          </cell>
          <cell r="R146" t="str">
            <v>Camions détail</v>
          </cell>
        </row>
        <row r="147">
          <cell r="N147">
            <v>-1710346.61</v>
          </cell>
          <cell r="O147" t="str">
            <v>S</v>
          </cell>
          <cell r="Q147" t="str">
            <v>Véhicules neufs</v>
          </cell>
          <cell r="R147" t="str">
            <v>Camions détail</v>
          </cell>
        </row>
        <row r="148">
          <cell r="N148">
            <v>-318747</v>
          </cell>
          <cell r="O148" t="str">
            <v>S</v>
          </cell>
          <cell r="Q148" t="str">
            <v>Véhicules neufs</v>
          </cell>
          <cell r="R148" t="str">
            <v>Camions détail</v>
          </cell>
        </row>
        <row r="149">
          <cell r="N149">
            <v>335752.66</v>
          </cell>
          <cell r="O149" t="str">
            <v>C</v>
          </cell>
          <cell r="Q149" t="str">
            <v>Véhicules neufs</v>
          </cell>
          <cell r="R149" t="str">
            <v>Autos détail</v>
          </cell>
        </row>
        <row r="150">
          <cell r="N150">
            <v>61815.82</v>
          </cell>
          <cell r="O150" t="str">
            <v>C</v>
          </cell>
          <cell r="Q150" t="str">
            <v>Véhicules neufs</v>
          </cell>
          <cell r="R150" t="str">
            <v>Camions détail</v>
          </cell>
        </row>
        <row r="151">
          <cell r="N151">
            <v>101156.39</v>
          </cell>
          <cell r="O151" t="str">
            <v>C</v>
          </cell>
          <cell r="Q151" t="str">
            <v>Véhicules neufs</v>
          </cell>
          <cell r="R151" t="str">
            <v>Camions détail</v>
          </cell>
        </row>
        <row r="152">
          <cell r="N152">
            <v>611702.44999999995</v>
          </cell>
          <cell r="O152" t="str">
            <v>C</v>
          </cell>
          <cell r="Q152" t="str">
            <v>Véhicules neufs</v>
          </cell>
          <cell r="R152" t="str">
            <v>Flottes</v>
          </cell>
        </row>
        <row r="153">
          <cell r="N153">
            <v>380553.07</v>
          </cell>
          <cell r="O153" t="str">
            <v>C</v>
          </cell>
          <cell r="Q153" t="str">
            <v>Véhicules neufs</v>
          </cell>
          <cell r="R153" t="str">
            <v>Ex-démos et courtoisies</v>
          </cell>
        </row>
        <row r="154">
          <cell r="N154">
            <v>-1595</v>
          </cell>
          <cell r="O154" t="str">
            <v>C</v>
          </cell>
          <cell r="Q154" t="str">
            <v>Véhicules neufs</v>
          </cell>
          <cell r="R154" t="str">
            <v>Rev. Protections</v>
          </cell>
        </row>
        <row r="155">
          <cell r="N155">
            <v>9682</v>
          </cell>
          <cell r="O155" t="str">
            <v>C</v>
          </cell>
          <cell r="Q155" t="str">
            <v>Véhicules neufs</v>
          </cell>
          <cell r="R155" t="str">
            <v>Rev. Protections</v>
          </cell>
        </row>
        <row r="156">
          <cell r="N156">
            <v>148.06</v>
          </cell>
          <cell r="O156" t="str">
            <v>C</v>
          </cell>
          <cell r="Q156" t="str">
            <v>Véhicules neufs</v>
          </cell>
          <cell r="R156" t="str">
            <v>Rev. Protections</v>
          </cell>
        </row>
        <row r="157">
          <cell r="N157">
            <v>1875</v>
          </cell>
          <cell r="O157" t="str">
            <v>C</v>
          </cell>
          <cell r="Q157" t="str">
            <v>Véhicules neufs</v>
          </cell>
          <cell r="R157" t="str">
            <v>Rev. Protections</v>
          </cell>
        </row>
        <row r="158">
          <cell r="N158">
            <v>635</v>
          </cell>
          <cell r="O158" t="str">
            <v>C</v>
          </cell>
          <cell r="Q158" t="str">
            <v>Véhicules neufs</v>
          </cell>
          <cell r="R158" t="str">
            <v>Rev. Autres</v>
          </cell>
        </row>
        <row r="159">
          <cell r="N159">
            <v>595</v>
          </cell>
          <cell r="O159" t="str">
            <v>C</v>
          </cell>
          <cell r="Q159" t="str">
            <v>Véhicules neufs</v>
          </cell>
          <cell r="R159" t="str">
            <v>Rev. Autres</v>
          </cell>
        </row>
        <row r="160">
          <cell r="N160">
            <v>286603.96000000002</v>
          </cell>
          <cell r="O160" t="str">
            <v>C</v>
          </cell>
          <cell r="Q160" t="str">
            <v>Véhicules neufs</v>
          </cell>
          <cell r="R160" t="str">
            <v>Camions détail</v>
          </cell>
        </row>
        <row r="161">
          <cell r="N161">
            <v>101829.31</v>
          </cell>
          <cell r="O161" t="str">
            <v>C</v>
          </cell>
          <cell r="Q161" t="str">
            <v>Véhicules neufs</v>
          </cell>
          <cell r="R161" t="str">
            <v>Camions détail</v>
          </cell>
        </row>
        <row r="162">
          <cell r="N162">
            <v>103242.97</v>
          </cell>
          <cell r="O162" t="str">
            <v>C</v>
          </cell>
          <cell r="Q162" t="str">
            <v>Véhicules neufs</v>
          </cell>
          <cell r="R162" t="str">
            <v>Camions détail</v>
          </cell>
        </row>
        <row r="163">
          <cell r="N163">
            <v>77659.990000000005</v>
          </cell>
          <cell r="O163" t="str">
            <v>C</v>
          </cell>
          <cell r="Q163" t="str">
            <v>Véhicules neufs</v>
          </cell>
          <cell r="R163" t="str">
            <v>Camions détail</v>
          </cell>
        </row>
        <row r="164">
          <cell r="N164">
            <v>380706.31</v>
          </cell>
          <cell r="O164" t="str">
            <v>C</v>
          </cell>
          <cell r="Q164" t="str">
            <v>Véhicules neufs</v>
          </cell>
          <cell r="R164" t="str">
            <v>Camions détail</v>
          </cell>
        </row>
        <row r="165">
          <cell r="N165">
            <v>376283.96</v>
          </cell>
          <cell r="O165" t="str">
            <v>C</v>
          </cell>
          <cell r="Q165" t="str">
            <v>Véhicules neufs</v>
          </cell>
          <cell r="R165" t="str">
            <v>Camions détail</v>
          </cell>
        </row>
        <row r="166">
          <cell r="N166">
            <v>117873.19</v>
          </cell>
          <cell r="O166" t="str">
            <v>C</v>
          </cell>
          <cell r="Q166" t="str">
            <v>Véhicules neufs</v>
          </cell>
          <cell r="R166" t="str">
            <v>Camions détail</v>
          </cell>
        </row>
        <row r="167">
          <cell r="N167">
            <v>116198.76</v>
          </cell>
          <cell r="O167" t="str">
            <v>C</v>
          </cell>
          <cell r="Q167" t="str">
            <v>Véhicules neufs</v>
          </cell>
          <cell r="R167" t="str">
            <v>Camions détail</v>
          </cell>
        </row>
        <row r="168">
          <cell r="N168">
            <v>816884.95</v>
          </cell>
          <cell r="O168" t="str">
            <v>C</v>
          </cell>
          <cell r="Q168" t="str">
            <v>Véhicules neufs</v>
          </cell>
          <cell r="R168" t="str">
            <v>Camions détail</v>
          </cell>
        </row>
        <row r="169">
          <cell r="N169">
            <v>78198.850000000006</v>
          </cell>
          <cell r="O169" t="str">
            <v>C</v>
          </cell>
          <cell r="Q169" t="str">
            <v>Véhicules neufs</v>
          </cell>
          <cell r="R169" t="str">
            <v>Camions détail</v>
          </cell>
        </row>
        <row r="170">
          <cell r="N170">
            <v>2095514.62</v>
          </cell>
          <cell r="O170" t="str">
            <v>C</v>
          </cell>
          <cell r="Q170" t="str">
            <v>Véhicules neufs</v>
          </cell>
          <cell r="R170" t="str">
            <v>Flottes</v>
          </cell>
        </row>
        <row r="171">
          <cell r="N171">
            <v>1726910.45</v>
          </cell>
          <cell r="O171" t="str">
            <v>C</v>
          </cell>
          <cell r="Q171" t="str">
            <v>Véhicules neufs</v>
          </cell>
          <cell r="R171" t="str">
            <v>Ex-démos et courtoisies</v>
          </cell>
        </row>
        <row r="172">
          <cell r="N172">
            <v>-797.5</v>
          </cell>
          <cell r="O172" t="str">
            <v>C</v>
          </cell>
          <cell r="Q172" t="str">
            <v>Véhicules neufs</v>
          </cell>
          <cell r="R172" t="str">
            <v>Rev. Protections</v>
          </cell>
        </row>
        <row r="173">
          <cell r="N173">
            <v>5677</v>
          </cell>
          <cell r="O173" t="str">
            <v>C</v>
          </cell>
          <cell r="Q173" t="str">
            <v>Véhicules neufs</v>
          </cell>
          <cell r="R173" t="str">
            <v>Rev. Protections</v>
          </cell>
        </row>
        <row r="174">
          <cell r="N174">
            <v>2326</v>
          </cell>
          <cell r="O174" t="str">
            <v>C</v>
          </cell>
          <cell r="Q174" t="str">
            <v>Véhicules neufs</v>
          </cell>
          <cell r="R174" t="str">
            <v>Rev. Protections</v>
          </cell>
        </row>
        <row r="175">
          <cell r="N175">
            <v>33528</v>
          </cell>
          <cell r="O175" t="str">
            <v>C</v>
          </cell>
          <cell r="Q175" t="str">
            <v>Véhicules neufs</v>
          </cell>
          <cell r="R175" t="str">
            <v>Rev. Protections</v>
          </cell>
        </row>
        <row r="176">
          <cell r="N176">
            <v>1368.61</v>
          </cell>
          <cell r="O176" t="str">
            <v>C</v>
          </cell>
          <cell r="Q176" t="str">
            <v>Véhicules neufs</v>
          </cell>
          <cell r="R176" t="str">
            <v>Rev. Protections</v>
          </cell>
        </row>
        <row r="177">
          <cell r="N177">
            <v>9974.5</v>
          </cell>
          <cell r="O177" t="str">
            <v>C</v>
          </cell>
          <cell r="Q177" t="str">
            <v>Véhicules neufs</v>
          </cell>
          <cell r="R177" t="str">
            <v>Rev. Protections</v>
          </cell>
        </row>
        <row r="178">
          <cell r="N178">
            <v>1445</v>
          </cell>
          <cell r="O178" t="str">
            <v>C</v>
          </cell>
          <cell r="Q178" t="str">
            <v>Véhicules neufs</v>
          </cell>
          <cell r="R178" t="str">
            <v>Rev. Autres</v>
          </cell>
        </row>
        <row r="179">
          <cell r="N179">
            <v>2790</v>
          </cell>
          <cell r="O179" t="str">
            <v>C</v>
          </cell>
          <cell r="Q179" t="str">
            <v>Véhicules neufs</v>
          </cell>
          <cell r="R179" t="str">
            <v>Rev. Autres</v>
          </cell>
        </row>
        <row r="180">
          <cell r="N180">
            <v>74398.94</v>
          </cell>
          <cell r="O180" t="str">
            <v>C</v>
          </cell>
          <cell r="Q180" t="str">
            <v>Véhicules neufs</v>
          </cell>
          <cell r="R180" t="str">
            <v>Camions détail</v>
          </cell>
        </row>
        <row r="181">
          <cell r="N181">
            <v>178852.58</v>
          </cell>
          <cell r="O181" t="str">
            <v>C</v>
          </cell>
          <cell r="Q181" t="str">
            <v>Véhicules neufs</v>
          </cell>
          <cell r="R181" t="str">
            <v>Camions détail</v>
          </cell>
        </row>
        <row r="182">
          <cell r="N182">
            <v>543976.87</v>
          </cell>
          <cell r="O182" t="str">
            <v>C</v>
          </cell>
          <cell r="Q182" t="str">
            <v>Véhicules neufs</v>
          </cell>
          <cell r="R182" t="str">
            <v>Camions détail</v>
          </cell>
        </row>
        <row r="183">
          <cell r="N183">
            <v>244068.42</v>
          </cell>
          <cell r="O183" t="str">
            <v>C</v>
          </cell>
          <cell r="Q183" t="str">
            <v>Véhicules neufs</v>
          </cell>
          <cell r="R183" t="str">
            <v>Camions détail</v>
          </cell>
        </row>
        <row r="184">
          <cell r="N184">
            <v>1618436.14</v>
          </cell>
          <cell r="O184" t="str">
            <v>C</v>
          </cell>
          <cell r="Q184" t="str">
            <v>Véhicules neufs</v>
          </cell>
          <cell r="R184" t="str">
            <v>Camions détail</v>
          </cell>
        </row>
        <row r="185">
          <cell r="N185">
            <v>306528.01</v>
          </cell>
          <cell r="O185" t="str">
            <v>C</v>
          </cell>
          <cell r="Q185" t="str">
            <v>Véhicules neufs</v>
          </cell>
          <cell r="R185" t="str">
            <v>Camions détail</v>
          </cell>
        </row>
        <row r="186">
          <cell r="N186">
            <v>-40689.279999999999</v>
          </cell>
          <cell r="O186" t="str">
            <v>S</v>
          </cell>
          <cell r="Q186" t="str">
            <v>Service</v>
          </cell>
          <cell r="R186" t="str">
            <v>M/O Client</v>
          </cell>
        </row>
        <row r="187">
          <cell r="N187">
            <v>-51212.03</v>
          </cell>
          <cell r="O187" t="str">
            <v>S</v>
          </cell>
          <cell r="Q187" t="str">
            <v>Service</v>
          </cell>
          <cell r="R187" t="str">
            <v>M/O Garantie</v>
          </cell>
        </row>
        <row r="188">
          <cell r="N188">
            <v>-22952.68</v>
          </cell>
          <cell r="O188" t="str">
            <v>S</v>
          </cell>
          <cell r="Q188" t="str">
            <v>Service</v>
          </cell>
          <cell r="R188" t="str">
            <v>M/O Interne</v>
          </cell>
        </row>
        <row r="189">
          <cell r="N189">
            <v>-11367.59</v>
          </cell>
          <cell r="O189" t="str">
            <v>S</v>
          </cell>
          <cell r="Q189" t="str">
            <v>Service</v>
          </cell>
          <cell r="R189" t="str">
            <v>Sous-traitement</v>
          </cell>
        </row>
        <row r="190">
          <cell r="N190">
            <v>-4868.45</v>
          </cell>
          <cell r="O190" t="str">
            <v>S</v>
          </cell>
          <cell r="Q190" t="str">
            <v>Service</v>
          </cell>
          <cell r="R190" t="str">
            <v>Sous-traitement</v>
          </cell>
        </row>
        <row r="191">
          <cell r="N191">
            <v>-1568.49</v>
          </cell>
          <cell r="O191" t="str">
            <v>S</v>
          </cell>
          <cell r="Q191" t="str">
            <v>Service</v>
          </cell>
          <cell r="R191" t="str">
            <v>M/O Esthétique</v>
          </cell>
        </row>
        <row r="192">
          <cell r="N192">
            <v>-135538.96</v>
          </cell>
          <cell r="O192" t="str">
            <v>S</v>
          </cell>
          <cell r="Q192" t="str">
            <v>Service</v>
          </cell>
          <cell r="R192" t="str">
            <v>M/O Client</v>
          </cell>
        </row>
        <row r="193">
          <cell r="N193">
            <v>-78014.710000000006</v>
          </cell>
          <cell r="O193" t="str">
            <v>S</v>
          </cell>
          <cell r="Q193" t="str">
            <v>Service</v>
          </cell>
          <cell r="R193" t="str">
            <v>M/O Garantie</v>
          </cell>
        </row>
        <row r="194">
          <cell r="N194">
            <v>-86516.26</v>
          </cell>
          <cell r="O194" t="str">
            <v>S</v>
          </cell>
          <cell r="Q194" t="str">
            <v>Service</v>
          </cell>
          <cell r="R194" t="str">
            <v>M/O Interne</v>
          </cell>
        </row>
        <row r="195">
          <cell r="N195">
            <v>-32446.49</v>
          </cell>
          <cell r="O195" t="str">
            <v>S</v>
          </cell>
          <cell r="Q195" t="str">
            <v>Service</v>
          </cell>
          <cell r="R195" t="str">
            <v>Sous-traitement</v>
          </cell>
        </row>
        <row r="196">
          <cell r="N196">
            <v>-89.95</v>
          </cell>
          <cell r="O196" t="str">
            <v>S</v>
          </cell>
          <cell r="Q196" t="str">
            <v>Service</v>
          </cell>
          <cell r="R196" t="str">
            <v>Sous-traitement</v>
          </cell>
        </row>
        <row r="197">
          <cell r="N197">
            <v>-12948.84</v>
          </cell>
          <cell r="O197" t="str">
            <v>S</v>
          </cell>
          <cell r="Q197" t="str">
            <v>Service</v>
          </cell>
          <cell r="R197" t="str">
            <v>M/O Esthétique</v>
          </cell>
        </row>
        <row r="198">
          <cell r="N198">
            <v>-30266.51</v>
          </cell>
          <cell r="O198" t="str">
            <v>S</v>
          </cell>
          <cell r="Q198" t="str">
            <v>Pièces</v>
          </cell>
          <cell r="R198" t="str">
            <v>Pièces Ro Clients</v>
          </cell>
        </row>
        <row r="199">
          <cell r="N199">
            <v>-1530.32</v>
          </cell>
          <cell r="O199" t="str">
            <v>S</v>
          </cell>
          <cell r="Q199" t="str">
            <v>Pièces</v>
          </cell>
          <cell r="R199" t="str">
            <v>Pièces Ro Carrosserie</v>
          </cell>
        </row>
        <row r="200">
          <cell r="N200">
            <v>-131254.85999999999</v>
          </cell>
          <cell r="O200" t="str">
            <v>S</v>
          </cell>
          <cell r="Q200" t="str">
            <v>Pièces</v>
          </cell>
          <cell r="R200" t="str">
            <v>P/A Garantie</v>
          </cell>
        </row>
        <row r="201">
          <cell r="N201">
            <v>-33155.1</v>
          </cell>
          <cell r="O201" t="str">
            <v>S</v>
          </cell>
          <cell r="Q201" t="str">
            <v>Pièces</v>
          </cell>
          <cell r="R201" t="str">
            <v>Ventes Internes</v>
          </cell>
        </row>
        <row r="202">
          <cell r="N202">
            <v>-7553.25</v>
          </cell>
          <cell r="O202" t="str">
            <v>S</v>
          </cell>
          <cell r="Q202" t="str">
            <v>Pièces</v>
          </cell>
          <cell r="R202" t="str">
            <v>Ventes Détails</v>
          </cell>
        </row>
        <row r="203">
          <cell r="N203">
            <v>-57068.57</v>
          </cell>
          <cell r="O203" t="str">
            <v>S</v>
          </cell>
          <cell r="Q203" t="str">
            <v>Pièces</v>
          </cell>
          <cell r="R203" t="str">
            <v>Ventes de Gros</v>
          </cell>
        </row>
        <row r="204">
          <cell r="N204">
            <v>-140925.5</v>
          </cell>
          <cell r="O204" t="str">
            <v>S</v>
          </cell>
          <cell r="Q204" t="str">
            <v>Pièces</v>
          </cell>
          <cell r="R204" t="str">
            <v>Pièces Ro Clients</v>
          </cell>
        </row>
        <row r="205">
          <cell r="N205">
            <v>-9085.59</v>
          </cell>
          <cell r="O205" t="str">
            <v>S</v>
          </cell>
          <cell r="Q205" t="str">
            <v>Pièces</v>
          </cell>
          <cell r="R205" t="str">
            <v>Pièces Ro Carrosserie</v>
          </cell>
        </row>
        <row r="206">
          <cell r="N206">
            <v>-155295.75</v>
          </cell>
          <cell r="O206" t="str">
            <v>S</v>
          </cell>
          <cell r="Q206" t="str">
            <v>Pièces</v>
          </cell>
          <cell r="R206" t="str">
            <v>P/A Garantie</v>
          </cell>
        </row>
        <row r="207">
          <cell r="N207">
            <v>-58091.23</v>
          </cell>
          <cell r="O207" t="str">
            <v>S</v>
          </cell>
          <cell r="Q207" t="str">
            <v>Pièces</v>
          </cell>
          <cell r="R207" t="str">
            <v>Ventes Internes</v>
          </cell>
        </row>
        <row r="208">
          <cell r="N208">
            <v>-30179.07</v>
          </cell>
          <cell r="O208" t="str">
            <v>S</v>
          </cell>
          <cell r="Q208" t="str">
            <v>Pièces</v>
          </cell>
          <cell r="R208" t="str">
            <v>Ventes Détails</v>
          </cell>
        </row>
        <row r="209">
          <cell r="N209">
            <v>-219788.91</v>
          </cell>
          <cell r="O209" t="str">
            <v>S</v>
          </cell>
          <cell r="Q209" t="str">
            <v>Pièces</v>
          </cell>
          <cell r="R209" t="str">
            <v>Ventes de Gros</v>
          </cell>
        </row>
        <row r="210">
          <cell r="N210">
            <v>-109.61</v>
          </cell>
          <cell r="O210" t="str">
            <v>S</v>
          </cell>
          <cell r="Q210" t="str">
            <v>Pièces</v>
          </cell>
          <cell r="R210" t="str">
            <v>Ventes Internes</v>
          </cell>
        </row>
        <row r="211">
          <cell r="N211">
            <v>-16818.04</v>
          </cell>
          <cell r="O211" t="str">
            <v>S</v>
          </cell>
          <cell r="Q211" t="str">
            <v>Pièces</v>
          </cell>
          <cell r="R211" t="str">
            <v>Huiles et Graisse</v>
          </cell>
        </row>
        <row r="212">
          <cell r="N212">
            <v>-10684.97</v>
          </cell>
          <cell r="O212" t="str">
            <v>S</v>
          </cell>
          <cell r="Q212" t="str">
            <v>Pièces</v>
          </cell>
          <cell r="R212" t="str">
            <v>Ventes Pneus</v>
          </cell>
        </row>
        <row r="213">
          <cell r="N213">
            <v>-1523.71</v>
          </cell>
          <cell r="O213" t="str">
            <v>S</v>
          </cell>
          <cell r="Q213" t="str">
            <v>Pièces</v>
          </cell>
          <cell r="R213" t="str">
            <v>Huiles et Graisse</v>
          </cell>
        </row>
        <row r="214">
          <cell r="N214">
            <v>-63488.79</v>
          </cell>
          <cell r="O214" t="str">
            <v>S</v>
          </cell>
          <cell r="Q214" t="str">
            <v>Pièces</v>
          </cell>
          <cell r="R214" t="str">
            <v>Ventes Pneus</v>
          </cell>
        </row>
        <row r="215">
          <cell r="N215">
            <v>-3144.55</v>
          </cell>
          <cell r="O215" t="str">
            <v>S</v>
          </cell>
          <cell r="Q215" t="str">
            <v>Pièces</v>
          </cell>
          <cell r="R215" t="str">
            <v>Pièces Ro Clients</v>
          </cell>
        </row>
        <row r="216">
          <cell r="N216">
            <v>-3152.42</v>
          </cell>
          <cell r="O216" t="str">
            <v>S</v>
          </cell>
          <cell r="Q216" t="str">
            <v>Carrosserie</v>
          </cell>
          <cell r="R216" t="str">
            <v>M/O Sous-traitement</v>
          </cell>
        </row>
        <row r="217">
          <cell r="N217">
            <v>-7603.49</v>
          </cell>
          <cell r="O217" t="str">
            <v>S</v>
          </cell>
          <cell r="Q217" t="str">
            <v>Carrosserie</v>
          </cell>
          <cell r="R217" t="str">
            <v>M/O Sous-traitement</v>
          </cell>
        </row>
        <row r="218">
          <cell r="N218">
            <v>13450.93</v>
          </cell>
          <cell r="O218" t="str">
            <v>C</v>
          </cell>
          <cell r="Q218" t="str">
            <v>Service</v>
          </cell>
          <cell r="R218" t="str">
            <v>M/O Client</v>
          </cell>
        </row>
        <row r="219">
          <cell r="N219">
            <v>19649.25</v>
          </cell>
          <cell r="O219" t="str">
            <v>C</v>
          </cell>
          <cell r="Q219" t="str">
            <v>Service</v>
          </cell>
          <cell r="R219" t="str">
            <v>M/O Garantie</v>
          </cell>
        </row>
        <row r="220">
          <cell r="N220">
            <v>8599.2900000000009</v>
          </cell>
          <cell r="O220" t="str">
            <v>C</v>
          </cell>
          <cell r="Q220" t="str">
            <v>Service</v>
          </cell>
          <cell r="R220" t="str">
            <v>M/O Interne</v>
          </cell>
        </row>
        <row r="221">
          <cell r="N221">
            <v>9684.44</v>
          </cell>
          <cell r="O221" t="str">
            <v>C</v>
          </cell>
          <cell r="Q221" t="str">
            <v>Service</v>
          </cell>
          <cell r="R221" t="str">
            <v>Sous-traitement</v>
          </cell>
        </row>
        <row r="222">
          <cell r="N222">
            <v>3320</v>
          </cell>
          <cell r="O222" t="str">
            <v>C</v>
          </cell>
          <cell r="Q222" t="str">
            <v>Service</v>
          </cell>
          <cell r="R222" t="str">
            <v>Sous-traitement</v>
          </cell>
        </row>
        <row r="223">
          <cell r="N223">
            <v>505.86</v>
          </cell>
          <cell r="O223" t="str">
            <v>C</v>
          </cell>
          <cell r="Q223" t="str">
            <v>Service</v>
          </cell>
          <cell r="R223" t="str">
            <v>M/O Esthétique</v>
          </cell>
        </row>
        <row r="224">
          <cell r="N224">
            <v>27723.62</v>
          </cell>
          <cell r="O224" t="str">
            <v>C</v>
          </cell>
          <cell r="Q224" t="str">
            <v>Service</v>
          </cell>
          <cell r="R224" t="str">
            <v>M/O Client</v>
          </cell>
        </row>
        <row r="225">
          <cell r="N225">
            <v>38329.51</v>
          </cell>
          <cell r="O225" t="str">
            <v>C</v>
          </cell>
          <cell r="Q225" t="str">
            <v>Service</v>
          </cell>
          <cell r="R225" t="str">
            <v>M/O Garantie</v>
          </cell>
        </row>
        <row r="226">
          <cell r="N226">
            <v>22762.82</v>
          </cell>
          <cell r="O226" t="str">
            <v>C</v>
          </cell>
          <cell r="Q226" t="str">
            <v>Service</v>
          </cell>
          <cell r="R226" t="str">
            <v>M/O Interne</v>
          </cell>
        </row>
        <row r="227">
          <cell r="N227">
            <v>26112.34</v>
          </cell>
          <cell r="O227" t="str">
            <v>C</v>
          </cell>
          <cell r="Q227" t="str">
            <v>Service</v>
          </cell>
          <cell r="R227" t="str">
            <v>Sous-traitement</v>
          </cell>
        </row>
        <row r="228">
          <cell r="N228">
            <v>40</v>
          </cell>
          <cell r="O228" t="str">
            <v>C</v>
          </cell>
          <cell r="Q228" t="str">
            <v>Service</v>
          </cell>
          <cell r="R228" t="str">
            <v>Sous-traitement</v>
          </cell>
        </row>
        <row r="229">
          <cell r="N229">
            <v>3212.2</v>
          </cell>
          <cell r="O229" t="str">
            <v>C</v>
          </cell>
          <cell r="Q229" t="str">
            <v>Service</v>
          </cell>
          <cell r="R229" t="str">
            <v>M/O Esthétique</v>
          </cell>
        </row>
        <row r="230">
          <cell r="N230">
            <v>2674.57</v>
          </cell>
          <cell r="O230" t="str">
            <v>C</v>
          </cell>
          <cell r="Q230" t="str">
            <v>Service</v>
          </cell>
          <cell r="R230" t="str">
            <v>Ajustement M/O</v>
          </cell>
        </row>
        <row r="231">
          <cell r="N231">
            <v>8023.71</v>
          </cell>
          <cell r="O231" t="str">
            <v>C</v>
          </cell>
          <cell r="Q231" t="str">
            <v>Service</v>
          </cell>
          <cell r="R231" t="str">
            <v>Ajustement M/O</v>
          </cell>
        </row>
        <row r="232">
          <cell r="N232">
            <v>17730.099999999999</v>
          </cell>
          <cell r="O232" t="str">
            <v>C</v>
          </cell>
          <cell r="Q232" t="str">
            <v>Pièces</v>
          </cell>
          <cell r="R232" t="str">
            <v>Pièces Ro Clients</v>
          </cell>
        </row>
        <row r="233">
          <cell r="N233">
            <v>1130.9000000000001</v>
          </cell>
          <cell r="O233" t="str">
            <v>C</v>
          </cell>
          <cell r="Q233" t="str">
            <v>Pièces</v>
          </cell>
          <cell r="R233" t="str">
            <v>Pièces Ro Carrosserie</v>
          </cell>
        </row>
        <row r="234">
          <cell r="N234">
            <v>94445.29</v>
          </cell>
          <cell r="O234" t="str">
            <v>C</v>
          </cell>
          <cell r="Q234" t="str">
            <v>Pièces</v>
          </cell>
          <cell r="R234" t="str">
            <v>P/A Garantie</v>
          </cell>
        </row>
        <row r="235">
          <cell r="N235">
            <v>23678.97</v>
          </cell>
          <cell r="O235" t="str">
            <v>C</v>
          </cell>
          <cell r="Q235" t="str">
            <v>Pièces</v>
          </cell>
          <cell r="R235" t="str">
            <v>Ventes Internes</v>
          </cell>
        </row>
        <row r="236">
          <cell r="N236">
            <v>5895.68</v>
          </cell>
          <cell r="O236" t="str">
            <v>C</v>
          </cell>
          <cell r="Q236" t="str">
            <v>Pièces</v>
          </cell>
          <cell r="R236" t="str">
            <v>Ventes Détails</v>
          </cell>
        </row>
        <row r="237">
          <cell r="N237">
            <v>42807.33</v>
          </cell>
          <cell r="O237" t="str">
            <v>C</v>
          </cell>
          <cell r="Q237" t="str">
            <v>Pièces</v>
          </cell>
          <cell r="R237" t="str">
            <v>Ventes de Gros</v>
          </cell>
        </row>
        <row r="238">
          <cell r="N238">
            <v>90338.98</v>
          </cell>
          <cell r="O238" t="str">
            <v>C</v>
          </cell>
          <cell r="Q238" t="str">
            <v>Pièces</v>
          </cell>
          <cell r="R238" t="str">
            <v>Pièces Ro Clients</v>
          </cell>
        </row>
        <row r="239">
          <cell r="N239">
            <v>6373.57</v>
          </cell>
          <cell r="O239" t="str">
            <v>C</v>
          </cell>
          <cell r="Q239" t="str">
            <v>Pièces</v>
          </cell>
          <cell r="R239" t="str">
            <v>Pièces Ro Carrosserie</v>
          </cell>
        </row>
        <row r="240">
          <cell r="N240">
            <v>112450.98</v>
          </cell>
          <cell r="O240" t="str">
            <v>C</v>
          </cell>
          <cell r="Q240" t="str">
            <v>Pièces</v>
          </cell>
          <cell r="R240" t="str">
            <v>P/A Garantie</v>
          </cell>
        </row>
        <row r="241">
          <cell r="N241">
            <v>37177.75</v>
          </cell>
          <cell r="O241" t="str">
            <v>C</v>
          </cell>
          <cell r="Q241" t="str">
            <v>Pièces</v>
          </cell>
          <cell r="R241" t="str">
            <v>Ventes Internes</v>
          </cell>
        </row>
        <row r="242">
          <cell r="N242">
            <v>20173.79</v>
          </cell>
          <cell r="O242" t="str">
            <v>C</v>
          </cell>
          <cell r="Q242" t="str">
            <v>Pièces</v>
          </cell>
          <cell r="R242" t="str">
            <v>Ventes Détails</v>
          </cell>
        </row>
        <row r="243">
          <cell r="N243">
            <v>162686.81</v>
          </cell>
          <cell r="O243" t="str">
            <v>C</v>
          </cell>
          <cell r="Q243" t="str">
            <v>Pièces</v>
          </cell>
          <cell r="R243" t="str">
            <v>Ventes de Gros</v>
          </cell>
        </row>
        <row r="244">
          <cell r="N244">
            <v>53.35</v>
          </cell>
          <cell r="O244" t="str">
            <v>C</v>
          </cell>
          <cell r="Q244" t="str">
            <v>Pièces</v>
          </cell>
          <cell r="R244" t="str">
            <v>Ventes Internes</v>
          </cell>
        </row>
        <row r="245">
          <cell r="N245">
            <v>11504.84</v>
          </cell>
          <cell r="O245" t="str">
            <v>C</v>
          </cell>
          <cell r="Q245" t="str">
            <v>Pièces</v>
          </cell>
          <cell r="R245" t="str">
            <v>Huiles et Graisse</v>
          </cell>
        </row>
        <row r="246">
          <cell r="N246">
            <v>12208.96</v>
          </cell>
          <cell r="O246" t="str">
            <v>C</v>
          </cell>
          <cell r="Q246" t="str">
            <v>Pièces</v>
          </cell>
          <cell r="R246" t="str">
            <v>Ventes Pneus</v>
          </cell>
        </row>
        <row r="247">
          <cell r="N247">
            <v>55362.57</v>
          </cell>
          <cell r="O247" t="str">
            <v>C</v>
          </cell>
          <cell r="Q247" t="str">
            <v>Pièces</v>
          </cell>
          <cell r="R247" t="str">
            <v>Ventes Pneus</v>
          </cell>
        </row>
        <row r="248">
          <cell r="N248">
            <v>1492.45</v>
          </cell>
          <cell r="O248" t="str">
            <v>C</v>
          </cell>
          <cell r="Q248" t="str">
            <v>Pièces</v>
          </cell>
          <cell r="R248" t="str">
            <v>Escomptes</v>
          </cell>
        </row>
        <row r="249">
          <cell r="N249">
            <v>9912.07</v>
          </cell>
          <cell r="O249" t="str">
            <v>C</v>
          </cell>
          <cell r="Q249" t="str">
            <v>Pièces</v>
          </cell>
          <cell r="R249" t="str">
            <v>Escomptes</v>
          </cell>
        </row>
        <row r="250">
          <cell r="N250">
            <v>2524.19</v>
          </cell>
          <cell r="O250" t="str">
            <v>C</v>
          </cell>
          <cell r="Q250" t="str">
            <v>Carrosserie</v>
          </cell>
          <cell r="R250" t="str">
            <v>M/O Sous-traitement</v>
          </cell>
        </row>
        <row r="251">
          <cell r="N251">
            <v>8007.9</v>
          </cell>
          <cell r="O251" t="str">
            <v>C</v>
          </cell>
          <cell r="Q251" t="str">
            <v>Carrosserie</v>
          </cell>
          <cell r="R251" t="str">
            <v>M/O Sous-traitement</v>
          </cell>
        </row>
        <row r="252">
          <cell r="N252">
            <v>-41844</v>
          </cell>
          <cell r="O252" t="str">
            <v>S</v>
          </cell>
          <cell r="Q252" t="str">
            <v>Véhicules usagés</v>
          </cell>
          <cell r="R252" t="str">
            <v>Certifié</v>
          </cell>
        </row>
        <row r="253">
          <cell r="N253">
            <v>-94792</v>
          </cell>
          <cell r="O253" t="str">
            <v>S</v>
          </cell>
          <cell r="Q253" t="str">
            <v>Véhicules usagés</v>
          </cell>
          <cell r="R253" t="str">
            <v>Certifié</v>
          </cell>
        </row>
        <row r="254">
          <cell r="N254">
            <v>-99</v>
          </cell>
          <cell r="O254" t="str">
            <v>S</v>
          </cell>
          <cell r="Q254" t="str">
            <v>Véhicules usagés</v>
          </cell>
          <cell r="R254" t="str">
            <v>Rev. Protections</v>
          </cell>
        </row>
        <row r="255">
          <cell r="N255">
            <v>0</v>
          </cell>
          <cell r="O255" t="str">
            <v>S</v>
          </cell>
          <cell r="Q255" t="str">
            <v>Véhicules usagés</v>
          </cell>
          <cell r="R255" t="str">
            <v>Non Certifié</v>
          </cell>
        </row>
        <row r="256">
          <cell r="N256">
            <v>-70149</v>
          </cell>
          <cell r="O256" t="str">
            <v>S</v>
          </cell>
          <cell r="Q256" t="str">
            <v>Véhicules usagés</v>
          </cell>
          <cell r="R256" t="str">
            <v>Non Certifié</v>
          </cell>
        </row>
        <row r="257">
          <cell r="N257">
            <v>0</v>
          </cell>
          <cell r="O257" t="str">
            <v>S</v>
          </cell>
          <cell r="Q257" t="str">
            <v>Véhicules usagés</v>
          </cell>
          <cell r="R257" t="str">
            <v>Non Certifié</v>
          </cell>
        </row>
        <row r="258">
          <cell r="N258">
            <v>-8500</v>
          </cell>
          <cell r="O258" t="str">
            <v>S</v>
          </cell>
          <cell r="Q258" t="str">
            <v>Véhicules usagés</v>
          </cell>
          <cell r="R258" t="str">
            <v>Rev. Protections</v>
          </cell>
        </row>
        <row r="259">
          <cell r="N259">
            <v>-302012.39</v>
          </cell>
          <cell r="O259" t="str">
            <v>S</v>
          </cell>
          <cell r="Q259" t="str">
            <v>Véhicules neufs</v>
          </cell>
          <cell r="R259" t="str">
            <v>Rachat bail</v>
          </cell>
        </row>
        <row r="260">
          <cell r="N260">
            <v>-39077</v>
          </cell>
          <cell r="O260" t="str">
            <v>S</v>
          </cell>
          <cell r="Q260" t="str">
            <v>Véhicules usagés</v>
          </cell>
          <cell r="R260" t="str">
            <v>Certifié</v>
          </cell>
        </row>
        <row r="261">
          <cell r="N261">
            <v>-105989.5</v>
          </cell>
          <cell r="O261" t="str">
            <v>S</v>
          </cell>
          <cell r="Q261" t="str">
            <v>Véhicules usagés</v>
          </cell>
          <cell r="R261" t="str">
            <v>Certifié</v>
          </cell>
        </row>
        <row r="262">
          <cell r="N262">
            <v>-1247</v>
          </cell>
          <cell r="O262" t="str">
            <v>S</v>
          </cell>
          <cell r="Q262" t="str">
            <v>Véhicules usagés</v>
          </cell>
          <cell r="R262" t="str">
            <v>Rev. Protections</v>
          </cell>
        </row>
        <row r="263">
          <cell r="N263">
            <v>-1054.5</v>
          </cell>
          <cell r="O263" t="str">
            <v>S</v>
          </cell>
          <cell r="Q263" t="str">
            <v>Véhicules usagés</v>
          </cell>
          <cell r="R263" t="str">
            <v>Rev. Protections</v>
          </cell>
        </row>
        <row r="264">
          <cell r="N264">
            <v>-312.5</v>
          </cell>
          <cell r="O264" t="str">
            <v>S</v>
          </cell>
          <cell r="Q264" t="str">
            <v>Véhicules usagés</v>
          </cell>
          <cell r="R264" t="str">
            <v>Rev. Protections</v>
          </cell>
        </row>
        <row r="265">
          <cell r="N265">
            <v>-299</v>
          </cell>
          <cell r="O265" t="str">
            <v>S</v>
          </cell>
          <cell r="Q265" t="str">
            <v>Véhicules usagés</v>
          </cell>
          <cell r="R265" t="str">
            <v>Rev. Autres</v>
          </cell>
        </row>
        <row r="266">
          <cell r="N266">
            <v>-84594</v>
          </cell>
          <cell r="O266" t="str">
            <v>S</v>
          </cell>
          <cell r="Q266" t="str">
            <v>Véhicules usagés</v>
          </cell>
          <cell r="R266" t="str">
            <v>Non Certifié</v>
          </cell>
        </row>
        <row r="267">
          <cell r="N267">
            <v>-61264</v>
          </cell>
          <cell r="O267" t="str">
            <v>S</v>
          </cell>
          <cell r="Q267" t="str">
            <v>Véhicules usagés</v>
          </cell>
          <cell r="R267" t="str">
            <v>Non Certifié</v>
          </cell>
        </row>
        <row r="268">
          <cell r="N268">
            <v>-35797</v>
          </cell>
          <cell r="O268" t="str">
            <v>S</v>
          </cell>
          <cell r="Q268" t="str">
            <v>Véhicules usagés</v>
          </cell>
          <cell r="R268" t="str">
            <v>Rev. Protections</v>
          </cell>
        </row>
        <row r="269">
          <cell r="N269">
            <v>-817429.05</v>
          </cell>
          <cell r="O269" t="str">
            <v>S</v>
          </cell>
          <cell r="Q269" t="str">
            <v>Véhicules neufs</v>
          </cell>
          <cell r="R269" t="str">
            <v>Rachat bail</v>
          </cell>
        </row>
        <row r="270">
          <cell r="N270">
            <v>-47495</v>
          </cell>
          <cell r="O270" t="str">
            <v>S</v>
          </cell>
          <cell r="Q270" t="str">
            <v>Véhicules usagés</v>
          </cell>
          <cell r="R270" t="str">
            <v>Non Certifié</v>
          </cell>
        </row>
        <row r="271">
          <cell r="N271">
            <v>-2452</v>
          </cell>
          <cell r="O271" t="str">
            <v>S</v>
          </cell>
          <cell r="Q271" t="str">
            <v>Véhicules usagés</v>
          </cell>
          <cell r="R271" t="str">
            <v>Rev. Finances</v>
          </cell>
        </row>
        <row r="272">
          <cell r="N272">
            <v>-3125</v>
          </cell>
          <cell r="O272" t="str">
            <v>S</v>
          </cell>
          <cell r="Q272" t="str">
            <v>Véhicules usagés</v>
          </cell>
          <cell r="R272" t="str">
            <v>Rev. Protections</v>
          </cell>
        </row>
        <row r="273">
          <cell r="N273">
            <v>-495</v>
          </cell>
          <cell r="O273" t="str">
            <v>S</v>
          </cell>
          <cell r="Q273">
            <v>0</v>
          </cell>
          <cell r="R273">
            <v>0</v>
          </cell>
        </row>
        <row r="274">
          <cell r="N274">
            <v>-2438452.88</v>
          </cell>
          <cell r="O274" t="str">
            <v>S</v>
          </cell>
          <cell r="Q274" t="str">
            <v>Véhicules usagés</v>
          </cell>
          <cell r="R274" t="str">
            <v>Ventes au Gros</v>
          </cell>
        </row>
        <row r="275">
          <cell r="N275">
            <v>-5305820.88</v>
          </cell>
          <cell r="O275" t="str">
            <v>S</v>
          </cell>
          <cell r="Q275" t="str">
            <v>Véhicules usagés</v>
          </cell>
          <cell r="R275" t="str">
            <v>ventes au gros</v>
          </cell>
        </row>
        <row r="276">
          <cell r="N276">
            <v>-849637</v>
          </cell>
          <cell r="O276" t="str">
            <v>S</v>
          </cell>
          <cell r="Q276" t="str">
            <v>Véhicules usagés</v>
          </cell>
          <cell r="R276" t="str">
            <v>ventes au gros</v>
          </cell>
        </row>
        <row r="277">
          <cell r="N277">
            <v>38603.67</v>
          </cell>
          <cell r="O277" t="str">
            <v>C</v>
          </cell>
          <cell r="Q277" t="str">
            <v>Véhicules usagés</v>
          </cell>
          <cell r="R277" t="str">
            <v>Certifié</v>
          </cell>
        </row>
        <row r="278">
          <cell r="N278">
            <v>85357.5</v>
          </cell>
          <cell r="O278" t="str">
            <v>C</v>
          </cell>
          <cell r="Q278" t="str">
            <v>Véhicules usagés</v>
          </cell>
          <cell r="R278" t="str">
            <v>Certifié</v>
          </cell>
        </row>
        <row r="279">
          <cell r="N279">
            <v>-202.5</v>
          </cell>
          <cell r="O279" t="str">
            <v>C</v>
          </cell>
          <cell r="Q279" t="str">
            <v>Véhicules usagés</v>
          </cell>
          <cell r="R279" t="str">
            <v>Rev. Protections</v>
          </cell>
        </row>
        <row r="280">
          <cell r="N280">
            <v>50</v>
          </cell>
          <cell r="O280" t="str">
            <v>C</v>
          </cell>
          <cell r="Q280" t="str">
            <v>Véhicules usagés</v>
          </cell>
          <cell r="R280" t="str">
            <v>Rev. Protections</v>
          </cell>
        </row>
        <row r="281">
          <cell r="N281">
            <v>0</v>
          </cell>
          <cell r="O281" t="str">
            <v>C</v>
          </cell>
          <cell r="Q281" t="str">
            <v>Véhicules usagés</v>
          </cell>
          <cell r="R281" t="str">
            <v>Non Certifié</v>
          </cell>
        </row>
        <row r="282">
          <cell r="N282">
            <v>69723.710000000006</v>
          </cell>
          <cell r="O282" t="str">
            <v>C</v>
          </cell>
          <cell r="Q282" t="str">
            <v>Véhicules usagés</v>
          </cell>
          <cell r="R282" t="str">
            <v>Non Certifié</v>
          </cell>
        </row>
        <row r="283">
          <cell r="N283">
            <v>0</v>
          </cell>
          <cell r="O283" t="str">
            <v>C</v>
          </cell>
          <cell r="Q283" t="str">
            <v>Véhicules usagés</v>
          </cell>
          <cell r="R283" t="str">
            <v>Non Certifié</v>
          </cell>
        </row>
        <row r="284">
          <cell r="N284">
            <v>1012.6</v>
          </cell>
          <cell r="O284" t="str">
            <v>C</v>
          </cell>
          <cell r="Q284" t="str">
            <v>Véhicules usagés</v>
          </cell>
          <cell r="R284" t="str">
            <v>Certifié</v>
          </cell>
        </row>
        <row r="285">
          <cell r="N285">
            <v>5845.16</v>
          </cell>
          <cell r="O285" t="str">
            <v>C</v>
          </cell>
          <cell r="Q285" t="str">
            <v>Véhicules usagés</v>
          </cell>
          <cell r="R285" t="str">
            <v>Certifié</v>
          </cell>
        </row>
        <row r="286">
          <cell r="N286">
            <v>425.29</v>
          </cell>
          <cell r="O286" t="str">
            <v>C</v>
          </cell>
          <cell r="Q286" t="str">
            <v>Véhicules usagés</v>
          </cell>
          <cell r="R286" t="str">
            <v>Non Certifié</v>
          </cell>
        </row>
        <row r="287">
          <cell r="N287">
            <v>6794</v>
          </cell>
          <cell r="O287" t="str">
            <v>C</v>
          </cell>
          <cell r="Q287" t="str">
            <v>Véhicules usagés</v>
          </cell>
          <cell r="R287" t="str">
            <v>Rev. Protections</v>
          </cell>
        </row>
        <row r="288">
          <cell r="N288">
            <v>293901.21999999997</v>
          </cell>
          <cell r="O288" t="str">
            <v>C</v>
          </cell>
          <cell r="Q288" t="str">
            <v>Véhicules neufs</v>
          </cell>
          <cell r="R288" t="str">
            <v>Rachat bail</v>
          </cell>
        </row>
        <row r="289">
          <cell r="N289">
            <v>-1417.71</v>
          </cell>
          <cell r="O289" t="str">
            <v>C</v>
          </cell>
          <cell r="Q289" t="str">
            <v>Véhicules usagés</v>
          </cell>
          <cell r="R289" t="str">
            <v>Rev. Finances</v>
          </cell>
        </row>
        <row r="290">
          <cell r="N290">
            <v>150</v>
          </cell>
          <cell r="O290" t="str">
            <v>C</v>
          </cell>
          <cell r="Q290" t="str">
            <v>Véhicules usagés</v>
          </cell>
          <cell r="R290" t="str">
            <v>Certifié</v>
          </cell>
        </row>
        <row r="291">
          <cell r="N291">
            <v>32509.119999999999</v>
          </cell>
          <cell r="O291" t="str">
            <v>C</v>
          </cell>
          <cell r="Q291" t="str">
            <v>Véhicules usagés</v>
          </cell>
          <cell r="R291" t="str">
            <v>Certifié</v>
          </cell>
        </row>
        <row r="292">
          <cell r="N292">
            <v>95525.41</v>
          </cell>
          <cell r="O292" t="str">
            <v>C</v>
          </cell>
          <cell r="Q292" t="str">
            <v>Véhicules usagés</v>
          </cell>
          <cell r="R292" t="str">
            <v>Certifié</v>
          </cell>
        </row>
        <row r="293">
          <cell r="N293">
            <v>623.5</v>
          </cell>
          <cell r="O293" t="str">
            <v>C</v>
          </cell>
          <cell r="Q293" t="str">
            <v>Véhicules usagés</v>
          </cell>
          <cell r="R293" t="str">
            <v>Rev. Protections</v>
          </cell>
        </row>
        <row r="294">
          <cell r="N294">
            <v>-995</v>
          </cell>
          <cell r="O294" t="str">
            <v>C</v>
          </cell>
          <cell r="Q294" t="str">
            <v>Véhicules usagés</v>
          </cell>
          <cell r="R294" t="str">
            <v>Rev. Protections</v>
          </cell>
        </row>
        <row r="295">
          <cell r="N295">
            <v>209.81</v>
          </cell>
          <cell r="O295" t="str">
            <v>C</v>
          </cell>
          <cell r="Q295" t="str">
            <v>Véhicules usagés</v>
          </cell>
          <cell r="R295" t="str">
            <v>Rev. Protections</v>
          </cell>
        </row>
        <row r="296">
          <cell r="N296">
            <v>312.5</v>
          </cell>
          <cell r="O296" t="str">
            <v>C</v>
          </cell>
          <cell r="Q296" t="str">
            <v>Véhicules usagés</v>
          </cell>
          <cell r="R296" t="str">
            <v>Rev. Protections</v>
          </cell>
        </row>
        <row r="297">
          <cell r="N297">
            <v>115</v>
          </cell>
          <cell r="O297" t="str">
            <v>C</v>
          </cell>
          <cell r="Q297" t="str">
            <v>Véhicules usagés</v>
          </cell>
          <cell r="R297" t="str">
            <v>Rev. Autres</v>
          </cell>
        </row>
        <row r="298">
          <cell r="N298">
            <v>79725.7</v>
          </cell>
          <cell r="O298" t="str">
            <v>C</v>
          </cell>
          <cell r="Q298" t="str">
            <v>Véhicules usagés</v>
          </cell>
          <cell r="R298" t="str">
            <v>Non Certifié</v>
          </cell>
        </row>
        <row r="299">
          <cell r="N299">
            <v>55662.8</v>
          </cell>
          <cell r="O299" t="str">
            <v>C</v>
          </cell>
          <cell r="Q299" t="str">
            <v>Véhicules usagés</v>
          </cell>
          <cell r="R299" t="str">
            <v>Non Certifié</v>
          </cell>
        </row>
        <row r="300">
          <cell r="N300">
            <v>2681.32</v>
          </cell>
          <cell r="O300" t="str">
            <v>C</v>
          </cell>
          <cell r="Q300" t="str">
            <v>Véhicules usagés</v>
          </cell>
          <cell r="R300" t="str">
            <v>Certifié</v>
          </cell>
        </row>
        <row r="301">
          <cell r="N301">
            <v>3807.69</v>
          </cell>
          <cell r="O301" t="str">
            <v>C</v>
          </cell>
          <cell r="Q301" t="str">
            <v>Véhicules usagés</v>
          </cell>
          <cell r="R301" t="str">
            <v>Certifié</v>
          </cell>
        </row>
        <row r="302">
          <cell r="N302">
            <v>923.6</v>
          </cell>
          <cell r="O302" t="str">
            <v>C</v>
          </cell>
          <cell r="Q302" t="str">
            <v>Véhicules usagés</v>
          </cell>
          <cell r="R302" t="str">
            <v>Non Certifié</v>
          </cell>
        </row>
        <row r="303">
          <cell r="N303">
            <v>507.38</v>
          </cell>
          <cell r="O303" t="str">
            <v>C</v>
          </cell>
          <cell r="Q303" t="str">
            <v>Véhicules usagés</v>
          </cell>
          <cell r="R303" t="str">
            <v>Non Certifié</v>
          </cell>
        </row>
        <row r="304">
          <cell r="N304">
            <v>25840</v>
          </cell>
          <cell r="O304" t="str">
            <v>C</v>
          </cell>
          <cell r="Q304" t="str">
            <v>Véhicules usagés</v>
          </cell>
          <cell r="R304" t="str">
            <v>Rev. Protections</v>
          </cell>
        </row>
        <row r="305">
          <cell r="N305">
            <v>807209.88</v>
          </cell>
          <cell r="O305" t="str">
            <v>C</v>
          </cell>
          <cell r="Q305" t="str">
            <v>Véhicules neufs</v>
          </cell>
          <cell r="R305" t="str">
            <v>Rachat bail</v>
          </cell>
        </row>
        <row r="306">
          <cell r="N306">
            <v>-8357.4599999999991</v>
          </cell>
          <cell r="O306" t="str">
            <v>C</v>
          </cell>
          <cell r="Q306" t="str">
            <v>Véhicules usagés</v>
          </cell>
          <cell r="R306" t="str">
            <v>Rev. Finances</v>
          </cell>
        </row>
        <row r="307">
          <cell r="N307">
            <v>43431.47</v>
          </cell>
          <cell r="O307" t="str">
            <v>C</v>
          </cell>
          <cell r="Q307" t="str">
            <v>Véhicules usagés</v>
          </cell>
          <cell r="R307" t="str">
            <v>Non Certifié</v>
          </cell>
        </row>
        <row r="308">
          <cell r="N308">
            <v>-3740.87</v>
          </cell>
          <cell r="O308" t="str">
            <v>C</v>
          </cell>
          <cell r="Q308" t="str">
            <v>Véhicules usagés</v>
          </cell>
          <cell r="R308" t="str">
            <v>Rev. Finances</v>
          </cell>
        </row>
        <row r="309">
          <cell r="N309">
            <v>569</v>
          </cell>
          <cell r="O309" t="str">
            <v>C</v>
          </cell>
          <cell r="Q309" t="str">
            <v>Véhicules usagés</v>
          </cell>
          <cell r="R309" t="str">
            <v>Rev. Protections</v>
          </cell>
        </row>
        <row r="310">
          <cell r="N310">
            <v>2400668.2200000002</v>
          </cell>
          <cell r="O310" t="str">
            <v>C</v>
          </cell>
          <cell r="Q310" t="str">
            <v>Véhicules usagés</v>
          </cell>
          <cell r="R310" t="str">
            <v>Ventes au Gros</v>
          </cell>
        </row>
        <row r="311">
          <cell r="N311">
            <v>5200051.2699999996</v>
          </cell>
          <cell r="O311" t="str">
            <v>C</v>
          </cell>
          <cell r="Q311" t="str">
            <v>Véhicules usagés</v>
          </cell>
          <cell r="R311" t="str">
            <v>ventes au gros</v>
          </cell>
        </row>
        <row r="312">
          <cell r="N312">
            <v>833995.11</v>
          </cell>
          <cell r="O312" t="str">
            <v>C</v>
          </cell>
          <cell r="Q312" t="str">
            <v>Véhicules usagés</v>
          </cell>
          <cell r="R312" t="str">
            <v>ventes au gros</v>
          </cell>
        </row>
        <row r="313">
          <cell r="N313">
            <v>-34257.94</v>
          </cell>
          <cell r="O313" t="str">
            <v>I</v>
          </cell>
          <cell r="Q313" t="str">
            <v>Autres</v>
          </cell>
          <cell r="R313" t="str">
            <v>Facility  Bonus</v>
          </cell>
        </row>
        <row r="314">
          <cell r="N314">
            <v>-223.29</v>
          </cell>
          <cell r="O314" t="str">
            <v>I</v>
          </cell>
          <cell r="Q314" t="str">
            <v>Véhicules usagés</v>
          </cell>
          <cell r="R314" t="str">
            <v>Business Builder usagé</v>
          </cell>
        </row>
        <row r="315">
          <cell r="N315">
            <v>-4111.6099999999997</v>
          </cell>
          <cell r="O315" t="str">
            <v>I</v>
          </cell>
          <cell r="Q315" t="str">
            <v>Véhicules usagés</v>
          </cell>
          <cell r="R315" t="str">
            <v>Business Builder usagé</v>
          </cell>
        </row>
        <row r="316">
          <cell r="N316">
            <v>-4111.6099999999997</v>
          </cell>
          <cell r="O316" t="str">
            <v>I</v>
          </cell>
          <cell r="Q316" t="str">
            <v>Véhicules neufs</v>
          </cell>
          <cell r="R316" t="str">
            <v>Business Builder Neuf</v>
          </cell>
        </row>
        <row r="317">
          <cell r="N317">
            <v>-17106.52</v>
          </cell>
          <cell r="O317" t="str">
            <v>I</v>
          </cell>
          <cell r="Q317" t="str">
            <v>Véhicules neufs</v>
          </cell>
          <cell r="R317" t="str">
            <v>Business Builder Neuf</v>
          </cell>
        </row>
        <row r="318">
          <cell r="N318">
            <v>-4111.6099999999997</v>
          </cell>
          <cell r="O318" t="str">
            <v>I</v>
          </cell>
          <cell r="Q318" t="str">
            <v>Véhicules neufs</v>
          </cell>
          <cell r="R318" t="str">
            <v>Business Builder Neuf</v>
          </cell>
        </row>
        <row r="319">
          <cell r="N319">
            <v>-239082.38</v>
          </cell>
          <cell r="O319" t="str">
            <v>I</v>
          </cell>
          <cell r="Q319" t="str">
            <v>Autres</v>
          </cell>
          <cell r="R319" t="str">
            <v>Facility  Bonus</v>
          </cell>
        </row>
        <row r="320">
          <cell r="N320">
            <v>-15212.72</v>
          </cell>
          <cell r="O320" t="str">
            <v>I</v>
          </cell>
          <cell r="Q320" t="str">
            <v>Véhicules usagés</v>
          </cell>
          <cell r="R320" t="str">
            <v>Business Builder usagé</v>
          </cell>
        </row>
        <row r="321">
          <cell r="N321">
            <v>-28617.57</v>
          </cell>
          <cell r="O321" t="str">
            <v>I</v>
          </cell>
          <cell r="Q321" t="str">
            <v>Véhicules usagés</v>
          </cell>
          <cell r="R321" t="str">
            <v>Business Builder usagé</v>
          </cell>
        </row>
        <row r="322">
          <cell r="N322">
            <v>-28617.57</v>
          </cell>
          <cell r="O322" t="str">
            <v>I</v>
          </cell>
          <cell r="Q322" t="str">
            <v>Véhicules neufs</v>
          </cell>
          <cell r="R322" t="str">
            <v>Business Builder Neuf</v>
          </cell>
        </row>
        <row r="323">
          <cell r="N323">
            <v>-119243.2</v>
          </cell>
          <cell r="O323" t="str">
            <v>I</v>
          </cell>
          <cell r="Q323" t="str">
            <v>Véhicules neufs</v>
          </cell>
          <cell r="R323" t="str">
            <v>Business Builder Neuf</v>
          </cell>
        </row>
        <row r="324">
          <cell r="N324">
            <v>-28617.57</v>
          </cell>
          <cell r="O324" t="str">
            <v>I</v>
          </cell>
          <cell r="Q324" t="str">
            <v>Véhicules neufs</v>
          </cell>
          <cell r="R324" t="str">
            <v>Business Builder Neuf</v>
          </cell>
        </row>
        <row r="325">
          <cell r="N325">
            <v>-65793.919999999998</v>
          </cell>
          <cell r="O325" t="str">
            <v>I</v>
          </cell>
          <cell r="Q325" t="str">
            <v>Autres</v>
          </cell>
          <cell r="R325" t="str">
            <v>Revenus autres</v>
          </cell>
        </row>
        <row r="326">
          <cell r="N326">
            <v>-500</v>
          </cell>
          <cell r="O326" t="str">
            <v>I</v>
          </cell>
          <cell r="Q326" t="str">
            <v>Autres</v>
          </cell>
          <cell r="R326" t="str">
            <v>Revenus autres</v>
          </cell>
        </row>
        <row r="327">
          <cell r="N327">
            <v>27844.54</v>
          </cell>
          <cell r="O327" t="str">
            <v>X</v>
          </cell>
          <cell r="Q327" t="str">
            <v>Autres</v>
          </cell>
          <cell r="R327" t="str">
            <v>Intérêts sur prêt</v>
          </cell>
        </row>
        <row r="328">
          <cell r="N328">
            <v>83533.62</v>
          </cell>
          <cell r="O328" t="str">
            <v>X</v>
          </cell>
          <cell r="Q328" t="str">
            <v>Autres</v>
          </cell>
          <cell r="R328" t="str">
            <v>Intérêts sur prêt</v>
          </cell>
        </row>
        <row r="329">
          <cell r="N329">
            <v>3052.55</v>
          </cell>
          <cell r="O329" t="str">
            <v>X</v>
          </cell>
          <cell r="Q329" t="str">
            <v>Autres</v>
          </cell>
          <cell r="R329" t="str">
            <v>Intérêts sur marge</v>
          </cell>
        </row>
        <row r="330">
          <cell r="N330">
            <v>31546.7</v>
          </cell>
          <cell r="O330" t="str">
            <v>E</v>
          </cell>
          <cell r="Q330" t="str">
            <v>Véhicules neufs</v>
          </cell>
          <cell r="R330" t="str">
            <v>Comm. vendeurs</v>
          </cell>
        </row>
        <row r="331">
          <cell r="N331">
            <v>6021.95</v>
          </cell>
          <cell r="O331" t="str">
            <v>E</v>
          </cell>
          <cell r="Q331" t="str">
            <v>Véhicules usagés</v>
          </cell>
          <cell r="R331" t="str">
            <v>Comm. vendeurs</v>
          </cell>
        </row>
        <row r="332">
          <cell r="N332">
            <v>38841.230000000003</v>
          </cell>
          <cell r="O332" t="str">
            <v>E</v>
          </cell>
          <cell r="Q332" t="str">
            <v>Véhicules neufs</v>
          </cell>
          <cell r="R332" t="str">
            <v>Comm. vendeurs</v>
          </cell>
        </row>
        <row r="333">
          <cell r="N333">
            <v>2909.45</v>
          </cell>
          <cell r="O333" t="str">
            <v>E</v>
          </cell>
          <cell r="Q333" t="str">
            <v>Véhicules usagés</v>
          </cell>
          <cell r="R333" t="str">
            <v>Comm. vendeurs</v>
          </cell>
        </row>
        <row r="334">
          <cell r="N334">
            <v>5117.87</v>
          </cell>
          <cell r="O334" t="str">
            <v>E</v>
          </cell>
          <cell r="Q334" t="str">
            <v>Véhicules neufs</v>
          </cell>
          <cell r="R334" t="str">
            <v>Comm. F&amp;I</v>
          </cell>
        </row>
        <row r="335">
          <cell r="N335">
            <v>2994.33</v>
          </cell>
          <cell r="O335" t="str">
            <v>E</v>
          </cell>
          <cell r="Q335" t="str">
            <v>Véhicules usagés</v>
          </cell>
          <cell r="R335" t="str">
            <v>Comm. F&amp;I</v>
          </cell>
        </row>
        <row r="336">
          <cell r="N336">
            <v>21210.16</v>
          </cell>
          <cell r="O336" t="str">
            <v>E</v>
          </cell>
          <cell r="Q336" t="str">
            <v>Véhicules neufs</v>
          </cell>
          <cell r="R336" t="str">
            <v>Comm. F&amp;I</v>
          </cell>
        </row>
        <row r="337">
          <cell r="N337">
            <v>7940.07</v>
          </cell>
          <cell r="O337" t="str">
            <v>E</v>
          </cell>
          <cell r="Q337" t="str">
            <v>Véhicules usagés</v>
          </cell>
          <cell r="R337" t="str">
            <v>Comm. F&amp;I</v>
          </cell>
        </row>
        <row r="338">
          <cell r="N338">
            <v>1056.9000000000001</v>
          </cell>
          <cell r="O338" t="str">
            <v>E</v>
          </cell>
          <cell r="Q338" t="str">
            <v>Véhicules usagés</v>
          </cell>
          <cell r="R338" t="str">
            <v>Comm. F&amp;I</v>
          </cell>
        </row>
        <row r="339">
          <cell r="N339">
            <v>3260.06</v>
          </cell>
          <cell r="O339" t="str">
            <v>E</v>
          </cell>
          <cell r="Q339" t="str">
            <v>Véhicules neufs</v>
          </cell>
          <cell r="R339" t="str">
            <v>Frais de livraison</v>
          </cell>
        </row>
        <row r="340">
          <cell r="N340">
            <v>3739.8</v>
          </cell>
          <cell r="O340" t="str">
            <v>E</v>
          </cell>
          <cell r="Q340" t="str">
            <v>Véhicules usagés</v>
          </cell>
          <cell r="R340" t="str">
            <v>Frais de livraison</v>
          </cell>
        </row>
        <row r="341">
          <cell r="N341">
            <v>9475.75</v>
          </cell>
          <cell r="O341" t="str">
            <v>E</v>
          </cell>
          <cell r="Q341" t="str">
            <v>Véhicules neufs</v>
          </cell>
          <cell r="R341" t="str">
            <v>Frais de livraison</v>
          </cell>
        </row>
        <row r="342">
          <cell r="N342">
            <v>2377.79</v>
          </cell>
          <cell r="O342" t="str">
            <v>E</v>
          </cell>
          <cell r="Q342" t="str">
            <v>Véhicules usagés</v>
          </cell>
          <cell r="R342" t="str">
            <v>Frais de livraison</v>
          </cell>
        </row>
        <row r="343">
          <cell r="N343">
            <v>1295.77</v>
          </cell>
          <cell r="O343" t="str">
            <v>E</v>
          </cell>
          <cell r="Q343" t="str">
            <v>Véhicules neufs</v>
          </cell>
          <cell r="R343" t="str">
            <v>Entretien stock</v>
          </cell>
        </row>
        <row r="344">
          <cell r="N344">
            <v>2959.05</v>
          </cell>
          <cell r="O344" t="str">
            <v>E</v>
          </cell>
          <cell r="Q344" t="str">
            <v>Véhicules usagés</v>
          </cell>
          <cell r="R344" t="str">
            <v>Entretien stock</v>
          </cell>
        </row>
        <row r="345">
          <cell r="N345">
            <v>6132.89</v>
          </cell>
          <cell r="O345" t="str">
            <v>E</v>
          </cell>
          <cell r="Q345" t="str">
            <v>Véhicules neufs</v>
          </cell>
          <cell r="R345" t="str">
            <v>Entretien stock</v>
          </cell>
        </row>
        <row r="346">
          <cell r="N346">
            <v>2572.94</v>
          </cell>
          <cell r="O346" t="str">
            <v>E</v>
          </cell>
          <cell r="Q346" t="str">
            <v>Véhicules usagés</v>
          </cell>
          <cell r="R346" t="str">
            <v>Entretien stock</v>
          </cell>
        </row>
        <row r="347">
          <cell r="N347">
            <v>17459.18</v>
          </cell>
          <cell r="O347" t="str">
            <v>E</v>
          </cell>
          <cell r="Q347" t="str">
            <v>Véhicules neufs</v>
          </cell>
          <cell r="R347" t="str">
            <v>Intérêt de gros</v>
          </cell>
        </row>
        <row r="348">
          <cell r="N348">
            <v>1287.44</v>
          </cell>
          <cell r="O348" t="str">
            <v>E</v>
          </cell>
          <cell r="Q348" t="str">
            <v>Véhicules usagés</v>
          </cell>
          <cell r="R348" t="str">
            <v>Intérêt de gros</v>
          </cell>
        </row>
        <row r="349">
          <cell r="N349">
            <v>68296.45</v>
          </cell>
          <cell r="O349" t="str">
            <v>E</v>
          </cell>
          <cell r="Q349" t="str">
            <v>Véhicules neufs</v>
          </cell>
          <cell r="R349" t="str">
            <v>Intérêt de gros</v>
          </cell>
        </row>
        <row r="350">
          <cell r="N350">
            <v>1412.98</v>
          </cell>
          <cell r="O350" t="str">
            <v>E</v>
          </cell>
          <cell r="Q350" t="str">
            <v>Véhicules usagés</v>
          </cell>
          <cell r="R350" t="str">
            <v>Intérêt de gros</v>
          </cell>
        </row>
        <row r="351">
          <cell r="N351">
            <v>-370.44</v>
          </cell>
          <cell r="O351" t="str">
            <v>E</v>
          </cell>
          <cell r="Q351" t="str">
            <v>Véhicules neufs</v>
          </cell>
          <cell r="R351" t="str">
            <v>holdbacks</v>
          </cell>
        </row>
        <row r="352">
          <cell r="N352">
            <v>-4928.09</v>
          </cell>
          <cell r="O352" t="str">
            <v>E</v>
          </cell>
          <cell r="Q352" t="str">
            <v>Véhicules neufs</v>
          </cell>
          <cell r="R352" t="str">
            <v>holdbacks</v>
          </cell>
        </row>
        <row r="353">
          <cell r="N353">
            <v>4162.1899999999996</v>
          </cell>
          <cell r="O353" t="str">
            <v>E</v>
          </cell>
          <cell r="Q353" t="str">
            <v>Véhicules neufs</v>
          </cell>
          <cell r="R353" t="str">
            <v>Publicité 1</v>
          </cell>
        </row>
        <row r="354">
          <cell r="N354">
            <v>37.29</v>
          </cell>
          <cell r="O354" t="str">
            <v>E</v>
          </cell>
          <cell r="Q354" t="str">
            <v>Véhicules usagés</v>
          </cell>
          <cell r="R354" t="str">
            <v>Publicité 1</v>
          </cell>
        </row>
        <row r="355">
          <cell r="N355">
            <v>1082.5899999999999</v>
          </cell>
          <cell r="O355" t="str">
            <v>E</v>
          </cell>
          <cell r="Q355" t="str">
            <v>Service</v>
          </cell>
          <cell r="R355" t="str">
            <v>Publicité 2</v>
          </cell>
        </row>
        <row r="356">
          <cell r="N356">
            <v>266.45</v>
          </cell>
          <cell r="O356" t="str">
            <v>E</v>
          </cell>
          <cell r="Q356" t="str">
            <v>Pièces</v>
          </cell>
          <cell r="R356" t="str">
            <v>Publicité 2</v>
          </cell>
        </row>
        <row r="357">
          <cell r="N357">
            <v>9.4</v>
          </cell>
          <cell r="O357" t="str">
            <v>E</v>
          </cell>
          <cell r="Q357" t="str">
            <v>Carrosserie</v>
          </cell>
          <cell r="R357" t="str">
            <v>Publicité 2</v>
          </cell>
        </row>
        <row r="358">
          <cell r="N358">
            <v>1034.68</v>
          </cell>
          <cell r="O358" t="str">
            <v>E</v>
          </cell>
          <cell r="Q358" t="str">
            <v>Véhicules neufs</v>
          </cell>
          <cell r="R358" t="str">
            <v>Publicité 1</v>
          </cell>
        </row>
        <row r="359">
          <cell r="N359">
            <v>111.87</v>
          </cell>
          <cell r="O359" t="str">
            <v>E</v>
          </cell>
          <cell r="Q359" t="str">
            <v>Véhicules usagés</v>
          </cell>
          <cell r="R359" t="str">
            <v>Publicité 1</v>
          </cell>
        </row>
        <row r="360">
          <cell r="N360">
            <v>384.45</v>
          </cell>
          <cell r="O360" t="str">
            <v>E</v>
          </cell>
          <cell r="Q360" t="str">
            <v>Service</v>
          </cell>
          <cell r="R360" t="str">
            <v>Publicité 2</v>
          </cell>
        </row>
        <row r="361">
          <cell r="N361">
            <v>223.74</v>
          </cell>
          <cell r="O361" t="str">
            <v>E</v>
          </cell>
          <cell r="Q361" t="str">
            <v>Pièces</v>
          </cell>
          <cell r="R361" t="str">
            <v>Publicité 2</v>
          </cell>
        </row>
        <row r="362">
          <cell r="N362">
            <v>27.89</v>
          </cell>
          <cell r="O362" t="str">
            <v>E</v>
          </cell>
          <cell r="Q362" t="str">
            <v>Carrosserie</v>
          </cell>
          <cell r="R362" t="str">
            <v>Publicité 2</v>
          </cell>
        </row>
        <row r="363">
          <cell r="N363">
            <v>14162.27</v>
          </cell>
          <cell r="O363" t="str">
            <v>E</v>
          </cell>
          <cell r="Q363" t="str">
            <v>Véhicules neufs</v>
          </cell>
          <cell r="R363" t="str">
            <v>Publicité 1</v>
          </cell>
        </row>
        <row r="364">
          <cell r="N364">
            <v>6113.77</v>
          </cell>
          <cell r="O364" t="str">
            <v>E</v>
          </cell>
          <cell r="Q364" t="str">
            <v>Véhicules usagés</v>
          </cell>
          <cell r="R364" t="str">
            <v>Publicité 1</v>
          </cell>
        </row>
        <row r="365">
          <cell r="N365">
            <v>4718.01</v>
          </cell>
          <cell r="O365" t="str">
            <v>E</v>
          </cell>
          <cell r="Q365" t="str">
            <v>Service</v>
          </cell>
          <cell r="R365" t="str">
            <v>Publicité 2</v>
          </cell>
        </row>
        <row r="366">
          <cell r="N366">
            <v>2917.61</v>
          </cell>
          <cell r="O366" t="str">
            <v>E</v>
          </cell>
          <cell r="Q366" t="str">
            <v>Pièces</v>
          </cell>
          <cell r="R366" t="str">
            <v>Publicité 2</v>
          </cell>
        </row>
        <row r="367">
          <cell r="N367">
            <v>15.87</v>
          </cell>
          <cell r="O367" t="str">
            <v>E</v>
          </cell>
          <cell r="Q367" t="str">
            <v>Carrosserie</v>
          </cell>
          <cell r="R367" t="str">
            <v>Publicité 2</v>
          </cell>
        </row>
        <row r="368">
          <cell r="N368">
            <v>14538.97</v>
          </cell>
          <cell r="O368" t="str">
            <v>E</v>
          </cell>
          <cell r="Q368" t="str">
            <v>Véhicules neufs</v>
          </cell>
          <cell r="R368" t="str">
            <v>Publicité 1</v>
          </cell>
        </row>
        <row r="369">
          <cell r="N369">
            <v>5709.72</v>
          </cell>
          <cell r="O369" t="str">
            <v>E</v>
          </cell>
          <cell r="Q369" t="str">
            <v>Véhicules usagés</v>
          </cell>
          <cell r="R369" t="str">
            <v>Publicité 1</v>
          </cell>
        </row>
        <row r="370">
          <cell r="N370">
            <v>12773.82</v>
          </cell>
          <cell r="O370" t="str">
            <v>E</v>
          </cell>
          <cell r="Q370" t="str">
            <v>Service</v>
          </cell>
          <cell r="R370" t="str">
            <v>Publicité 2</v>
          </cell>
        </row>
        <row r="371">
          <cell r="N371">
            <v>5932.19</v>
          </cell>
          <cell r="O371" t="str">
            <v>E</v>
          </cell>
          <cell r="Q371" t="str">
            <v>Pièces</v>
          </cell>
          <cell r="R371" t="str">
            <v>Publicité 2</v>
          </cell>
        </row>
        <row r="372">
          <cell r="N372">
            <v>47.07</v>
          </cell>
          <cell r="O372" t="str">
            <v>E</v>
          </cell>
          <cell r="Q372" t="str">
            <v>Carrosserie</v>
          </cell>
          <cell r="R372" t="str">
            <v>Publicité 2</v>
          </cell>
        </row>
        <row r="373">
          <cell r="N373">
            <v>-2800</v>
          </cell>
          <cell r="O373" t="str">
            <v>E</v>
          </cell>
          <cell r="Q373" t="str">
            <v>Véhicules neufs</v>
          </cell>
          <cell r="R373" t="str">
            <v>Publicité 1</v>
          </cell>
        </row>
        <row r="374">
          <cell r="N374">
            <v>-400</v>
          </cell>
          <cell r="O374" t="str">
            <v>E</v>
          </cell>
          <cell r="Q374" t="str">
            <v>Véhicules usagés</v>
          </cell>
          <cell r="R374" t="str">
            <v>Publicité 1</v>
          </cell>
        </row>
        <row r="375">
          <cell r="N375">
            <v>-9700</v>
          </cell>
          <cell r="O375" t="str">
            <v>E</v>
          </cell>
          <cell r="Q375" t="str">
            <v>Véhicules neufs</v>
          </cell>
          <cell r="R375" t="str">
            <v>Publicité 1</v>
          </cell>
        </row>
        <row r="376">
          <cell r="N376">
            <v>-800</v>
          </cell>
          <cell r="O376" t="str">
            <v>E</v>
          </cell>
          <cell r="Q376" t="str">
            <v>Véhicules usagés</v>
          </cell>
          <cell r="R376" t="str">
            <v>Publicité 1</v>
          </cell>
        </row>
        <row r="377">
          <cell r="N377">
            <v>4955.8100000000004</v>
          </cell>
          <cell r="O377" t="str">
            <v>E</v>
          </cell>
          <cell r="Q377" t="str">
            <v>Véhicules neufs</v>
          </cell>
          <cell r="R377" t="str">
            <v>Salaires propriétaire</v>
          </cell>
        </row>
        <row r="378">
          <cell r="N378">
            <v>1982.29</v>
          </cell>
          <cell r="O378" t="str">
            <v>E</v>
          </cell>
          <cell r="Q378" t="str">
            <v>Véhicules usagés</v>
          </cell>
          <cell r="R378" t="str">
            <v>Salaires propriétaire</v>
          </cell>
        </row>
        <row r="379">
          <cell r="N379">
            <v>1486.74</v>
          </cell>
          <cell r="O379" t="str">
            <v>E</v>
          </cell>
          <cell r="Q379" t="str">
            <v>Service</v>
          </cell>
          <cell r="R379" t="str">
            <v>Salaires propriétaire</v>
          </cell>
        </row>
        <row r="380">
          <cell r="N380">
            <v>1288.46</v>
          </cell>
          <cell r="O380" t="str">
            <v>E</v>
          </cell>
          <cell r="Q380" t="str">
            <v>Pièces</v>
          </cell>
          <cell r="R380" t="str">
            <v>Salaires propriétaire</v>
          </cell>
        </row>
        <row r="381">
          <cell r="N381">
            <v>198.28</v>
          </cell>
          <cell r="O381" t="str">
            <v>E</v>
          </cell>
          <cell r="Q381" t="str">
            <v>Carrosserie</v>
          </cell>
          <cell r="R381" t="str">
            <v>Salaires propriétaire</v>
          </cell>
        </row>
        <row r="382">
          <cell r="N382">
            <v>14867.36</v>
          </cell>
          <cell r="O382" t="str">
            <v>E</v>
          </cell>
          <cell r="Q382" t="str">
            <v>Véhicules neufs</v>
          </cell>
          <cell r="R382" t="str">
            <v>Salaires propriétaire</v>
          </cell>
        </row>
        <row r="383">
          <cell r="N383">
            <v>5946.91</v>
          </cell>
          <cell r="O383" t="str">
            <v>E</v>
          </cell>
          <cell r="Q383" t="str">
            <v>Véhicules usagés</v>
          </cell>
          <cell r="R383" t="str">
            <v>Salaires propriétaire</v>
          </cell>
        </row>
        <row r="384">
          <cell r="N384">
            <v>4460.1499999999996</v>
          </cell>
          <cell r="O384" t="str">
            <v>E</v>
          </cell>
          <cell r="Q384" t="str">
            <v>Service</v>
          </cell>
          <cell r="R384" t="str">
            <v>Salaires propriétaire</v>
          </cell>
        </row>
        <row r="385">
          <cell r="N385">
            <v>3865.5</v>
          </cell>
          <cell r="O385" t="str">
            <v>E</v>
          </cell>
          <cell r="Q385" t="str">
            <v>Pièces</v>
          </cell>
          <cell r="R385" t="str">
            <v>Salaires propriétaire</v>
          </cell>
        </row>
        <row r="386">
          <cell r="N386">
            <v>594.74</v>
          </cell>
          <cell r="O386" t="str">
            <v>E</v>
          </cell>
          <cell r="Q386" t="str">
            <v>Carrosserie</v>
          </cell>
          <cell r="R386" t="str">
            <v>Salaires propriétaire</v>
          </cell>
        </row>
        <row r="387">
          <cell r="N387">
            <v>34666.629999999997</v>
          </cell>
          <cell r="O387" t="str">
            <v>E</v>
          </cell>
          <cell r="Q387" t="str">
            <v>Véhicules neufs</v>
          </cell>
          <cell r="R387" t="str">
            <v>Salaires cadres</v>
          </cell>
        </row>
        <row r="388">
          <cell r="N388">
            <v>12515.17</v>
          </cell>
          <cell r="O388" t="str">
            <v>E</v>
          </cell>
          <cell r="Q388" t="str">
            <v>Véhicules usagés</v>
          </cell>
          <cell r="R388" t="str">
            <v>Salaires cadres</v>
          </cell>
        </row>
        <row r="389">
          <cell r="N389">
            <v>7882.78</v>
          </cell>
          <cell r="O389" t="str">
            <v>E</v>
          </cell>
          <cell r="Q389" t="str">
            <v>Service</v>
          </cell>
          <cell r="R389" t="str">
            <v>Salaires cadres</v>
          </cell>
        </row>
        <row r="390">
          <cell r="N390">
            <v>14669.26</v>
          </cell>
          <cell r="O390" t="str">
            <v>E</v>
          </cell>
          <cell r="Q390" t="str">
            <v>Pièces</v>
          </cell>
          <cell r="R390" t="str">
            <v>Salaires cadres</v>
          </cell>
        </row>
        <row r="391">
          <cell r="N391">
            <v>218.46</v>
          </cell>
          <cell r="O391" t="str">
            <v>E</v>
          </cell>
          <cell r="Q391" t="str">
            <v>Carrosserie</v>
          </cell>
          <cell r="R391" t="str">
            <v>Salaires cadres</v>
          </cell>
        </row>
        <row r="392">
          <cell r="N392">
            <v>18241.7</v>
          </cell>
          <cell r="O392" t="str">
            <v>E</v>
          </cell>
          <cell r="Q392" t="str">
            <v>Véhicules neufs</v>
          </cell>
          <cell r="R392" t="str">
            <v>Salaires cadres</v>
          </cell>
        </row>
        <row r="393">
          <cell r="N393">
            <v>16020.15</v>
          </cell>
          <cell r="O393" t="str">
            <v>E</v>
          </cell>
          <cell r="Q393" t="str">
            <v>Véhicules usagés</v>
          </cell>
          <cell r="R393" t="str">
            <v>Salaires cadres</v>
          </cell>
        </row>
        <row r="394">
          <cell r="N394">
            <v>7518.24</v>
          </cell>
          <cell r="O394" t="str">
            <v>E</v>
          </cell>
          <cell r="Q394" t="str">
            <v>Service</v>
          </cell>
          <cell r="R394" t="str">
            <v>Salaires cadres</v>
          </cell>
        </row>
        <row r="395">
          <cell r="N395">
            <v>1088.69</v>
          </cell>
          <cell r="O395" t="str">
            <v>E</v>
          </cell>
          <cell r="Q395" t="str">
            <v>Pièces</v>
          </cell>
          <cell r="R395" t="str">
            <v>Salaires cadres</v>
          </cell>
        </row>
        <row r="396">
          <cell r="N396">
            <v>648.45000000000005</v>
          </cell>
          <cell r="O396" t="str">
            <v>E</v>
          </cell>
          <cell r="Q396" t="str">
            <v>Carrosserie</v>
          </cell>
          <cell r="R396" t="str">
            <v>Salaires cadres</v>
          </cell>
        </row>
        <row r="397">
          <cell r="N397">
            <v>39157.96</v>
          </cell>
          <cell r="O397" t="str">
            <v>E</v>
          </cell>
          <cell r="Q397" t="str">
            <v>Service</v>
          </cell>
          <cell r="R397" t="str">
            <v>Salaires spécialistes</v>
          </cell>
        </row>
        <row r="398">
          <cell r="N398">
            <v>-6584.52</v>
          </cell>
          <cell r="O398" t="str">
            <v>E</v>
          </cell>
          <cell r="Q398" t="str">
            <v>Service</v>
          </cell>
          <cell r="R398" t="str">
            <v>Salaires spécialistes</v>
          </cell>
        </row>
        <row r="399">
          <cell r="N399">
            <v>8242.82</v>
          </cell>
          <cell r="O399" t="str">
            <v>E</v>
          </cell>
          <cell r="Q399" t="str">
            <v>Véhicules neufs</v>
          </cell>
          <cell r="R399" t="str">
            <v>salaires commis</v>
          </cell>
        </row>
        <row r="400">
          <cell r="N400">
            <v>5836.84</v>
          </cell>
          <cell r="O400" t="str">
            <v>E</v>
          </cell>
          <cell r="Q400" t="str">
            <v>Véhicules usagés</v>
          </cell>
          <cell r="R400" t="str">
            <v>salaires commis</v>
          </cell>
        </row>
        <row r="401">
          <cell r="N401">
            <v>9652.91</v>
          </cell>
          <cell r="O401" t="str">
            <v>E</v>
          </cell>
          <cell r="Q401" t="str">
            <v>Service</v>
          </cell>
          <cell r="R401" t="str">
            <v>salaires commis</v>
          </cell>
        </row>
        <row r="402">
          <cell r="N402">
            <v>9341.9</v>
          </cell>
          <cell r="O402" t="str">
            <v>E</v>
          </cell>
          <cell r="Q402" t="str">
            <v>Pièces</v>
          </cell>
          <cell r="R402" t="str">
            <v>salaires commis</v>
          </cell>
        </row>
        <row r="403">
          <cell r="N403">
            <v>266.36</v>
          </cell>
          <cell r="O403" t="str">
            <v>E</v>
          </cell>
          <cell r="Q403" t="str">
            <v>Carrosserie</v>
          </cell>
          <cell r="R403" t="str">
            <v>Salaires commis</v>
          </cell>
        </row>
        <row r="404">
          <cell r="N404">
            <v>16113.45</v>
          </cell>
          <cell r="O404" t="str">
            <v>E</v>
          </cell>
          <cell r="Q404" t="str">
            <v>Véhicules neufs</v>
          </cell>
          <cell r="R404" t="str">
            <v>salaires commis</v>
          </cell>
        </row>
        <row r="405">
          <cell r="N405">
            <v>3961.42</v>
          </cell>
          <cell r="O405" t="str">
            <v>E</v>
          </cell>
          <cell r="Q405" t="str">
            <v>Véhicules usagés</v>
          </cell>
          <cell r="R405" t="str">
            <v>salaires commis</v>
          </cell>
        </row>
        <row r="406">
          <cell r="N406">
            <v>6948.93</v>
          </cell>
          <cell r="O406" t="str">
            <v>E</v>
          </cell>
          <cell r="Q406" t="str">
            <v>Service</v>
          </cell>
          <cell r="R406" t="str">
            <v>salaires commis</v>
          </cell>
        </row>
        <row r="407">
          <cell r="N407">
            <v>28025.66</v>
          </cell>
          <cell r="O407" t="str">
            <v>E</v>
          </cell>
          <cell r="Q407" t="str">
            <v>Pièces</v>
          </cell>
          <cell r="R407" t="str">
            <v>salaires commis</v>
          </cell>
        </row>
        <row r="408">
          <cell r="N408">
            <v>790.59</v>
          </cell>
          <cell r="O408" t="str">
            <v>E</v>
          </cell>
          <cell r="Q408" t="str">
            <v>Carrosserie</v>
          </cell>
          <cell r="R408" t="str">
            <v>Salaires commis</v>
          </cell>
        </row>
        <row r="409">
          <cell r="N409">
            <v>546.35</v>
          </cell>
          <cell r="O409" t="str">
            <v>E</v>
          </cell>
          <cell r="Q409" t="str">
            <v>Véhicules neufs</v>
          </cell>
          <cell r="R409" t="str">
            <v>Salaires autres</v>
          </cell>
        </row>
        <row r="410">
          <cell r="N410">
            <v>1911.75</v>
          </cell>
          <cell r="O410" t="str">
            <v>E</v>
          </cell>
          <cell r="Q410" t="str">
            <v>Véhicules usagés</v>
          </cell>
          <cell r="R410" t="str">
            <v>Salaires autres</v>
          </cell>
        </row>
        <row r="411">
          <cell r="N411">
            <v>5704.03</v>
          </cell>
          <cell r="O411" t="str">
            <v>E</v>
          </cell>
          <cell r="Q411" t="str">
            <v>Service</v>
          </cell>
          <cell r="R411" t="str">
            <v>Salaires autres</v>
          </cell>
        </row>
        <row r="412">
          <cell r="N412">
            <v>20788.490000000002</v>
          </cell>
          <cell r="O412" t="str">
            <v>E</v>
          </cell>
          <cell r="Q412" t="str">
            <v>Pièces</v>
          </cell>
          <cell r="R412" t="str">
            <v>Salaires autres</v>
          </cell>
        </row>
        <row r="413">
          <cell r="N413">
            <v>13.65</v>
          </cell>
          <cell r="O413" t="str">
            <v>E</v>
          </cell>
          <cell r="Q413" t="str">
            <v>Carrosserie</v>
          </cell>
          <cell r="R413" t="str">
            <v>Salaires autres</v>
          </cell>
        </row>
        <row r="414">
          <cell r="N414">
            <v>1639.1</v>
          </cell>
          <cell r="O414" t="str">
            <v>E</v>
          </cell>
          <cell r="Q414" t="str">
            <v>Véhicules neufs</v>
          </cell>
          <cell r="R414" t="str">
            <v>Salaires autres</v>
          </cell>
        </row>
        <row r="415">
          <cell r="N415">
            <v>5735.16</v>
          </cell>
          <cell r="O415" t="str">
            <v>E</v>
          </cell>
          <cell r="Q415" t="str">
            <v>Véhicules usagés</v>
          </cell>
          <cell r="R415" t="str">
            <v>Salaires autres</v>
          </cell>
        </row>
        <row r="416">
          <cell r="N416">
            <v>6669.29</v>
          </cell>
          <cell r="O416" t="str">
            <v>E</v>
          </cell>
          <cell r="Q416" t="str">
            <v>Service</v>
          </cell>
          <cell r="R416" t="str">
            <v>Salaires autres</v>
          </cell>
        </row>
        <row r="417">
          <cell r="N417">
            <v>-18760.849999999999</v>
          </cell>
          <cell r="O417" t="str">
            <v>E</v>
          </cell>
          <cell r="Q417" t="str">
            <v>Pièces</v>
          </cell>
          <cell r="R417" t="str">
            <v>Salaires autres</v>
          </cell>
        </row>
        <row r="418">
          <cell r="N418">
            <v>40.47</v>
          </cell>
          <cell r="O418" t="str">
            <v>E</v>
          </cell>
          <cell r="Q418" t="str">
            <v>Carrosserie</v>
          </cell>
          <cell r="R418" t="str">
            <v>Salaires autres</v>
          </cell>
        </row>
        <row r="419">
          <cell r="N419">
            <v>16607.400000000001</v>
          </cell>
          <cell r="O419" t="str">
            <v>E</v>
          </cell>
          <cell r="Q419" t="str">
            <v>Véhicules neufs</v>
          </cell>
          <cell r="R419" t="str">
            <v>Salaires en absences</v>
          </cell>
        </row>
        <row r="420">
          <cell r="N420">
            <v>3336.51</v>
          </cell>
          <cell r="O420" t="str">
            <v>E</v>
          </cell>
          <cell r="Q420" t="str">
            <v>Véhicules usagés</v>
          </cell>
          <cell r="R420" t="str">
            <v>Salaires en absences</v>
          </cell>
        </row>
        <row r="421">
          <cell r="N421">
            <v>23588.14</v>
          </cell>
          <cell r="O421" t="str">
            <v>E</v>
          </cell>
          <cell r="Q421" t="str">
            <v>Service</v>
          </cell>
          <cell r="R421" t="str">
            <v>Salaires en absences</v>
          </cell>
        </row>
        <row r="422">
          <cell r="N422">
            <v>6173.42</v>
          </cell>
          <cell r="O422" t="str">
            <v>E</v>
          </cell>
          <cell r="Q422" t="str">
            <v>Pièces</v>
          </cell>
          <cell r="R422" t="str">
            <v>Salaires en absences</v>
          </cell>
        </row>
        <row r="423">
          <cell r="N423">
            <v>67.760000000000005</v>
          </cell>
          <cell r="O423" t="str">
            <v>E</v>
          </cell>
          <cell r="Q423" t="str">
            <v>Carrosserie</v>
          </cell>
          <cell r="R423" t="str">
            <v>Salaires en absences</v>
          </cell>
        </row>
        <row r="424">
          <cell r="N424">
            <v>10097.4</v>
          </cell>
          <cell r="O424" t="str">
            <v>E</v>
          </cell>
          <cell r="Q424" t="str">
            <v>Véhicules neufs</v>
          </cell>
          <cell r="R424" t="str">
            <v>Salaires en absences</v>
          </cell>
        </row>
        <row r="425">
          <cell r="N425">
            <v>2215.31</v>
          </cell>
          <cell r="O425" t="str">
            <v>E</v>
          </cell>
          <cell r="Q425" t="str">
            <v>Véhicules usagés</v>
          </cell>
          <cell r="R425" t="str">
            <v>Salaires en absences</v>
          </cell>
        </row>
        <row r="426">
          <cell r="N426">
            <v>4761.91</v>
          </cell>
          <cell r="O426" t="str">
            <v>E</v>
          </cell>
          <cell r="Q426" t="str">
            <v>Service</v>
          </cell>
          <cell r="R426" t="str">
            <v>Salaires en absences</v>
          </cell>
        </row>
        <row r="427">
          <cell r="N427">
            <v>5084.83</v>
          </cell>
          <cell r="O427" t="str">
            <v>E</v>
          </cell>
          <cell r="Q427" t="str">
            <v>Pièces</v>
          </cell>
          <cell r="R427" t="str">
            <v>Salaires en absences</v>
          </cell>
        </row>
        <row r="428">
          <cell r="N428">
            <v>2005.44</v>
          </cell>
          <cell r="O428" t="str">
            <v>E</v>
          </cell>
          <cell r="Q428" t="str">
            <v>Carrosserie</v>
          </cell>
          <cell r="R428" t="str">
            <v>Salaires en absences</v>
          </cell>
        </row>
        <row r="429">
          <cell r="N429">
            <v>3944.85</v>
          </cell>
          <cell r="O429" t="str">
            <v>E</v>
          </cell>
          <cell r="Q429" t="str">
            <v>Véhicules neufs</v>
          </cell>
          <cell r="R429" t="str">
            <v>Déduction à la source</v>
          </cell>
        </row>
        <row r="430">
          <cell r="N430">
            <v>1362.17</v>
          </cell>
          <cell r="O430" t="str">
            <v>E</v>
          </cell>
          <cell r="Q430" t="str">
            <v>Véhicules usagés</v>
          </cell>
          <cell r="R430" t="str">
            <v>Déduction à la source</v>
          </cell>
        </row>
        <row r="431">
          <cell r="N431">
            <v>5622.94</v>
          </cell>
          <cell r="O431" t="str">
            <v>E</v>
          </cell>
          <cell r="Q431" t="str">
            <v>Service</v>
          </cell>
          <cell r="R431" t="str">
            <v>Déduction à la source</v>
          </cell>
        </row>
        <row r="432">
          <cell r="N432">
            <v>1060.07</v>
          </cell>
          <cell r="O432" t="str">
            <v>E</v>
          </cell>
          <cell r="Q432" t="str">
            <v>Pièces</v>
          </cell>
          <cell r="R432" t="str">
            <v>Déduction à la source</v>
          </cell>
        </row>
        <row r="433">
          <cell r="N433">
            <v>504.1</v>
          </cell>
          <cell r="O433" t="str">
            <v>E</v>
          </cell>
          <cell r="Q433" t="str">
            <v>Carrosserie</v>
          </cell>
          <cell r="R433" t="str">
            <v>Déduction à la source</v>
          </cell>
        </row>
        <row r="434">
          <cell r="N434">
            <v>11834.45</v>
          </cell>
          <cell r="O434" t="str">
            <v>E</v>
          </cell>
          <cell r="Q434" t="str">
            <v>Véhicules neufs</v>
          </cell>
          <cell r="R434" t="str">
            <v>Déduction à la source</v>
          </cell>
        </row>
        <row r="435">
          <cell r="N435">
            <v>4086.65</v>
          </cell>
          <cell r="O435" t="str">
            <v>E</v>
          </cell>
          <cell r="Q435" t="str">
            <v>Véhicules usagés</v>
          </cell>
          <cell r="R435" t="str">
            <v>Déduction à la source</v>
          </cell>
        </row>
        <row r="436">
          <cell r="N436">
            <v>16849.62</v>
          </cell>
          <cell r="O436" t="str">
            <v>E</v>
          </cell>
          <cell r="Q436" t="str">
            <v>Service</v>
          </cell>
          <cell r="R436" t="str">
            <v>Déduction à la source</v>
          </cell>
        </row>
        <row r="437">
          <cell r="N437">
            <v>3180.26</v>
          </cell>
          <cell r="O437" t="str">
            <v>E</v>
          </cell>
          <cell r="Q437" t="str">
            <v>Pièces</v>
          </cell>
          <cell r="R437" t="str">
            <v>Déduction à la source</v>
          </cell>
        </row>
        <row r="438">
          <cell r="N438">
            <v>-308.17</v>
          </cell>
          <cell r="O438" t="str">
            <v>E</v>
          </cell>
          <cell r="Q438" t="str">
            <v>Carrosserie</v>
          </cell>
          <cell r="R438" t="str">
            <v>Déduction à la source</v>
          </cell>
        </row>
        <row r="439">
          <cell r="N439">
            <v>5998.16</v>
          </cell>
          <cell r="O439" t="str">
            <v>E</v>
          </cell>
          <cell r="Q439" t="str">
            <v>Véhicules neufs</v>
          </cell>
          <cell r="R439" t="str">
            <v>Bénéfices marginaux</v>
          </cell>
        </row>
        <row r="440">
          <cell r="N440">
            <v>2071.25</v>
          </cell>
          <cell r="O440" t="str">
            <v>E</v>
          </cell>
          <cell r="Q440" t="str">
            <v>Véhicules usagés</v>
          </cell>
          <cell r="R440" t="str">
            <v>Bénéfices marginaux</v>
          </cell>
        </row>
        <row r="441">
          <cell r="N441">
            <v>8544.31</v>
          </cell>
          <cell r="O441" t="str">
            <v>E</v>
          </cell>
          <cell r="Q441" t="str">
            <v>Service</v>
          </cell>
          <cell r="R441" t="str">
            <v>Bénéfices marginaux</v>
          </cell>
        </row>
        <row r="442">
          <cell r="N442">
            <v>1611.99</v>
          </cell>
          <cell r="O442" t="str">
            <v>E</v>
          </cell>
          <cell r="Q442" t="str">
            <v>Pièces</v>
          </cell>
          <cell r="R442" t="str">
            <v>Bénéfices marginaux</v>
          </cell>
        </row>
        <row r="443">
          <cell r="N443">
            <v>76.19</v>
          </cell>
          <cell r="O443" t="str">
            <v>E</v>
          </cell>
          <cell r="Q443" t="str">
            <v>Carrosserie</v>
          </cell>
          <cell r="R443" t="str">
            <v>Bénéfices marginaux</v>
          </cell>
        </row>
        <row r="444">
          <cell r="N444">
            <v>17994.34</v>
          </cell>
          <cell r="O444" t="str">
            <v>E</v>
          </cell>
          <cell r="Q444" t="str">
            <v>Véhicules neufs</v>
          </cell>
          <cell r="R444" t="str">
            <v>Bénéfices marginaux</v>
          </cell>
        </row>
        <row r="445">
          <cell r="N445">
            <v>6213.81</v>
          </cell>
          <cell r="O445" t="str">
            <v>E</v>
          </cell>
          <cell r="Q445" t="str">
            <v>Véhicules usagés</v>
          </cell>
          <cell r="R445" t="str">
            <v>Bénéfices marginaux</v>
          </cell>
        </row>
        <row r="446">
          <cell r="N446">
            <v>25626.04</v>
          </cell>
          <cell r="O446" t="str">
            <v>E</v>
          </cell>
          <cell r="Q446" t="str">
            <v>Service</v>
          </cell>
          <cell r="R446" t="str">
            <v>Bénéfices marginaux</v>
          </cell>
        </row>
        <row r="447">
          <cell r="N447">
            <v>5091.07</v>
          </cell>
          <cell r="O447" t="str">
            <v>E</v>
          </cell>
          <cell r="Q447" t="str">
            <v>Pièces</v>
          </cell>
          <cell r="R447" t="str">
            <v>Bénéfices marginaux</v>
          </cell>
        </row>
        <row r="448">
          <cell r="N448">
            <v>-33.409999999999997</v>
          </cell>
          <cell r="O448" t="str">
            <v>E</v>
          </cell>
          <cell r="Q448" t="str">
            <v>Carrosserie</v>
          </cell>
          <cell r="R448" t="str">
            <v>Bénéfices marginaux</v>
          </cell>
        </row>
        <row r="449">
          <cell r="N449">
            <v>1182.73</v>
          </cell>
          <cell r="O449" t="str">
            <v>E</v>
          </cell>
          <cell r="Q449" t="str">
            <v>Véhicules neufs</v>
          </cell>
          <cell r="R449" t="str">
            <v>Csst</v>
          </cell>
        </row>
        <row r="450">
          <cell r="N450">
            <v>368.08</v>
          </cell>
          <cell r="O450" t="str">
            <v>E</v>
          </cell>
          <cell r="Q450" t="str">
            <v>Véhicules usagés</v>
          </cell>
          <cell r="R450" t="str">
            <v>Csst</v>
          </cell>
        </row>
        <row r="451">
          <cell r="N451">
            <v>1869.89</v>
          </cell>
          <cell r="O451" t="str">
            <v>E</v>
          </cell>
          <cell r="Q451" t="str">
            <v>Service</v>
          </cell>
          <cell r="R451" t="str">
            <v>Csst</v>
          </cell>
        </row>
        <row r="452">
          <cell r="N452">
            <v>714.88</v>
          </cell>
          <cell r="O452" t="str">
            <v>E</v>
          </cell>
          <cell r="Q452" t="str">
            <v>Pièces</v>
          </cell>
          <cell r="R452" t="str">
            <v>Csst</v>
          </cell>
        </row>
        <row r="453">
          <cell r="N453">
            <v>-1.99</v>
          </cell>
          <cell r="O453" t="str">
            <v>E</v>
          </cell>
          <cell r="Q453" t="str">
            <v>Carrosserie</v>
          </cell>
          <cell r="R453" t="str">
            <v>Csst</v>
          </cell>
        </row>
        <row r="454">
          <cell r="N454">
            <v>3547.66</v>
          </cell>
          <cell r="O454" t="str">
            <v>E</v>
          </cell>
          <cell r="Q454" t="str">
            <v>Véhicules neufs</v>
          </cell>
          <cell r="R454" t="str">
            <v>Csst</v>
          </cell>
        </row>
        <row r="455">
          <cell r="N455">
            <v>1104.22</v>
          </cell>
          <cell r="O455" t="str">
            <v>E</v>
          </cell>
          <cell r="Q455" t="str">
            <v>Véhicules usagés</v>
          </cell>
          <cell r="R455" t="str">
            <v>Csst</v>
          </cell>
        </row>
        <row r="456">
          <cell r="N456">
            <v>5609.67</v>
          </cell>
          <cell r="O456" t="str">
            <v>E</v>
          </cell>
          <cell r="Q456" t="str">
            <v>Service</v>
          </cell>
          <cell r="R456" t="str">
            <v>Csst</v>
          </cell>
        </row>
        <row r="457">
          <cell r="N457">
            <v>2144.66</v>
          </cell>
          <cell r="O457" t="str">
            <v>E</v>
          </cell>
          <cell r="Q457" t="str">
            <v>Pièces</v>
          </cell>
          <cell r="R457" t="str">
            <v>Csst</v>
          </cell>
        </row>
        <row r="458">
          <cell r="N458">
            <v>-5.96</v>
          </cell>
          <cell r="O458" t="str">
            <v>E</v>
          </cell>
          <cell r="Q458" t="str">
            <v>Carrosserie</v>
          </cell>
          <cell r="R458" t="str">
            <v>Csst</v>
          </cell>
        </row>
        <row r="459">
          <cell r="N459">
            <v>10492.4</v>
          </cell>
          <cell r="O459" t="str">
            <v>E</v>
          </cell>
          <cell r="Q459" t="str">
            <v>Véhicules neufs</v>
          </cell>
          <cell r="R459" t="str">
            <v>Frais véhicules de cie</v>
          </cell>
        </row>
        <row r="460">
          <cell r="N460">
            <v>375.59</v>
          </cell>
          <cell r="O460" t="str">
            <v>E</v>
          </cell>
          <cell r="Q460" t="str">
            <v>Véhicules usagés</v>
          </cell>
          <cell r="R460" t="str">
            <v>Frais véhicules de cie</v>
          </cell>
        </row>
        <row r="461">
          <cell r="N461">
            <v>1491.97</v>
          </cell>
          <cell r="O461" t="str">
            <v>E</v>
          </cell>
          <cell r="Q461" t="str">
            <v>Service</v>
          </cell>
          <cell r="R461" t="str">
            <v>Frais véhicules de cie</v>
          </cell>
        </row>
        <row r="462">
          <cell r="N462">
            <v>1397.32</v>
          </cell>
          <cell r="O462" t="str">
            <v>E</v>
          </cell>
          <cell r="Q462" t="str">
            <v>Pièces</v>
          </cell>
          <cell r="R462" t="str">
            <v>Frais véhicules de cie</v>
          </cell>
        </row>
        <row r="463">
          <cell r="N463">
            <v>94.62</v>
          </cell>
          <cell r="O463" t="str">
            <v>E</v>
          </cell>
          <cell r="Q463" t="str">
            <v>Carrosserie</v>
          </cell>
          <cell r="R463" t="str">
            <v>Frais véhicules de cie</v>
          </cell>
        </row>
        <row r="464">
          <cell r="N464">
            <v>9589.06</v>
          </cell>
          <cell r="O464" t="str">
            <v>E</v>
          </cell>
          <cell r="Q464" t="str">
            <v>Véhicules neufs</v>
          </cell>
          <cell r="R464" t="str">
            <v>Frais véhicules de cie</v>
          </cell>
        </row>
        <row r="465">
          <cell r="N465">
            <v>1126.77</v>
          </cell>
          <cell r="O465" t="str">
            <v>E</v>
          </cell>
          <cell r="Q465" t="str">
            <v>Véhicules usagés</v>
          </cell>
          <cell r="R465" t="str">
            <v>Frais véhicules de cie</v>
          </cell>
        </row>
        <row r="466">
          <cell r="N466">
            <v>2534.4</v>
          </cell>
          <cell r="O466" t="str">
            <v>E</v>
          </cell>
          <cell r="Q466" t="str">
            <v>Service</v>
          </cell>
          <cell r="R466" t="str">
            <v>Frais véhicules de cie</v>
          </cell>
        </row>
        <row r="467">
          <cell r="N467">
            <v>2361.2199999999998</v>
          </cell>
          <cell r="O467" t="str">
            <v>E</v>
          </cell>
          <cell r="Q467" t="str">
            <v>Pièces</v>
          </cell>
          <cell r="R467" t="str">
            <v>Frais véhicules de cie</v>
          </cell>
        </row>
        <row r="468">
          <cell r="N468">
            <v>281</v>
          </cell>
          <cell r="O468" t="str">
            <v>E</v>
          </cell>
          <cell r="Q468" t="str">
            <v>Carrosserie</v>
          </cell>
          <cell r="R468" t="str">
            <v>Frais véhicules de cie</v>
          </cell>
        </row>
        <row r="469">
          <cell r="N469">
            <v>42.16</v>
          </cell>
          <cell r="O469" t="str">
            <v>E</v>
          </cell>
          <cell r="Q469" t="str">
            <v>Véhicules neufs</v>
          </cell>
          <cell r="R469" t="str">
            <v>Frais véhicules de cie</v>
          </cell>
        </row>
        <row r="470">
          <cell r="N470">
            <v>9.3699999999999992</v>
          </cell>
          <cell r="O470" t="str">
            <v>E</v>
          </cell>
          <cell r="Q470" t="str">
            <v>Véhicules usagés</v>
          </cell>
          <cell r="R470" t="str">
            <v>Frais véhicules de cie</v>
          </cell>
        </row>
        <row r="471">
          <cell r="N471">
            <v>27497.1</v>
          </cell>
          <cell r="O471" t="str">
            <v>E</v>
          </cell>
          <cell r="Q471" t="str">
            <v>Service</v>
          </cell>
          <cell r="R471" t="str">
            <v>Frais véhicules de cie</v>
          </cell>
        </row>
        <row r="472">
          <cell r="N472">
            <v>18.73</v>
          </cell>
          <cell r="O472" t="str">
            <v>E</v>
          </cell>
          <cell r="Q472" t="str">
            <v>Pièces</v>
          </cell>
          <cell r="R472" t="str">
            <v>Frais véhicules de cie</v>
          </cell>
        </row>
        <row r="473">
          <cell r="N473">
            <v>2.36</v>
          </cell>
          <cell r="O473" t="str">
            <v>E</v>
          </cell>
          <cell r="Q473" t="str">
            <v>Carrosserie</v>
          </cell>
          <cell r="R473" t="str">
            <v>Frais véhicules de cie</v>
          </cell>
        </row>
        <row r="474">
          <cell r="N474">
            <v>126.49</v>
          </cell>
          <cell r="O474" t="str">
            <v>E</v>
          </cell>
          <cell r="Q474" t="str">
            <v>Véhicules neufs</v>
          </cell>
          <cell r="R474" t="str">
            <v>Frais véhicules de cie</v>
          </cell>
        </row>
        <row r="475">
          <cell r="N475">
            <v>19.55</v>
          </cell>
          <cell r="O475" t="str">
            <v>E</v>
          </cell>
          <cell r="Q475" t="str">
            <v>Véhicules usagés</v>
          </cell>
          <cell r="R475" t="str">
            <v>Frais véhicules de cie</v>
          </cell>
        </row>
        <row r="476">
          <cell r="N476">
            <v>78333.56</v>
          </cell>
          <cell r="O476" t="str">
            <v>E</v>
          </cell>
          <cell r="Q476" t="str">
            <v>Service</v>
          </cell>
          <cell r="R476" t="str">
            <v>Frais véhicules de cie</v>
          </cell>
        </row>
        <row r="477">
          <cell r="N477">
            <v>56.22</v>
          </cell>
          <cell r="O477" t="str">
            <v>E</v>
          </cell>
          <cell r="Q477" t="str">
            <v>Pièces</v>
          </cell>
          <cell r="R477" t="str">
            <v>Frais véhicules de cie</v>
          </cell>
        </row>
        <row r="478">
          <cell r="N478">
            <v>7.01</v>
          </cell>
          <cell r="O478" t="str">
            <v>E</v>
          </cell>
          <cell r="Q478" t="str">
            <v>Carrosserie</v>
          </cell>
          <cell r="R478" t="str">
            <v>Frais véhicules de cie</v>
          </cell>
        </row>
        <row r="479">
          <cell r="N479">
            <v>181.4</v>
          </cell>
          <cell r="O479" t="str">
            <v>E</v>
          </cell>
          <cell r="Q479" t="str">
            <v>Véhicules neufs</v>
          </cell>
          <cell r="R479" t="str">
            <v>Uniformes</v>
          </cell>
        </row>
        <row r="480">
          <cell r="N480">
            <v>26.16</v>
          </cell>
          <cell r="O480" t="str">
            <v>E</v>
          </cell>
          <cell r="Q480" t="str">
            <v>Véhicules usagés</v>
          </cell>
          <cell r="R480" t="str">
            <v>Uniformes</v>
          </cell>
        </row>
        <row r="481">
          <cell r="N481">
            <v>734.24</v>
          </cell>
          <cell r="O481" t="str">
            <v>E</v>
          </cell>
          <cell r="Q481" t="str">
            <v>Service</v>
          </cell>
          <cell r="R481" t="str">
            <v>Uniformes</v>
          </cell>
        </row>
        <row r="482">
          <cell r="N482">
            <v>53.47</v>
          </cell>
          <cell r="O482" t="str">
            <v>E</v>
          </cell>
          <cell r="Q482" t="str">
            <v>Pièces</v>
          </cell>
          <cell r="R482" t="str">
            <v>Uniformes</v>
          </cell>
        </row>
        <row r="483">
          <cell r="N483">
            <v>6.58</v>
          </cell>
          <cell r="O483" t="str">
            <v>E</v>
          </cell>
          <cell r="Q483" t="str">
            <v>Carrosserie</v>
          </cell>
          <cell r="R483" t="str">
            <v>Uniformes</v>
          </cell>
        </row>
        <row r="484">
          <cell r="N484">
            <v>544.25</v>
          </cell>
          <cell r="O484" t="str">
            <v>E</v>
          </cell>
          <cell r="Q484" t="str">
            <v>Véhicules neufs</v>
          </cell>
          <cell r="R484" t="str">
            <v>Uniformes</v>
          </cell>
        </row>
        <row r="485">
          <cell r="N485">
            <v>78.45</v>
          </cell>
          <cell r="O485" t="str">
            <v>E</v>
          </cell>
          <cell r="Q485" t="str">
            <v>Véhicules usagés</v>
          </cell>
          <cell r="R485" t="str">
            <v>Uniformes</v>
          </cell>
        </row>
        <row r="486">
          <cell r="N486">
            <v>1884.14</v>
          </cell>
          <cell r="O486" t="str">
            <v>E</v>
          </cell>
          <cell r="Q486" t="str">
            <v>Service</v>
          </cell>
          <cell r="R486" t="str">
            <v>Uniformes</v>
          </cell>
        </row>
        <row r="487">
          <cell r="N487">
            <v>160.4</v>
          </cell>
          <cell r="O487" t="str">
            <v>E</v>
          </cell>
          <cell r="Q487" t="str">
            <v>Pièces</v>
          </cell>
          <cell r="R487" t="str">
            <v>Uniformes</v>
          </cell>
        </row>
        <row r="488">
          <cell r="N488">
            <v>19.55</v>
          </cell>
          <cell r="O488" t="str">
            <v>E</v>
          </cell>
          <cell r="Q488" t="str">
            <v>Carrosserie</v>
          </cell>
          <cell r="R488" t="str">
            <v>Uniformes</v>
          </cell>
        </row>
        <row r="489">
          <cell r="N489">
            <v>399.95</v>
          </cell>
          <cell r="O489" t="str">
            <v>E</v>
          </cell>
          <cell r="Q489" t="str">
            <v>Véhicules neufs</v>
          </cell>
          <cell r="R489" t="str">
            <v>Papeterie</v>
          </cell>
        </row>
        <row r="490">
          <cell r="N490">
            <v>133.44</v>
          </cell>
          <cell r="O490" t="str">
            <v>E</v>
          </cell>
          <cell r="Q490" t="str">
            <v>Véhicules usagés</v>
          </cell>
          <cell r="R490" t="str">
            <v>Papeterie</v>
          </cell>
        </row>
        <row r="491">
          <cell r="N491">
            <v>200.15</v>
          </cell>
          <cell r="O491" t="str">
            <v>E</v>
          </cell>
          <cell r="Q491" t="str">
            <v>Service</v>
          </cell>
          <cell r="R491" t="str">
            <v>Papeterie</v>
          </cell>
        </row>
        <row r="492">
          <cell r="N492">
            <v>177.75</v>
          </cell>
          <cell r="O492" t="str">
            <v>E</v>
          </cell>
          <cell r="Q492" t="str">
            <v>Pièces</v>
          </cell>
          <cell r="R492" t="str">
            <v>Papeterie</v>
          </cell>
        </row>
        <row r="493">
          <cell r="N493">
            <v>22.37</v>
          </cell>
          <cell r="O493" t="str">
            <v>E</v>
          </cell>
          <cell r="Q493" t="str">
            <v>Carrosserie</v>
          </cell>
          <cell r="R493" t="str">
            <v>Papeterie</v>
          </cell>
        </row>
        <row r="494">
          <cell r="N494">
            <v>1199.9000000000001</v>
          </cell>
          <cell r="O494" t="str">
            <v>E</v>
          </cell>
          <cell r="Q494" t="str">
            <v>Véhicules neufs</v>
          </cell>
          <cell r="R494" t="str">
            <v>Papeterie</v>
          </cell>
        </row>
        <row r="495">
          <cell r="N495">
            <v>400.33</v>
          </cell>
          <cell r="O495" t="str">
            <v>E</v>
          </cell>
          <cell r="Q495" t="str">
            <v>Véhicules usagés</v>
          </cell>
          <cell r="R495" t="str">
            <v>Papeterie</v>
          </cell>
        </row>
        <row r="496">
          <cell r="N496">
            <v>599.75</v>
          </cell>
          <cell r="O496" t="str">
            <v>E</v>
          </cell>
          <cell r="Q496" t="str">
            <v>Service</v>
          </cell>
          <cell r="R496" t="str">
            <v>Papeterie</v>
          </cell>
        </row>
        <row r="497">
          <cell r="N497">
            <v>533.32000000000005</v>
          </cell>
          <cell r="O497" t="str">
            <v>E</v>
          </cell>
          <cell r="Q497" t="str">
            <v>Pièces</v>
          </cell>
          <cell r="R497" t="str">
            <v>Papeterie</v>
          </cell>
        </row>
        <row r="498">
          <cell r="N498">
            <v>66.489999999999995</v>
          </cell>
          <cell r="O498" t="str">
            <v>E</v>
          </cell>
          <cell r="Q498" t="str">
            <v>Carrosserie</v>
          </cell>
          <cell r="R498" t="str">
            <v>Papeterie</v>
          </cell>
        </row>
        <row r="499">
          <cell r="N499">
            <v>54.93</v>
          </cell>
          <cell r="O499" t="str">
            <v>E</v>
          </cell>
          <cell r="Q499" t="str">
            <v>Véhicules neufs</v>
          </cell>
          <cell r="R499" t="str">
            <v>Fournitures autres</v>
          </cell>
        </row>
        <row r="500">
          <cell r="N500">
            <v>2.61</v>
          </cell>
          <cell r="O500" t="str">
            <v>E</v>
          </cell>
          <cell r="Q500" t="str">
            <v>Véhicules usagés</v>
          </cell>
          <cell r="R500" t="str">
            <v>Fournitures autres</v>
          </cell>
        </row>
        <row r="501">
          <cell r="N501">
            <v>-1213.68</v>
          </cell>
          <cell r="O501" t="str">
            <v>E</v>
          </cell>
          <cell r="Q501" t="str">
            <v>Service</v>
          </cell>
          <cell r="R501" t="str">
            <v>Fournitures autres</v>
          </cell>
        </row>
        <row r="502">
          <cell r="N502">
            <v>255.23</v>
          </cell>
          <cell r="O502" t="str">
            <v>E</v>
          </cell>
          <cell r="Q502" t="str">
            <v>Pièces</v>
          </cell>
          <cell r="R502" t="str">
            <v>Fournitures autres</v>
          </cell>
        </row>
        <row r="503">
          <cell r="N503">
            <v>0.66</v>
          </cell>
          <cell r="O503" t="str">
            <v>E</v>
          </cell>
          <cell r="Q503" t="str">
            <v>Carrosserie</v>
          </cell>
          <cell r="R503" t="str">
            <v>Fournitures autres</v>
          </cell>
        </row>
        <row r="504">
          <cell r="N504">
            <v>35.299999999999997</v>
          </cell>
          <cell r="O504" t="str">
            <v>E</v>
          </cell>
          <cell r="Q504" t="str">
            <v>Carrosserie</v>
          </cell>
          <cell r="R504" t="str">
            <v>Fournitures autres</v>
          </cell>
        </row>
        <row r="505">
          <cell r="N505">
            <v>7.84</v>
          </cell>
          <cell r="O505" t="str">
            <v>E</v>
          </cell>
          <cell r="Q505" t="str">
            <v>Véhicules usagés</v>
          </cell>
          <cell r="R505" t="str">
            <v>Fournitures autres</v>
          </cell>
        </row>
        <row r="506">
          <cell r="N506">
            <v>5844.42</v>
          </cell>
          <cell r="O506" t="str">
            <v>E</v>
          </cell>
          <cell r="Q506" t="str">
            <v>Service</v>
          </cell>
          <cell r="R506" t="str">
            <v>Fournitures autres</v>
          </cell>
        </row>
        <row r="507">
          <cell r="N507">
            <v>581.79</v>
          </cell>
          <cell r="O507" t="str">
            <v>E</v>
          </cell>
          <cell r="Q507" t="str">
            <v>Pièces</v>
          </cell>
          <cell r="R507" t="str">
            <v>Fournitures autres</v>
          </cell>
        </row>
        <row r="508">
          <cell r="N508">
            <v>31.93</v>
          </cell>
          <cell r="O508" t="str">
            <v>E</v>
          </cell>
          <cell r="Q508" t="str">
            <v>Carrosserie</v>
          </cell>
          <cell r="R508" t="str">
            <v>Fournitures autres</v>
          </cell>
        </row>
        <row r="509">
          <cell r="N509">
            <v>32.5</v>
          </cell>
          <cell r="O509" t="str">
            <v>E</v>
          </cell>
          <cell r="Q509" t="str">
            <v>Véhicules usagés</v>
          </cell>
          <cell r="R509" t="str">
            <v>Service gratuit 1</v>
          </cell>
        </row>
        <row r="510">
          <cell r="N510">
            <v>32.5</v>
          </cell>
          <cell r="O510" t="str">
            <v>E</v>
          </cell>
          <cell r="Q510" t="str">
            <v>Service</v>
          </cell>
          <cell r="R510" t="str">
            <v>Service gratuit 2</v>
          </cell>
        </row>
        <row r="511">
          <cell r="N511">
            <v>-157.80000000000001</v>
          </cell>
          <cell r="O511" t="str">
            <v>E</v>
          </cell>
          <cell r="Q511" t="str">
            <v>Service</v>
          </cell>
          <cell r="R511" t="str">
            <v>Service gratuit 2</v>
          </cell>
        </row>
        <row r="512">
          <cell r="N512">
            <v>-232.13</v>
          </cell>
          <cell r="O512" t="str">
            <v>E</v>
          </cell>
          <cell r="Q512" t="str">
            <v>Pièces</v>
          </cell>
          <cell r="R512" t="str">
            <v>Service gratuit 2</v>
          </cell>
        </row>
        <row r="513">
          <cell r="N513">
            <v>-1173.5</v>
          </cell>
          <cell r="O513" t="str">
            <v>E</v>
          </cell>
          <cell r="Q513" t="str">
            <v>Service</v>
          </cell>
          <cell r="R513" t="str">
            <v>Service gratuit 2</v>
          </cell>
        </row>
        <row r="514">
          <cell r="N514">
            <v>847.17</v>
          </cell>
          <cell r="O514" t="str">
            <v>E</v>
          </cell>
          <cell r="Q514" t="str">
            <v>Pièces</v>
          </cell>
          <cell r="R514" t="str">
            <v>Service gratuit 2</v>
          </cell>
        </row>
        <row r="515">
          <cell r="N515">
            <v>4220.3599999999997</v>
          </cell>
          <cell r="O515" t="str">
            <v>E</v>
          </cell>
          <cell r="Q515" t="str">
            <v>Véhicules neufs</v>
          </cell>
          <cell r="R515" t="str">
            <v>Informatique</v>
          </cell>
        </row>
        <row r="516">
          <cell r="N516">
            <v>603.55999999999995</v>
          </cell>
          <cell r="O516" t="str">
            <v>E</v>
          </cell>
          <cell r="Q516" t="str">
            <v>Véhicules usagés</v>
          </cell>
          <cell r="R516" t="str">
            <v>Informatique</v>
          </cell>
        </row>
        <row r="517">
          <cell r="N517">
            <v>5866.47</v>
          </cell>
          <cell r="O517" t="str">
            <v>E</v>
          </cell>
          <cell r="Q517" t="str">
            <v>Service</v>
          </cell>
          <cell r="R517" t="str">
            <v>Informatique</v>
          </cell>
        </row>
        <row r="518">
          <cell r="N518">
            <v>1207.0899999999999</v>
          </cell>
          <cell r="O518" t="str">
            <v>E</v>
          </cell>
          <cell r="Q518" t="str">
            <v>Pièces</v>
          </cell>
          <cell r="R518" t="str">
            <v>Informatique</v>
          </cell>
        </row>
        <row r="519">
          <cell r="N519">
            <v>152.07</v>
          </cell>
          <cell r="O519" t="str">
            <v>E</v>
          </cell>
          <cell r="Q519" t="str">
            <v>Carrosserie</v>
          </cell>
          <cell r="R519" t="str">
            <v>Informatique</v>
          </cell>
        </row>
        <row r="520">
          <cell r="N520">
            <v>10818.71</v>
          </cell>
          <cell r="O520" t="str">
            <v>E</v>
          </cell>
          <cell r="Q520" t="str">
            <v>Véhicules neufs</v>
          </cell>
          <cell r="R520" t="str">
            <v>Informatique</v>
          </cell>
        </row>
        <row r="521">
          <cell r="N521">
            <v>1810.65</v>
          </cell>
          <cell r="O521" t="str">
            <v>E</v>
          </cell>
          <cell r="Q521" t="str">
            <v>Véhicules usagés</v>
          </cell>
          <cell r="R521" t="str">
            <v>Informatique</v>
          </cell>
        </row>
        <row r="522">
          <cell r="N522">
            <v>17594.34</v>
          </cell>
          <cell r="O522" t="str">
            <v>E</v>
          </cell>
          <cell r="Q522" t="str">
            <v>Service</v>
          </cell>
          <cell r="R522" t="str">
            <v>Informatique</v>
          </cell>
        </row>
        <row r="523">
          <cell r="N523">
            <v>3621.33</v>
          </cell>
          <cell r="O523" t="str">
            <v>E</v>
          </cell>
          <cell r="Q523" t="str">
            <v>Pièces</v>
          </cell>
          <cell r="R523" t="str">
            <v>Informatique</v>
          </cell>
        </row>
        <row r="524">
          <cell r="N524">
            <v>451.42</v>
          </cell>
          <cell r="O524" t="str">
            <v>E</v>
          </cell>
          <cell r="Q524" t="str">
            <v>Carrosserie</v>
          </cell>
          <cell r="R524" t="str">
            <v>Informatique</v>
          </cell>
        </row>
        <row r="525">
          <cell r="N525">
            <v>5371.75</v>
          </cell>
          <cell r="O525" t="str">
            <v>E</v>
          </cell>
          <cell r="Q525" t="str">
            <v>Véhicules neufs</v>
          </cell>
          <cell r="R525" t="str">
            <v>services extérieurs</v>
          </cell>
        </row>
        <row r="526">
          <cell r="N526">
            <v>778.27</v>
          </cell>
          <cell r="O526" t="str">
            <v>E</v>
          </cell>
          <cell r="Q526" t="str">
            <v>Véhicules usagés</v>
          </cell>
          <cell r="R526" t="str">
            <v>services extérieurs</v>
          </cell>
        </row>
        <row r="527">
          <cell r="N527">
            <v>3368.53</v>
          </cell>
          <cell r="O527" t="str">
            <v>E</v>
          </cell>
          <cell r="Q527" t="str">
            <v>Service</v>
          </cell>
          <cell r="R527" t="str">
            <v>services extérieurs</v>
          </cell>
        </row>
        <row r="528">
          <cell r="N528">
            <v>15352.96</v>
          </cell>
          <cell r="O528" t="str">
            <v>E</v>
          </cell>
          <cell r="Q528" t="str">
            <v>Pièces</v>
          </cell>
          <cell r="R528" t="str">
            <v>services extérieurs</v>
          </cell>
        </row>
        <row r="529">
          <cell r="N529">
            <v>196.12</v>
          </cell>
          <cell r="O529" t="str">
            <v>E</v>
          </cell>
          <cell r="Q529" t="str">
            <v>Carrosserie</v>
          </cell>
          <cell r="R529" t="str">
            <v>Services extérieurs</v>
          </cell>
        </row>
        <row r="530">
          <cell r="N530">
            <v>10505.15</v>
          </cell>
          <cell r="O530" t="str">
            <v>E</v>
          </cell>
          <cell r="Q530" t="str">
            <v>Véhicules neufs</v>
          </cell>
          <cell r="R530" t="str">
            <v>services extérieurs</v>
          </cell>
        </row>
        <row r="531">
          <cell r="N531">
            <v>2334.6</v>
          </cell>
          <cell r="O531" t="str">
            <v>E</v>
          </cell>
          <cell r="Q531" t="str">
            <v>Véhicules usagés</v>
          </cell>
          <cell r="R531" t="str">
            <v>services extérieurs</v>
          </cell>
        </row>
        <row r="532">
          <cell r="N532">
            <v>9949.23</v>
          </cell>
          <cell r="O532" t="str">
            <v>E</v>
          </cell>
          <cell r="Q532" t="str">
            <v>Service</v>
          </cell>
          <cell r="R532" t="str">
            <v>services extérieurs</v>
          </cell>
        </row>
        <row r="533">
          <cell r="N533">
            <v>21167.439999999999</v>
          </cell>
          <cell r="O533" t="str">
            <v>E</v>
          </cell>
          <cell r="Q533" t="str">
            <v>Pièces</v>
          </cell>
          <cell r="R533" t="str">
            <v>services extérieurs</v>
          </cell>
        </row>
        <row r="534">
          <cell r="N534">
            <v>582.13</v>
          </cell>
          <cell r="O534" t="str">
            <v>E</v>
          </cell>
          <cell r="Q534" t="str">
            <v>Carrosserie</v>
          </cell>
          <cell r="R534" t="str">
            <v>Services extérieurs</v>
          </cell>
        </row>
        <row r="535">
          <cell r="N535">
            <v>392.2</v>
          </cell>
          <cell r="O535" t="str">
            <v>E</v>
          </cell>
          <cell r="Q535" t="str">
            <v>Véhicules neufs</v>
          </cell>
          <cell r="R535" t="str">
            <v>Frais de déplacement</v>
          </cell>
        </row>
        <row r="536">
          <cell r="N536">
            <v>87.18</v>
          </cell>
          <cell r="O536" t="str">
            <v>E</v>
          </cell>
          <cell r="Q536" t="str">
            <v>Véhicules usagés</v>
          </cell>
          <cell r="R536" t="str">
            <v>Frais de déplacement</v>
          </cell>
        </row>
        <row r="537">
          <cell r="N537">
            <v>250.33</v>
          </cell>
          <cell r="O537" t="str">
            <v>E</v>
          </cell>
          <cell r="Q537" t="str">
            <v>Service</v>
          </cell>
          <cell r="R537" t="str">
            <v>Frais de déplacement</v>
          </cell>
        </row>
        <row r="538">
          <cell r="N538">
            <v>174.33</v>
          </cell>
          <cell r="O538" t="str">
            <v>E</v>
          </cell>
          <cell r="Q538" t="str">
            <v>Pièces</v>
          </cell>
          <cell r="R538" t="str">
            <v>Frais de déplacement</v>
          </cell>
        </row>
        <row r="539">
          <cell r="N539">
            <v>22.01</v>
          </cell>
          <cell r="O539" t="str">
            <v>E</v>
          </cell>
          <cell r="Q539" t="str">
            <v>Carrosserie</v>
          </cell>
          <cell r="R539" t="str">
            <v>Frais de déplacement</v>
          </cell>
        </row>
        <row r="540">
          <cell r="N540">
            <v>1176.44</v>
          </cell>
          <cell r="O540" t="str">
            <v>E</v>
          </cell>
          <cell r="Q540" t="str">
            <v>Véhicules neufs</v>
          </cell>
          <cell r="R540" t="str">
            <v>Frais de déplacement</v>
          </cell>
        </row>
        <row r="541">
          <cell r="N541">
            <v>261.48</v>
          </cell>
          <cell r="O541" t="str">
            <v>E</v>
          </cell>
          <cell r="Q541" t="str">
            <v>Véhicules usagés</v>
          </cell>
          <cell r="R541" t="str">
            <v>Frais de déplacement</v>
          </cell>
        </row>
        <row r="542">
          <cell r="N542">
            <v>687.48</v>
          </cell>
          <cell r="O542" t="str">
            <v>E</v>
          </cell>
          <cell r="Q542" t="str">
            <v>Service</v>
          </cell>
          <cell r="R542" t="str">
            <v>Frais de déplacement</v>
          </cell>
        </row>
        <row r="543">
          <cell r="N543">
            <v>522.95000000000005</v>
          </cell>
          <cell r="O543" t="str">
            <v>E</v>
          </cell>
          <cell r="Q543" t="str">
            <v>Pièces</v>
          </cell>
          <cell r="R543" t="str">
            <v>Frais de déplacement</v>
          </cell>
        </row>
        <row r="544">
          <cell r="N544">
            <v>65.22</v>
          </cell>
          <cell r="O544" t="str">
            <v>E</v>
          </cell>
          <cell r="Q544" t="str">
            <v>Carrosserie</v>
          </cell>
          <cell r="R544" t="str">
            <v>Frais de déplacement</v>
          </cell>
        </row>
        <row r="545">
          <cell r="N545">
            <v>134.72999999999999</v>
          </cell>
          <cell r="O545" t="str">
            <v>E</v>
          </cell>
          <cell r="Q545" t="str">
            <v>Véhicules neufs</v>
          </cell>
          <cell r="R545" t="str">
            <v>divers</v>
          </cell>
        </row>
        <row r="546">
          <cell r="N546">
            <v>29.94</v>
          </cell>
          <cell r="O546" t="str">
            <v>E</v>
          </cell>
          <cell r="Q546" t="str">
            <v>Véhicules usagés</v>
          </cell>
          <cell r="R546" t="str">
            <v>divers</v>
          </cell>
        </row>
        <row r="547">
          <cell r="N547">
            <v>67.44</v>
          </cell>
          <cell r="O547" t="str">
            <v>E</v>
          </cell>
          <cell r="Q547" t="str">
            <v>Service</v>
          </cell>
          <cell r="R547" t="str">
            <v>divers</v>
          </cell>
        </row>
        <row r="548">
          <cell r="N548">
            <v>59.88</v>
          </cell>
          <cell r="O548" t="str">
            <v>E</v>
          </cell>
          <cell r="Q548" t="str">
            <v>Pièces</v>
          </cell>
          <cell r="R548" t="str">
            <v>divers</v>
          </cell>
        </row>
        <row r="549">
          <cell r="N549">
            <v>7.56</v>
          </cell>
          <cell r="O549" t="str">
            <v>E</v>
          </cell>
          <cell r="Q549" t="str">
            <v>Carrosserie</v>
          </cell>
          <cell r="R549" t="str">
            <v>Divers</v>
          </cell>
        </row>
        <row r="550">
          <cell r="N550">
            <v>404.16</v>
          </cell>
          <cell r="O550" t="str">
            <v>E</v>
          </cell>
          <cell r="Q550" t="str">
            <v>Véhicules neufs</v>
          </cell>
          <cell r="R550" t="str">
            <v>divers</v>
          </cell>
        </row>
        <row r="551">
          <cell r="N551">
            <v>89.82</v>
          </cell>
          <cell r="O551" t="str">
            <v>E</v>
          </cell>
          <cell r="Q551" t="str">
            <v>Véhicules usagés</v>
          </cell>
          <cell r="R551" t="str">
            <v>divers</v>
          </cell>
        </row>
        <row r="552">
          <cell r="N552">
            <v>202.05</v>
          </cell>
          <cell r="O552" t="str">
            <v>E</v>
          </cell>
          <cell r="Q552" t="str">
            <v>Service</v>
          </cell>
          <cell r="R552" t="str">
            <v>divers</v>
          </cell>
        </row>
        <row r="553">
          <cell r="N553">
            <v>179.64</v>
          </cell>
          <cell r="O553" t="str">
            <v>E</v>
          </cell>
          <cell r="Q553" t="str">
            <v>Pièces</v>
          </cell>
          <cell r="R553" t="str">
            <v>divers</v>
          </cell>
        </row>
        <row r="554">
          <cell r="N554">
            <v>22.41</v>
          </cell>
          <cell r="O554" t="str">
            <v>E</v>
          </cell>
          <cell r="Q554" t="str">
            <v>Carrosserie</v>
          </cell>
          <cell r="R554" t="str">
            <v>Divers</v>
          </cell>
        </row>
        <row r="555">
          <cell r="N555">
            <v>2747.84</v>
          </cell>
          <cell r="O555" t="str">
            <v>E</v>
          </cell>
          <cell r="Q555" t="str">
            <v>Véhicules neufs</v>
          </cell>
          <cell r="R555" t="str">
            <v>Honoraires</v>
          </cell>
        </row>
        <row r="556">
          <cell r="N556">
            <v>610.64</v>
          </cell>
          <cell r="O556" t="str">
            <v>E</v>
          </cell>
          <cell r="Q556" t="str">
            <v>Véhicules usagés</v>
          </cell>
          <cell r="R556" t="str">
            <v>Honoraires</v>
          </cell>
        </row>
        <row r="557">
          <cell r="N557">
            <v>1375.13</v>
          </cell>
          <cell r="O557" t="str">
            <v>E</v>
          </cell>
          <cell r="Q557" t="str">
            <v>Service</v>
          </cell>
          <cell r="R557" t="str">
            <v>Honoraires</v>
          </cell>
        </row>
        <row r="558">
          <cell r="N558">
            <v>1221.28</v>
          </cell>
          <cell r="O558" t="str">
            <v>E</v>
          </cell>
          <cell r="Q558" t="str">
            <v>Pièces</v>
          </cell>
          <cell r="R558" t="str">
            <v>Honoraires</v>
          </cell>
        </row>
        <row r="559">
          <cell r="N559">
            <v>153.85</v>
          </cell>
          <cell r="O559" t="str">
            <v>E</v>
          </cell>
          <cell r="Q559" t="str">
            <v>Carrosserie</v>
          </cell>
          <cell r="R559" t="str">
            <v>Honoraires</v>
          </cell>
        </row>
        <row r="560">
          <cell r="N560">
            <v>8243.5300000000007</v>
          </cell>
          <cell r="O560" t="str">
            <v>E</v>
          </cell>
          <cell r="Q560" t="str">
            <v>Véhicules neufs</v>
          </cell>
          <cell r="R560" t="str">
            <v>Honoraires</v>
          </cell>
        </row>
        <row r="561">
          <cell r="N561">
            <v>1831.92</v>
          </cell>
          <cell r="O561" t="str">
            <v>E</v>
          </cell>
          <cell r="Q561" t="str">
            <v>Véhicules usagés</v>
          </cell>
          <cell r="R561" t="str">
            <v>Honoraires</v>
          </cell>
        </row>
        <row r="562">
          <cell r="N562">
            <v>4120.54</v>
          </cell>
          <cell r="O562" t="str">
            <v>E</v>
          </cell>
          <cell r="Q562" t="str">
            <v>Service</v>
          </cell>
          <cell r="R562" t="str">
            <v>Honoraires</v>
          </cell>
        </row>
        <row r="563">
          <cell r="N563">
            <v>3663.81</v>
          </cell>
          <cell r="O563" t="str">
            <v>E</v>
          </cell>
          <cell r="Q563" t="str">
            <v>Pièces</v>
          </cell>
          <cell r="R563" t="str">
            <v>Honoraires</v>
          </cell>
        </row>
        <row r="564">
          <cell r="N564">
            <v>456.76</v>
          </cell>
          <cell r="O564" t="str">
            <v>E</v>
          </cell>
          <cell r="Q564" t="str">
            <v>Carrosserie</v>
          </cell>
          <cell r="R564" t="str">
            <v>Honoraires</v>
          </cell>
        </row>
        <row r="565">
          <cell r="N565">
            <v>369.4</v>
          </cell>
          <cell r="O565" t="str">
            <v>E</v>
          </cell>
          <cell r="Q565" t="str">
            <v>Véhicules neufs</v>
          </cell>
          <cell r="R565" t="str">
            <v>Téléphone</v>
          </cell>
        </row>
        <row r="566">
          <cell r="N566">
            <v>126.96</v>
          </cell>
          <cell r="O566" t="str">
            <v>E</v>
          </cell>
          <cell r="Q566" t="str">
            <v>Véhicules usagés</v>
          </cell>
          <cell r="R566" t="str">
            <v>Téléphone</v>
          </cell>
        </row>
        <row r="567">
          <cell r="N567">
            <v>172.25</v>
          </cell>
          <cell r="O567" t="str">
            <v>E</v>
          </cell>
          <cell r="Q567" t="str">
            <v>Service</v>
          </cell>
          <cell r="R567" t="str">
            <v>Téléphone</v>
          </cell>
        </row>
        <row r="568">
          <cell r="N568">
            <v>152.94999999999999</v>
          </cell>
          <cell r="O568" t="str">
            <v>E</v>
          </cell>
          <cell r="Q568" t="str">
            <v>Pièces</v>
          </cell>
          <cell r="R568" t="str">
            <v>Téléphone</v>
          </cell>
        </row>
        <row r="569">
          <cell r="N569">
            <v>19.3</v>
          </cell>
          <cell r="O569" t="str">
            <v>E</v>
          </cell>
          <cell r="Q569" t="str">
            <v>Carrosserie</v>
          </cell>
          <cell r="R569" t="str">
            <v>Téléphone</v>
          </cell>
        </row>
        <row r="570">
          <cell r="N570">
            <v>1108.0899999999999</v>
          </cell>
          <cell r="O570" t="str">
            <v>E</v>
          </cell>
          <cell r="Q570" t="str">
            <v>Véhicules neufs</v>
          </cell>
          <cell r="R570" t="str">
            <v>Téléphone</v>
          </cell>
        </row>
        <row r="571">
          <cell r="N571">
            <v>229.46</v>
          </cell>
          <cell r="O571" t="str">
            <v>E</v>
          </cell>
          <cell r="Q571" t="str">
            <v>Véhicules usagés</v>
          </cell>
          <cell r="R571" t="str">
            <v>Téléphone</v>
          </cell>
        </row>
        <row r="572">
          <cell r="N572">
            <v>516.08000000000004</v>
          </cell>
          <cell r="O572" t="str">
            <v>E</v>
          </cell>
          <cell r="Q572" t="str">
            <v>Service</v>
          </cell>
          <cell r="R572" t="str">
            <v>Téléphone</v>
          </cell>
        </row>
        <row r="573">
          <cell r="N573">
            <v>458.86</v>
          </cell>
          <cell r="O573" t="str">
            <v>E</v>
          </cell>
          <cell r="Q573" t="str">
            <v>Pièces</v>
          </cell>
          <cell r="R573" t="str">
            <v>Téléphone</v>
          </cell>
        </row>
        <row r="574">
          <cell r="N574">
            <v>57.21</v>
          </cell>
          <cell r="O574" t="str">
            <v>E</v>
          </cell>
          <cell r="Q574" t="str">
            <v>Carrosserie</v>
          </cell>
          <cell r="R574" t="str">
            <v>Téléphone</v>
          </cell>
        </row>
        <row r="575">
          <cell r="N575">
            <v>104.6</v>
          </cell>
          <cell r="O575" t="str">
            <v>E</v>
          </cell>
          <cell r="Q575" t="str">
            <v>Véhicules neufs</v>
          </cell>
          <cell r="R575" t="str">
            <v>frais postaux</v>
          </cell>
        </row>
        <row r="576">
          <cell r="N576">
            <v>23.24</v>
          </cell>
          <cell r="O576" t="str">
            <v>E</v>
          </cell>
          <cell r="Q576" t="str">
            <v>Véhicules usagés</v>
          </cell>
          <cell r="R576" t="str">
            <v>frais postaux</v>
          </cell>
        </row>
        <row r="577">
          <cell r="N577">
            <v>-257.44</v>
          </cell>
          <cell r="O577" t="str">
            <v>E</v>
          </cell>
          <cell r="Q577" t="str">
            <v>Service</v>
          </cell>
          <cell r="R577" t="str">
            <v>frais postaux</v>
          </cell>
        </row>
        <row r="578">
          <cell r="N578">
            <v>354.42</v>
          </cell>
          <cell r="O578" t="str">
            <v>E</v>
          </cell>
          <cell r="Q578" t="str">
            <v>Pièces</v>
          </cell>
          <cell r="R578" t="str">
            <v>frais postaux</v>
          </cell>
        </row>
        <row r="579">
          <cell r="N579">
            <v>5.85</v>
          </cell>
          <cell r="O579" t="str">
            <v>E</v>
          </cell>
          <cell r="Q579" t="str">
            <v>Carrosserie</v>
          </cell>
          <cell r="R579" t="str">
            <v>Frais postaux</v>
          </cell>
        </row>
        <row r="580">
          <cell r="N580">
            <v>313.77</v>
          </cell>
          <cell r="O580" t="str">
            <v>E</v>
          </cell>
          <cell r="Q580" t="str">
            <v>Véhicules neufs</v>
          </cell>
          <cell r="R580" t="str">
            <v>frais postaux</v>
          </cell>
        </row>
        <row r="581">
          <cell r="N581">
            <v>69.73</v>
          </cell>
          <cell r="O581" t="str">
            <v>E</v>
          </cell>
          <cell r="Q581" t="str">
            <v>Véhicules usagés</v>
          </cell>
          <cell r="R581" t="str">
            <v>frais postaux</v>
          </cell>
        </row>
        <row r="582">
          <cell r="N582">
            <v>156.84</v>
          </cell>
          <cell r="O582" t="str">
            <v>E</v>
          </cell>
          <cell r="Q582" t="str">
            <v>Service</v>
          </cell>
          <cell r="R582" t="str">
            <v>frais postaux</v>
          </cell>
        </row>
        <row r="583">
          <cell r="N583">
            <v>437.44</v>
          </cell>
          <cell r="O583" t="str">
            <v>E</v>
          </cell>
          <cell r="Q583" t="str">
            <v>Pièces</v>
          </cell>
          <cell r="R583" t="str">
            <v>frais postaux</v>
          </cell>
        </row>
        <row r="584">
          <cell r="N584">
            <v>17.39</v>
          </cell>
          <cell r="O584" t="str">
            <v>E</v>
          </cell>
          <cell r="Q584" t="str">
            <v>Carrosserie</v>
          </cell>
          <cell r="R584" t="str">
            <v>Frais postaux</v>
          </cell>
        </row>
        <row r="585">
          <cell r="N585">
            <v>1629.88</v>
          </cell>
          <cell r="O585" t="str">
            <v>E</v>
          </cell>
          <cell r="Q585" t="str">
            <v>Véhicules neufs</v>
          </cell>
          <cell r="R585" t="str">
            <v>formation</v>
          </cell>
        </row>
        <row r="586">
          <cell r="N586">
            <v>6.63</v>
          </cell>
          <cell r="O586" t="str">
            <v>E</v>
          </cell>
          <cell r="Q586" t="str">
            <v>Véhicules usagés</v>
          </cell>
          <cell r="R586" t="str">
            <v>formation</v>
          </cell>
        </row>
        <row r="587">
          <cell r="N587">
            <v>1898.42</v>
          </cell>
          <cell r="O587" t="str">
            <v>E</v>
          </cell>
          <cell r="Q587" t="str">
            <v>Service</v>
          </cell>
          <cell r="R587" t="str">
            <v>formation</v>
          </cell>
        </row>
        <row r="588">
          <cell r="N588">
            <v>13.29</v>
          </cell>
          <cell r="O588" t="str">
            <v>E</v>
          </cell>
          <cell r="Q588" t="str">
            <v>Pièces</v>
          </cell>
          <cell r="R588" t="str">
            <v>formation</v>
          </cell>
        </row>
        <row r="589">
          <cell r="N589">
            <v>1.68</v>
          </cell>
          <cell r="O589" t="str">
            <v>E</v>
          </cell>
          <cell r="Q589" t="str">
            <v>Carrosserie</v>
          </cell>
          <cell r="R589" t="str">
            <v>Formation</v>
          </cell>
        </row>
        <row r="590">
          <cell r="N590">
            <v>89.64</v>
          </cell>
          <cell r="O590" t="str">
            <v>E</v>
          </cell>
          <cell r="Q590" t="str">
            <v>Véhicules neufs</v>
          </cell>
          <cell r="R590" t="str">
            <v>formation</v>
          </cell>
        </row>
        <row r="591">
          <cell r="N591">
            <v>19.920000000000002</v>
          </cell>
          <cell r="O591" t="str">
            <v>E</v>
          </cell>
          <cell r="Q591" t="str">
            <v>Véhicules usagés</v>
          </cell>
          <cell r="R591" t="str">
            <v>formation</v>
          </cell>
        </row>
        <row r="592">
          <cell r="N592">
            <v>3458.34</v>
          </cell>
          <cell r="O592" t="str">
            <v>E</v>
          </cell>
          <cell r="Q592" t="str">
            <v>Service</v>
          </cell>
          <cell r="R592" t="str">
            <v>formation</v>
          </cell>
        </row>
        <row r="593">
          <cell r="N593">
            <v>39.840000000000003</v>
          </cell>
          <cell r="O593" t="str">
            <v>E</v>
          </cell>
          <cell r="Q593" t="str">
            <v>Pièces</v>
          </cell>
          <cell r="R593" t="str">
            <v>formation</v>
          </cell>
        </row>
        <row r="594">
          <cell r="N594">
            <v>4.9800000000000004</v>
          </cell>
          <cell r="O594" t="str">
            <v>E</v>
          </cell>
          <cell r="Q594" t="str">
            <v>Carrosserie</v>
          </cell>
          <cell r="R594" t="str">
            <v>Formation</v>
          </cell>
        </row>
        <row r="595">
          <cell r="N595">
            <v>2693.28</v>
          </cell>
          <cell r="O595" t="str">
            <v>E</v>
          </cell>
          <cell r="Q595" t="str">
            <v>Véhicules neufs</v>
          </cell>
          <cell r="R595" t="str">
            <v>frais bancaires</v>
          </cell>
        </row>
        <row r="596">
          <cell r="N596">
            <v>598.52</v>
          </cell>
          <cell r="O596" t="str">
            <v>E</v>
          </cell>
          <cell r="Q596" t="str">
            <v>Véhicules usagés</v>
          </cell>
          <cell r="R596" t="str">
            <v>frais bancaires</v>
          </cell>
        </row>
        <row r="597">
          <cell r="N597">
            <v>1347.84</v>
          </cell>
          <cell r="O597" t="str">
            <v>E</v>
          </cell>
          <cell r="Q597" t="str">
            <v>Service</v>
          </cell>
          <cell r="R597" t="str">
            <v>frais bancaires</v>
          </cell>
        </row>
        <row r="598">
          <cell r="N598">
            <v>1196.99</v>
          </cell>
          <cell r="O598" t="str">
            <v>E</v>
          </cell>
          <cell r="Q598" t="str">
            <v>Pièces</v>
          </cell>
          <cell r="R598" t="str">
            <v>frais bancaires</v>
          </cell>
        </row>
        <row r="599">
          <cell r="N599">
            <v>150.81</v>
          </cell>
          <cell r="O599" t="str">
            <v>E</v>
          </cell>
          <cell r="Q599" t="str">
            <v>Carrosserie</v>
          </cell>
          <cell r="R599" t="str">
            <v>Frais bancaires</v>
          </cell>
        </row>
        <row r="600">
          <cell r="N600">
            <v>8079.81</v>
          </cell>
          <cell r="O600" t="str">
            <v>E</v>
          </cell>
          <cell r="Q600" t="str">
            <v>Véhicules neufs</v>
          </cell>
          <cell r="R600" t="str">
            <v>frais bancaires</v>
          </cell>
        </row>
        <row r="601">
          <cell r="N601">
            <v>1945.55</v>
          </cell>
          <cell r="O601" t="str">
            <v>E</v>
          </cell>
          <cell r="Q601" t="str">
            <v>Véhicules usagés</v>
          </cell>
          <cell r="R601" t="str">
            <v>frais bancaires</v>
          </cell>
        </row>
        <row r="602">
          <cell r="N602">
            <v>4038.74</v>
          </cell>
          <cell r="O602" t="str">
            <v>E</v>
          </cell>
          <cell r="Q602" t="str">
            <v>Service</v>
          </cell>
          <cell r="R602" t="str">
            <v>frais bancaires</v>
          </cell>
        </row>
        <row r="603">
          <cell r="N603">
            <v>3591.04</v>
          </cell>
          <cell r="O603" t="str">
            <v>E</v>
          </cell>
          <cell r="Q603" t="str">
            <v>Pièces</v>
          </cell>
          <cell r="R603" t="str">
            <v>frais bancaires</v>
          </cell>
        </row>
        <row r="604">
          <cell r="N604">
            <v>447.71</v>
          </cell>
          <cell r="O604" t="str">
            <v>E</v>
          </cell>
          <cell r="Q604" t="str">
            <v>Carrosserie</v>
          </cell>
          <cell r="R604" t="str">
            <v>Frais bancaires</v>
          </cell>
        </row>
        <row r="605">
          <cell r="N605">
            <v>1219</v>
          </cell>
          <cell r="O605" t="str">
            <v>E</v>
          </cell>
          <cell r="Q605" t="str">
            <v>Véhicules usagés</v>
          </cell>
          <cell r="R605" t="str">
            <v>Service gratuit 1</v>
          </cell>
        </row>
        <row r="606">
          <cell r="N606">
            <v>914.99</v>
          </cell>
          <cell r="O606" t="str">
            <v>E</v>
          </cell>
          <cell r="Q606" t="str">
            <v>Service</v>
          </cell>
          <cell r="R606" t="str">
            <v>Service gratuit 2</v>
          </cell>
        </row>
        <row r="607">
          <cell r="N607">
            <v>897.95</v>
          </cell>
          <cell r="O607" t="str">
            <v>E</v>
          </cell>
          <cell r="Q607" t="str">
            <v>Pièces</v>
          </cell>
          <cell r="R607" t="str">
            <v>Service gratuit 2</v>
          </cell>
        </row>
        <row r="608">
          <cell r="N608">
            <v>6895.5</v>
          </cell>
          <cell r="O608" t="str">
            <v>E</v>
          </cell>
          <cell r="Q608" t="str">
            <v>Véhicules neufs</v>
          </cell>
          <cell r="R608" t="str">
            <v>Service gratuit 1</v>
          </cell>
        </row>
        <row r="609">
          <cell r="N609">
            <v>728.81</v>
          </cell>
          <cell r="O609" t="str">
            <v>E</v>
          </cell>
          <cell r="Q609" t="str">
            <v>Véhicules usagés</v>
          </cell>
          <cell r="R609" t="str">
            <v>Service gratuit 1</v>
          </cell>
        </row>
        <row r="610">
          <cell r="N610">
            <v>10235.19</v>
          </cell>
          <cell r="O610" t="str">
            <v>E</v>
          </cell>
          <cell r="Q610" t="str">
            <v>Service</v>
          </cell>
          <cell r="R610" t="str">
            <v>Service gratuit 2</v>
          </cell>
        </row>
        <row r="611">
          <cell r="N611">
            <v>526.53</v>
          </cell>
          <cell r="O611" t="str">
            <v>E</v>
          </cell>
          <cell r="Q611" t="str">
            <v>Pièces</v>
          </cell>
          <cell r="R611" t="str">
            <v>Service gratuit 2</v>
          </cell>
        </row>
        <row r="612">
          <cell r="N612">
            <v>590.99</v>
          </cell>
          <cell r="O612" t="str">
            <v>E</v>
          </cell>
          <cell r="Q612" t="str">
            <v>Véhicules neufs</v>
          </cell>
          <cell r="R612" t="str">
            <v>divers</v>
          </cell>
        </row>
        <row r="613">
          <cell r="N613">
            <v>131.34</v>
          </cell>
          <cell r="O613" t="str">
            <v>E</v>
          </cell>
          <cell r="Q613" t="str">
            <v>Véhicules usagés</v>
          </cell>
          <cell r="R613" t="str">
            <v>divers</v>
          </cell>
        </row>
        <row r="614">
          <cell r="N614">
            <v>1091.3399999999999</v>
          </cell>
          <cell r="O614" t="str">
            <v>E</v>
          </cell>
          <cell r="Q614" t="str">
            <v>Service</v>
          </cell>
          <cell r="R614" t="str">
            <v>divers</v>
          </cell>
        </row>
        <row r="615">
          <cell r="N615">
            <v>262.64999999999998</v>
          </cell>
          <cell r="O615" t="str">
            <v>E</v>
          </cell>
          <cell r="Q615" t="str">
            <v>Pièces</v>
          </cell>
          <cell r="R615" t="str">
            <v>divers</v>
          </cell>
        </row>
        <row r="616">
          <cell r="N616">
            <v>33.1</v>
          </cell>
          <cell r="O616" t="str">
            <v>E</v>
          </cell>
          <cell r="Q616" t="str">
            <v>Carrosserie</v>
          </cell>
          <cell r="R616" t="str">
            <v>Divers</v>
          </cell>
        </row>
        <row r="617">
          <cell r="N617">
            <v>1772.79</v>
          </cell>
          <cell r="O617" t="str">
            <v>E</v>
          </cell>
          <cell r="Q617" t="str">
            <v>Véhicules neufs</v>
          </cell>
          <cell r="R617" t="str">
            <v>divers</v>
          </cell>
        </row>
        <row r="618">
          <cell r="N618">
            <v>394</v>
          </cell>
          <cell r="O618" t="str">
            <v>E</v>
          </cell>
          <cell r="Q618" t="str">
            <v>Véhicules usagés</v>
          </cell>
          <cell r="R618" t="str">
            <v>divers</v>
          </cell>
        </row>
        <row r="619">
          <cell r="N619">
            <v>886.19</v>
          </cell>
          <cell r="O619" t="str">
            <v>E</v>
          </cell>
          <cell r="Q619" t="str">
            <v>Service</v>
          </cell>
          <cell r="R619" t="str">
            <v>divers</v>
          </cell>
        </row>
        <row r="620">
          <cell r="N620">
            <v>787.95</v>
          </cell>
          <cell r="O620" t="str">
            <v>E</v>
          </cell>
          <cell r="Q620" t="str">
            <v>Pièces</v>
          </cell>
          <cell r="R620" t="str">
            <v>divers</v>
          </cell>
        </row>
        <row r="621">
          <cell r="N621">
            <v>98.25</v>
          </cell>
          <cell r="O621" t="str">
            <v>E</v>
          </cell>
          <cell r="Q621" t="str">
            <v>Carrosserie</v>
          </cell>
          <cell r="R621" t="str">
            <v>Divers</v>
          </cell>
        </row>
        <row r="622">
          <cell r="N622">
            <v>15801.09</v>
          </cell>
          <cell r="O622" t="str">
            <v>E</v>
          </cell>
          <cell r="Q622" t="str">
            <v>Véhicules neufs</v>
          </cell>
          <cell r="R622" t="str">
            <v>Loyer</v>
          </cell>
        </row>
        <row r="623">
          <cell r="N623">
            <v>3511.35</v>
          </cell>
          <cell r="O623" t="str">
            <v>E</v>
          </cell>
          <cell r="Q623" t="str">
            <v>Véhicules usagés</v>
          </cell>
          <cell r="R623" t="str">
            <v>Loyer</v>
          </cell>
        </row>
        <row r="624">
          <cell r="N624">
            <v>7907.55</v>
          </cell>
          <cell r="O624" t="str">
            <v>E</v>
          </cell>
          <cell r="Q624" t="str">
            <v>Service</v>
          </cell>
          <cell r="R624" t="str">
            <v>Loyer</v>
          </cell>
        </row>
        <row r="625">
          <cell r="N625">
            <v>7022.7</v>
          </cell>
          <cell r="O625" t="str">
            <v>E</v>
          </cell>
          <cell r="Q625" t="str">
            <v>Pièces</v>
          </cell>
          <cell r="R625" t="str">
            <v>Loyer</v>
          </cell>
        </row>
        <row r="626">
          <cell r="N626">
            <v>884.85</v>
          </cell>
          <cell r="O626" t="str">
            <v>E</v>
          </cell>
          <cell r="Q626" t="str">
            <v>Carrosserie</v>
          </cell>
          <cell r="R626" t="str">
            <v>Loyer</v>
          </cell>
        </row>
        <row r="627">
          <cell r="N627">
            <v>47403.21</v>
          </cell>
          <cell r="O627" t="str">
            <v>E</v>
          </cell>
          <cell r="Q627" t="str">
            <v>Véhicules neufs</v>
          </cell>
          <cell r="R627" t="str">
            <v>Loyer</v>
          </cell>
        </row>
        <row r="628">
          <cell r="N628">
            <v>10534.05</v>
          </cell>
          <cell r="O628" t="str">
            <v>E</v>
          </cell>
          <cell r="Q628" t="str">
            <v>Véhicules usagés</v>
          </cell>
          <cell r="R628" t="str">
            <v>Loyer</v>
          </cell>
        </row>
        <row r="629">
          <cell r="N629">
            <v>23694.6</v>
          </cell>
          <cell r="O629" t="str">
            <v>E</v>
          </cell>
          <cell r="Q629" t="str">
            <v>Service</v>
          </cell>
          <cell r="R629" t="str">
            <v>Loyer</v>
          </cell>
        </row>
        <row r="630">
          <cell r="N630">
            <v>21068.1</v>
          </cell>
          <cell r="O630" t="str">
            <v>E</v>
          </cell>
          <cell r="Q630" t="str">
            <v>Pièces</v>
          </cell>
          <cell r="R630" t="str">
            <v>Loyer</v>
          </cell>
        </row>
        <row r="631">
          <cell r="N631">
            <v>2626.5</v>
          </cell>
          <cell r="O631" t="str">
            <v>E</v>
          </cell>
          <cell r="Q631" t="str">
            <v>Carrosserie</v>
          </cell>
          <cell r="R631" t="str">
            <v>Loyer</v>
          </cell>
        </row>
        <row r="632">
          <cell r="N632">
            <v>607.5</v>
          </cell>
          <cell r="O632" t="str">
            <v>E</v>
          </cell>
          <cell r="Q632" t="str">
            <v>Véhicules neufs</v>
          </cell>
          <cell r="R632" t="str">
            <v>amortissement</v>
          </cell>
        </row>
        <row r="633">
          <cell r="N633">
            <v>135</v>
          </cell>
          <cell r="O633" t="str">
            <v>E</v>
          </cell>
          <cell r="Q633" t="str">
            <v>Véhicules usagés</v>
          </cell>
          <cell r="R633" t="str">
            <v>amortissement</v>
          </cell>
        </row>
        <row r="634">
          <cell r="N634">
            <v>304.02</v>
          </cell>
          <cell r="O634" t="str">
            <v>E</v>
          </cell>
          <cell r="Q634" t="str">
            <v>Service</v>
          </cell>
          <cell r="R634" t="str">
            <v>amortissement</v>
          </cell>
        </row>
        <row r="635">
          <cell r="N635">
            <v>270</v>
          </cell>
          <cell r="O635" t="str">
            <v>E</v>
          </cell>
          <cell r="Q635" t="str">
            <v>Pièces</v>
          </cell>
          <cell r="R635" t="str">
            <v>amortissement</v>
          </cell>
        </row>
        <row r="636">
          <cell r="N636">
            <v>34.020000000000003</v>
          </cell>
          <cell r="O636" t="str">
            <v>E</v>
          </cell>
          <cell r="Q636" t="str">
            <v>Carrosserie</v>
          </cell>
          <cell r="R636" t="str">
            <v>Amortissement</v>
          </cell>
        </row>
        <row r="637">
          <cell r="N637">
            <v>1822.5</v>
          </cell>
          <cell r="O637" t="str">
            <v>E</v>
          </cell>
          <cell r="Q637" t="str">
            <v>Véhicules neufs</v>
          </cell>
          <cell r="R637" t="str">
            <v>amortissement</v>
          </cell>
        </row>
        <row r="638">
          <cell r="N638">
            <v>405</v>
          </cell>
          <cell r="O638" t="str">
            <v>E</v>
          </cell>
          <cell r="Q638" t="str">
            <v>Véhicules usagés</v>
          </cell>
          <cell r="R638" t="str">
            <v>amortissement</v>
          </cell>
        </row>
        <row r="639">
          <cell r="N639">
            <v>910.98</v>
          </cell>
          <cell r="O639" t="str">
            <v>E</v>
          </cell>
          <cell r="Q639" t="str">
            <v>Service</v>
          </cell>
          <cell r="R639" t="str">
            <v>amortissement</v>
          </cell>
        </row>
        <row r="640">
          <cell r="N640">
            <v>810</v>
          </cell>
          <cell r="O640" t="str">
            <v>E</v>
          </cell>
          <cell r="Q640" t="str">
            <v>Pièces</v>
          </cell>
          <cell r="R640" t="str">
            <v>amortissement</v>
          </cell>
        </row>
        <row r="641">
          <cell r="N641">
            <v>100.98</v>
          </cell>
          <cell r="O641" t="str">
            <v>E</v>
          </cell>
          <cell r="Q641" t="str">
            <v>Carrosserie</v>
          </cell>
          <cell r="R641" t="str">
            <v>Amortissement</v>
          </cell>
        </row>
        <row r="642">
          <cell r="N642">
            <v>180.34</v>
          </cell>
          <cell r="O642" t="str">
            <v>E</v>
          </cell>
          <cell r="Q642" t="str">
            <v>Véhicules neufs</v>
          </cell>
          <cell r="R642" t="str">
            <v>Services extérieurs</v>
          </cell>
        </row>
        <row r="643">
          <cell r="N643">
            <v>40.08</v>
          </cell>
          <cell r="O643" t="str">
            <v>E</v>
          </cell>
          <cell r="Q643" t="str">
            <v>Véhicules usagés</v>
          </cell>
          <cell r="R643" t="str">
            <v>Services extérieurs</v>
          </cell>
        </row>
        <row r="644">
          <cell r="N644">
            <v>105.26</v>
          </cell>
          <cell r="O644" t="str">
            <v>E</v>
          </cell>
          <cell r="Q644" t="str">
            <v>Service</v>
          </cell>
          <cell r="R644" t="str">
            <v>Services extérieurs</v>
          </cell>
        </row>
        <row r="645">
          <cell r="N645">
            <v>80.16</v>
          </cell>
          <cell r="O645" t="str">
            <v>E</v>
          </cell>
          <cell r="Q645" t="str">
            <v>Pièces</v>
          </cell>
          <cell r="R645" t="str">
            <v>Services extérieurs</v>
          </cell>
        </row>
        <row r="646">
          <cell r="N646">
            <v>10.1</v>
          </cell>
          <cell r="O646" t="str">
            <v>E</v>
          </cell>
          <cell r="Q646" t="str">
            <v>Carrosserie</v>
          </cell>
          <cell r="R646" t="str">
            <v>Services extérieurs</v>
          </cell>
        </row>
        <row r="647">
          <cell r="N647">
            <v>541.03</v>
          </cell>
          <cell r="O647" t="str">
            <v>E</v>
          </cell>
          <cell r="Q647" t="str">
            <v>Véhicules neufs</v>
          </cell>
          <cell r="R647" t="str">
            <v>Services extérieurs</v>
          </cell>
        </row>
        <row r="648">
          <cell r="N648">
            <v>120.23</v>
          </cell>
          <cell r="O648" t="str">
            <v>E</v>
          </cell>
          <cell r="Q648" t="str">
            <v>Véhicules usagés</v>
          </cell>
          <cell r="R648" t="str">
            <v>Services extérieurs</v>
          </cell>
        </row>
        <row r="649">
          <cell r="N649">
            <v>270.44</v>
          </cell>
          <cell r="O649" t="str">
            <v>E</v>
          </cell>
          <cell r="Q649" t="str">
            <v>Service</v>
          </cell>
          <cell r="R649" t="str">
            <v>Services extérieurs</v>
          </cell>
        </row>
        <row r="650">
          <cell r="N650">
            <v>240.47</v>
          </cell>
          <cell r="O650" t="str">
            <v>E</v>
          </cell>
          <cell r="Q650" t="str">
            <v>Pièces</v>
          </cell>
          <cell r="R650" t="str">
            <v>Services extérieurs</v>
          </cell>
        </row>
        <row r="651">
          <cell r="N651">
            <v>2003.73</v>
          </cell>
          <cell r="O651" t="str">
            <v>E</v>
          </cell>
          <cell r="Q651" t="str">
            <v>Véhicules neufs</v>
          </cell>
          <cell r="R651" t="str">
            <v>Taxes foncières</v>
          </cell>
        </row>
        <row r="652">
          <cell r="N652">
            <v>445.29</v>
          </cell>
          <cell r="O652" t="str">
            <v>E</v>
          </cell>
          <cell r="Q652" t="str">
            <v>Véhicules usagés</v>
          </cell>
          <cell r="R652" t="str">
            <v>Taxes foncières</v>
          </cell>
        </row>
        <row r="653">
          <cell r="N653">
            <v>1002.75</v>
          </cell>
          <cell r="O653" t="str">
            <v>E</v>
          </cell>
          <cell r="Q653" t="str">
            <v>Service</v>
          </cell>
          <cell r="R653" t="str">
            <v>Taxes foncières</v>
          </cell>
        </row>
        <row r="654">
          <cell r="N654">
            <v>890.55</v>
          </cell>
          <cell r="O654" t="str">
            <v>E</v>
          </cell>
          <cell r="Q654" t="str">
            <v>Pièces</v>
          </cell>
          <cell r="R654" t="str">
            <v>Taxes foncières</v>
          </cell>
        </row>
        <row r="655">
          <cell r="N655">
            <v>112.2</v>
          </cell>
          <cell r="O655" t="str">
            <v>E</v>
          </cell>
          <cell r="Q655" t="str">
            <v>Carrosserie</v>
          </cell>
          <cell r="R655" t="str">
            <v>Taxes foncières</v>
          </cell>
        </row>
        <row r="656">
          <cell r="N656">
            <v>6011.25</v>
          </cell>
          <cell r="O656" t="str">
            <v>E</v>
          </cell>
          <cell r="Q656" t="str">
            <v>Véhicules neufs</v>
          </cell>
          <cell r="R656" t="str">
            <v>Taxes foncières</v>
          </cell>
        </row>
        <row r="657">
          <cell r="N657">
            <v>1335.84</v>
          </cell>
          <cell r="O657" t="str">
            <v>E</v>
          </cell>
          <cell r="Q657" t="str">
            <v>Véhicules usagés</v>
          </cell>
          <cell r="R657" t="str">
            <v>Taxes foncières</v>
          </cell>
        </row>
        <row r="658">
          <cell r="N658">
            <v>3004.74</v>
          </cell>
          <cell r="O658" t="str">
            <v>E</v>
          </cell>
          <cell r="Q658" t="str">
            <v>Service</v>
          </cell>
          <cell r="R658" t="str">
            <v>Taxes foncières</v>
          </cell>
        </row>
        <row r="659">
          <cell r="N659">
            <v>2671.65</v>
          </cell>
          <cell r="O659" t="str">
            <v>E</v>
          </cell>
          <cell r="Q659" t="str">
            <v>Pièces</v>
          </cell>
          <cell r="R659" t="str">
            <v>Taxes foncières</v>
          </cell>
        </row>
        <row r="660">
          <cell r="N660">
            <v>333.06</v>
          </cell>
          <cell r="O660" t="str">
            <v>E</v>
          </cell>
          <cell r="Q660" t="str">
            <v>Carrosserie</v>
          </cell>
          <cell r="R660" t="str">
            <v>Taxes foncières</v>
          </cell>
        </row>
        <row r="661">
          <cell r="N661">
            <v>3017.05</v>
          </cell>
          <cell r="O661" t="str">
            <v>E</v>
          </cell>
          <cell r="Q661" t="str">
            <v>Véhicules neufs</v>
          </cell>
          <cell r="R661" t="str">
            <v>Assurances</v>
          </cell>
        </row>
        <row r="662">
          <cell r="N662">
            <v>670.44</v>
          </cell>
          <cell r="O662" t="str">
            <v>E</v>
          </cell>
          <cell r="Q662" t="str">
            <v>Véhicules usagés</v>
          </cell>
          <cell r="R662" t="str">
            <v>Assurances</v>
          </cell>
        </row>
        <row r="663">
          <cell r="N663">
            <v>1509.87</v>
          </cell>
          <cell r="O663" t="str">
            <v>E</v>
          </cell>
          <cell r="Q663" t="str">
            <v>Service</v>
          </cell>
          <cell r="R663" t="str">
            <v>Assurances</v>
          </cell>
        </row>
        <row r="664">
          <cell r="N664">
            <v>1340.91</v>
          </cell>
          <cell r="O664" t="str">
            <v>E</v>
          </cell>
          <cell r="Q664" t="str">
            <v>Pièces</v>
          </cell>
          <cell r="R664" t="str">
            <v>Assurances</v>
          </cell>
        </row>
        <row r="665">
          <cell r="N665">
            <v>168.96</v>
          </cell>
          <cell r="O665" t="str">
            <v>E</v>
          </cell>
          <cell r="Q665" t="str">
            <v>Carrosserie</v>
          </cell>
          <cell r="R665" t="str">
            <v>Assurances</v>
          </cell>
        </row>
        <row r="666">
          <cell r="N666">
            <v>9051.1</v>
          </cell>
          <cell r="O666" t="str">
            <v>E</v>
          </cell>
          <cell r="Q666" t="str">
            <v>Véhicules neufs</v>
          </cell>
          <cell r="R666" t="str">
            <v>Assurances</v>
          </cell>
        </row>
        <row r="667">
          <cell r="N667">
            <v>2011.35</v>
          </cell>
          <cell r="O667" t="str">
            <v>E</v>
          </cell>
          <cell r="Q667" t="str">
            <v>Véhicules usagés</v>
          </cell>
          <cell r="R667" t="str">
            <v>Assurances</v>
          </cell>
        </row>
        <row r="668">
          <cell r="N668">
            <v>4524.22</v>
          </cell>
          <cell r="O668" t="str">
            <v>E</v>
          </cell>
          <cell r="Q668" t="str">
            <v>Service</v>
          </cell>
          <cell r="R668" t="str">
            <v>Assurances</v>
          </cell>
        </row>
        <row r="669">
          <cell r="N669">
            <v>4022.73</v>
          </cell>
          <cell r="O669" t="str">
            <v>E</v>
          </cell>
          <cell r="Q669" t="str">
            <v>Pièces</v>
          </cell>
          <cell r="R669" t="str">
            <v>Assurances</v>
          </cell>
        </row>
        <row r="670">
          <cell r="N670">
            <v>501.51</v>
          </cell>
          <cell r="O670" t="str">
            <v>E</v>
          </cell>
          <cell r="Q670" t="str">
            <v>Carrosserie</v>
          </cell>
          <cell r="R670" t="str">
            <v>Assurances</v>
          </cell>
        </row>
        <row r="671">
          <cell r="N671">
            <v>1730.78</v>
          </cell>
          <cell r="O671" t="str">
            <v>E</v>
          </cell>
          <cell r="Q671" t="str">
            <v>Véhicules neufs</v>
          </cell>
          <cell r="R671" t="str">
            <v>Chauffage, éclairage</v>
          </cell>
        </row>
        <row r="672">
          <cell r="N672">
            <v>384.63</v>
          </cell>
          <cell r="O672" t="str">
            <v>E</v>
          </cell>
          <cell r="Q672" t="str">
            <v>Véhicules usagés</v>
          </cell>
          <cell r="R672" t="str">
            <v>Chauffage, éclairage</v>
          </cell>
        </row>
        <row r="673">
          <cell r="N673">
            <v>866.16</v>
          </cell>
          <cell r="O673" t="str">
            <v>E</v>
          </cell>
          <cell r="Q673" t="str">
            <v>Service</v>
          </cell>
          <cell r="R673" t="str">
            <v>Chauffage, éclairage</v>
          </cell>
        </row>
        <row r="674">
          <cell r="N674">
            <v>769.24</v>
          </cell>
          <cell r="O674" t="str">
            <v>E</v>
          </cell>
          <cell r="Q674" t="str">
            <v>Pièces</v>
          </cell>
          <cell r="R674" t="str">
            <v>Chauffage, éclairage</v>
          </cell>
        </row>
        <row r="675">
          <cell r="N675">
            <v>96.92</v>
          </cell>
          <cell r="O675" t="str">
            <v>E</v>
          </cell>
          <cell r="Q675" t="str">
            <v>Carrosserie</v>
          </cell>
          <cell r="R675" t="str">
            <v>Chauffage, éclairage</v>
          </cell>
        </row>
        <row r="676">
          <cell r="N676">
            <v>5192.33</v>
          </cell>
          <cell r="O676" t="str">
            <v>E</v>
          </cell>
          <cell r="Q676" t="str">
            <v>Véhicules neufs</v>
          </cell>
          <cell r="R676" t="str">
            <v>Chauffage, éclairage</v>
          </cell>
        </row>
        <row r="677">
          <cell r="N677">
            <v>1153.8599999999999</v>
          </cell>
          <cell r="O677" t="str">
            <v>E</v>
          </cell>
          <cell r="Q677" t="str">
            <v>Véhicules usagés</v>
          </cell>
          <cell r="R677" t="str">
            <v>Chauffage, éclairage</v>
          </cell>
        </row>
        <row r="678">
          <cell r="N678">
            <v>2595.41</v>
          </cell>
          <cell r="O678" t="str">
            <v>E</v>
          </cell>
          <cell r="Q678" t="str">
            <v>Service</v>
          </cell>
          <cell r="R678" t="str">
            <v>Chauffage, éclairage</v>
          </cell>
        </row>
        <row r="679">
          <cell r="N679">
            <v>2307.7199999999998</v>
          </cell>
          <cell r="O679" t="str">
            <v>E</v>
          </cell>
          <cell r="Q679" t="str">
            <v>Pièces</v>
          </cell>
          <cell r="R679" t="str">
            <v>Chauffage, éclairage</v>
          </cell>
        </row>
        <row r="680">
          <cell r="N680">
            <v>287.69</v>
          </cell>
          <cell r="O680" t="str">
            <v>E</v>
          </cell>
          <cell r="Q680" t="str">
            <v>Carrosserie</v>
          </cell>
          <cell r="R680" t="str">
            <v>Chauffage, éclairage</v>
          </cell>
        </row>
        <row r="681">
          <cell r="N681">
            <v>858.75</v>
          </cell>
          <cell r="O681" t="str">
            <v>E</v>
          </cell>
          <cell r="Q681" t="str">
            <v>Véhicules neufs</v>
          </cell>
          <cell r="R681" t="str">
            <v>Taxes d`affaires</v>
          </cell>
        </row>
        <row r="682">
          <cell r="N682">
            <v>190.83</v>
          </cell>
          <cell r="O682" t="str">
            <v>E</v>
          </cell>
          <cell r="Q682" t="str">
            <v>Véhicules usagés</v>
          </cell>
          <cell r="R682" t="str">
            <v>Taxes d`affaires</v>
          </cell>
        </row>
        <row r="683">
          <cell r="N683">
            <v>429.75</v>
          </cell>
          <cell r="O683" t="str">
            <v>E</v>
          </cell>
          <cell r="Q683" t="str">
            <v>Service</v>
          </cell>
          <cell r="R683" t="str">
            <v>Taxes d`affaires</v>
          </cell>
        </row>
        <row r="684">
          <cell r="N684">
            <v>381.66</v>
          </cell>
          <cell r="O684" t="str">
            <v>E</v>
          </cell>
          <cell r="Q684" t="str">
            <v>Pièces</v>
          </cell>
          <cell r="R684" t="str">
            <v>Taxes d`affaires</v>
          </cell>
        </row>
        <row r="685">
          <cell r="N685">
            <v>48.09</v>
          </cell>
          <cell r="O685" t="str">
            <v>E</v>
          </cell>
          <cell r="Q685" t="str">
            <v>Carrosserie</v>
          </cell>
          <cell r="R685" t="str">
            <v>Taxes d`affaires</v>
          </cell>
        </row>
        <row r="686">
          <cell r="N686">
            <v>2576.25</v>
          </cell>
          <cell r="O686" t="str">
            <v>E</v>
          </cell>
          <cell r="Q686" t="str">
            <v>Véhicules neufs</v>
          </cell>
          <cell r="R686" t="str">
            <v>Taxes d`affaires</v>
          </cell>
        </row>
        <row r="687">
          <cell r="N687">
            <v>572.49</v>
          </cell>
          <cell r="O687" t="str">
            <v>E</v>
          </cell>
          <cell r="Q687" t="str">
            <v>Véhicules usagés</v>
          </cell>
          <cell r="R687" t="str">
            <v>Taxes d`affaires</v>
          </cell>
        </row>
        <row r="688">
          <cell r="N688">
            <v>1287.75</v>
          </cell>
          <cell r="O688" t="str">
            <v>E</v>
          </cell>
          <cell r="Q688" t="str">
            <v>Service</v>
          </cell>
          <cell r="R688" t="str">
            <v>Taxes d`affaires</v>
          </cell>
        </row>
        <row r="689">
          <cell r="N689">
            <v>1145.01</v>
          </cell>
          <cell r="O689" t="str">
            <v>E</v>
          </cell>
          <cell r="Q689" t="str">
            <v>Pièces</v>
          </cell>
          <cell r="R689" t="str">
            <v>Taxes d`affaires</v>
          </cell>
        </row>
        <row r="690">
          <cell r="N690">
            <v>142.74</v>
          </cell>
          <cell r="O690" t="str">
            <v>E</v>
          </cell>
          <cell r="Q690" t="str">
            <v>Carrosserie</v>
          </cell>
          <cell r="R690" t="str">
            <v>Taxes d`affaires</v>
          </cell>
        </row>
        <row r="691">
          <cell r="N691">
            <v>187.5</v>
          </cell>
          <cell r="O691" t="str">
            <v>E</v>
          </cell>
          <cell r="Q691" t="str">
            <v>Véhicules neufs</v>
          </cell>
          <cell r="R691" t="str">
            <v>Réparation équipement</v>
          </cell>
        </row>
        <row r="692">
          <cell r="N692">
            <v>41.67</v>
          </cell>
          <cell r="O692" t="str">
            <v>E</v>
          </cell>
          <cell r="Q692" t="str">
            <v>Véhicules usagés</v>
          </cell>
          <cell r="R692" t="str">
            <v>Réparation équipement</v>
          </cell>
        </row>
        <row r="693">
          <cell r="N693">
            <v>558.17999999999995</v>
          </cell>
          <cell r="O693" t="str">
            <v>E</v>
          </cell>
          <cell r="Q693" t="str">
            <v>Service</v>
          </cell>
          <cell r="R693" t="str">
            <v>Réparation équipement</v>
          </cell>
        </row>
        <row r="694">
          <cell r="N694">
            <v>83.33</v>
          </cell>
          <cell r="O694" t="str">
            <v>E</v>
          </cell>
          <cell r="Q694" t="str">
            <v>Pièces</v>
          </cell>
          <cell r="R694" t="str">
            <v>Réparation équipement</v>
          </cell>
        </row>
        <row r="695">
          <cell r="N695">
            <v>10.5</v>
          </cell>
          <cell r="O695" t="str">
            <v>E</v>
          </cell>
          <cell r="Q695" t="str">
            <v>Carrosserie</v>
          </cell>
          <cell r="R695" t="str">
            <v>Réparation équipement</v>
          </cell>
        </row>
        <row r="696">
          <cell r="N696">
            <v>562.51</v>
          </cell>
          <cell r="O696" t="str">
            <v>E</v>
          </cell>
          <cell r="Q696" t="str">
            <v>Véhicules neufs</v>
          </cell>
          <cell r="R696" t="str">
            <v>Réparation équipement</v>
          </cell>
        </row>
        <row r="697">
          <cell r="N697">
            <v>125</v>
          </cell>
          <cell r="O697" t="str">
            <v>E</v>
          </cell>
          <cell r="Q697" t="str">
            <v>Véhicules usagés</v>
          </cell>
          <cell r="R697" t="str">
            <v>Réparation équipement</v>
          </cell>
        </row>
        <row r="698">
          <cell r="N698">
            <v>1674.19</v>
          </cell>
          <cell r="O698" t="str">
            <v>E</v>
          </cell>
          <cell r="Q698" t="str">
            <v>Service</v>
          </cell>
          <cell r="R698" t="str">
            <v>Réparation équipement</v>
          </cell>
        </row>
        <row r="699">
          <cell r="N699">
            <v>250</v>
          </cell>
          <cell r="O699" t="str">
            <v>E</v>
          </cell>
          <cell r="Q699" t="str">
            <v>Pièces</v>
          </cell>
          <cell r="R699" t="str">
            <v>Réparation équipement</v>
          </cell>
        </row>
        <row r="700">
          <cell r="N700">
            <v>31.17</v>
          </cell>
          <cell r="O700" t="str">
            <v>E</v>
          </cell>
          <cell r="Q700" t="str">
            <v>Carrosserie</v>
          </cell>
          <cell r="R700" t="str">
            <v>Réparation équipement</v>
          </cell>
        </row>
        <row r="701">
          <cell r="N701">
            <v>1220.6400000000001</v>
          </cell>
          <cell r="O701" t="str">
            <v>E</v>
          </cell>
          <cell r="Q701" t="str">
            <v>Véhicules neufs</v>
          </cell>
          <cell r="R701" t="str">
            <v>amortissement</v>
          </cell>
        </row>
        <row r="702">
          <cell r="N702">
            <v>271.26</v>
          </cell>
          <cell r="O702" t="str">
            <v>E</v>
          </cell>
          <cell r="Q702" t="str">
            <v>Véhicules usagés</v>
          </cell>
          <cell r="R702" t="str">
            <v>amortissement</v>
          </cell>
        </row>
        <row r="703">
          <cell r="N703">
            <v>4923.3599999999997</v>
          </cell>
          <cell r="O703" t="str">
            <v>E</v>
          </cell>
          <cell r="Q703" t="str">
            <v>Service</v>
          </cell>
          <cell r="R703" t="str">
            <v>amortissement</v>
          </cell>
        </row>
        <row r="704">
          <cell r="N704">
            <v>542.49</v>
          </cell>
          <cell r="O704" t="str">
            <v>E</v>
          </cell>
          <cell r="Q704" t="str">
            <v>Pièces</v>
          </cell>
          <cell r="R704" t="str">
            <v>amortissement</v>
          </cell>
        </row>
        <row r="705">
          <cell r="N705">
            <v>68.37</v>
          </cell>
          <cell r="O705" t="str">
            <v>E</v>
          </cell>
          <cell r="Q705" t="str">
            <v>Carrosserie</v>
          </cell>
          <cell r="R705" t="str">
            <v>Amortissement</v>
          </cell>
        </row>
        <row r="706">
          <cell r="N706">
            <v>3661.86</v>
          </cell>
          <cell r="O706" t="str">
            <v>E</v>
          </cell>
          <cell r="Q706" t="str">
            <v>Véhicules neufs</v>
          </cell>
          <cell r="R706" t="str">
            <v>amortissement</v>
          </cell>
        </row>
        <row r="707">
          <cell r="N707">
            <v>813.75</v>
          </cell>
          <cell r="O707" t="str">
            <v>E</v>
          </cell>
          <cell r="Q707" t="str">
            <v>Véhicules usagés</v>
          </cell>
          <cell r="R707" t="str">
            <v>amortissement</v>
          </cell>
        </row>
        <row r="708">
          <cell r="N708">
            <v>14767.89</v>
          </cell>
          <cell r="O708" t="str">
            <v>E</v>
          </cell>
          <cell r="Q708" t="str">
            <v>Service</v>
          </cell>
          <cell r="R708" t="str">
            <v>amortissement</v>
          </cell>
        </row>
        <row r="709">
          <cell r="N709">
            <v>1627.5</v>
          </cell>
          <cell r="O709" t="str">
            <v>E</v>
          </cell>
          <cell r="Q709" t="str">
            <v>Pièces</v>
          </cell>
          <cell r="R709" t="str">
            <v>amortissement</v>
          </cell>
        </row>
        <row r="710">
          <cell r="N710">
            <v>202.89</v>
          </cell>
          <cell r="O710" t="str">
            <v>E</v>
          </cell>
          <cell r="Q710" t="str">
            <v>Carrosserie</v>
          </cell>
          <cell r="R710" t="str">
            <v>Amortissement</v>
          </cell>
        </row>
        <row r="711">
          <cell r="N711">
            <v>2.34</v>
          </cell>
          <cell r="O711" t="str">
            <v>E</v>
          </cell>
          <cell r="Q711" t="str">
            <v>Véhicules neufs</v>
          </cell>
          <cell r="R711" t="str">
            <v>Location équipement</v>
          </cell>
        </row>
        <row r="712">
          <cell r="N712">
            <v>0.52</v>
          </cell>
          <cell r="O712" t="str">
            <v>E</v>
          </cell>
          <cell r="Q712" t="str">
            <v>Véhicules usagés</v>
          </cell>
          <cell r="R712" t="str">
            <v>Location équipement</v>
          </cell>
        </row>
        <row r="713">
          <cell r="N713">
            <v>167.96</v>
          </cell>
          <cell r="O713" t="str">
            <v>E</v>
          </cell>
          <cell r="Q713" t="str">
            <v>Service</v>
          </cell>
          <cell r="R713" t="str">
            <v>Location équipement</v>
          </cell>
        </row>
        <row r="714">
          <cell r="N714">
            <v>1.04</v>
          </cell>
          <cell r="O714" t="str">
            <v>E</v>
          </cell>
          <cell r="Q714" t="str">
            <v>Pièces</v>
          </cell>
          <cell r="R714" t="str">
            <v>Location équipement</v>
          </cell>
        </row>
        <row r="715">
          <cell r="N715">
            <v>0.13</v>
          </cell>
          <cell r="O715" t="str">
            <v>E</v>
          </cell>
          <cell r="Q715" t="str">
            <v>Carrosserie</v>
          </cell>
          <cell r="R715" t="str">
            <v>Location équipement</v>
          </cell>
        </row>
        <row r="716">
          <cell r="N716">
            <v>7</v>
          </cell>
          <cell r="O716" t="str">
            <v>E</v>
          </cell>
          <cell r="Q716" t="str">
            <v>Véhicules neufs</v>
          </cell>
          <cell r="R716" t="str">
            <v>Location équipement</v>
          </cell>
        </row>
        <row r="717">
          <cell r="N717">
            <v>1.56</v>
          </cell>
          <cell r="O717" t="str">
            <v>E</v>
          </cell>
          <cell r="Q717" t="str">
            <v>Véhicules usagés</v>
          </cell>
          <cell r="R717" t="str">
            <v>Location équipement</v>
          </cell>
        </row>
        <row r="718">
          <cell r="N718">
            <v>170.29</v>
          </cell>
          <cell r="O718" t="str">
            <v>E</v>
          </cell>
          <cell r="Q718" t="str">
            <v>Service</v>
          </cell>
          <cell r="R718" t="str">
            <v>Location équipement</v>
          </cell>
        </row>
        <row r="719">
          <cell r="N719">
            <v>3.12</v>
          </cell>
          <cell r="O719" t="str">
            <v>E</v>
          </cell>
          <cell r="Q719" t="str">
            <v>Pièces</v>
          </cell>
          <cell r="R719" t="str">
            <v>Location équipement</v>
          </cell>
        </row>
        <row r="720">
          <cell r="N720">
            <v>0.39</v>
          </cell>
          <cell r="O720" t="str">
            <v>E</v>
          </cell>
          <cell r="Q720" t="str">
            <v>Carrosserie</v>
          </cell>
          <cell r="R720" t="str">
            <v>Location équipement</v>
          </cell>
        </row>
        <row r="721">
          <cell r="N721">
            <v>0</v>
          </cell>
          <cell r="O721" t="str">
            <v>E</v>
          </cell>
          <cell r="Q721" t="str">
            <v>autres</v>
          </cell>
          <cell r="R721" t="str">
            <v>revenus autres</v>
          </cell>
        </row>
        <row r="722">
          <cell r="N722">
            <v>-16225</v>
          </cell>
          <cell r="O722" t="str">
            <v>I</v>
          </cell>
          <cell r="Q722" t="str">
            <v>Véhicules neufs</v>
          </cell>
          <cell r="R722" t="str">
            <v>Frais administration</v>
          </cell>
        </row>
        <row r="723">
          <cell r="N723">
            <v>-2596</v>
          </cell>
          <cell r="O723" t="str">
            <v>I</v>
          </cell>
          <cell r="Q723" t="str">
            <v>Véhicules usagés</v>
          </cell>
          <cell r="R723" t="str">
            <v>Frais administration</v>
          </cell>
        </row>
        <row r="724">
          <cell r="N724">
            <v>-62953</v>
          </cell>
          <cell r="O724" t="str">
            <v>I</v>
          </cell>
          <cell r="Q724" t="str">
            <v>Véhicules neufs</v>
          </cell>
          <cell r="R724" t="str">
            <v>Frais administration</v>
          </cell>
        </row>
        <row r="725">
          <cell r="N725">
            <v>-5338</v>
          </cell>
          <cell r="O725" t="str">
            <v>I</v>
          </cell>
          <cell r="Q725" t="str">
            <v>Véhicules usagés</v>
          </cell>
          <cell r="R725" t="str">
            <v>Frais administration</v>
          </cell>
        </row>
        <row r="726">
          <cell r="N726">
            <v>0</v>
          </cell>
          <cell r="O726" t="str">
            <v>A</v>
          </cell>
          <cell r="Q726" t="str">
            <v>Bilan</v>
          </cell>
          <cell r="R726" t="str">
            <v>Recevables Pièces et Service</v>
          </cell>
        </row>
        <row r="727">
          <cell r="N727">
            <v>0</v>
          </cell>
          <cell r="O727">
            <v>0</v>
          </cell>
          <cell r="Q727" t="e">
            <v>#N/A</v>
          </cell>
          <cell r="R727" t="e">
            <v>#N/A</v>
          </cell>
        </row>
        <row r="728">
          <cell r="N728">
            <v>0</v>
          </cell>
          <cell r="O728">
            <v>0</v>
          </cell>
          <cell r="Q728" t="e">
            <v>#N/A</v>
          </cell>
          <cell r="R728" t="e">
            <v>#N/A</v>
          </cell>
        </row>
        <row r="729">
          <cell r="N729">
            <v>0</v>
          </cell>
          <cell r="O729">
            <v>0</v>
          </cell>
          <cell r="Q729" t="e">
            <v>#N/A</v>
          </cell>
          <cell r="R729" t="e">
            <v>#N/A</v>
          </cell>
        </row>
        <row r="730">
          <cell r="N730">
            <v>0</v>
          </cell>
          <cell r="O730">
            <v>0</v>
          </cell>
          <cell r="Q730" t="e">
            <v>#N/A</v>
          </cell>
          <cell r="R730" t="e">
            <v>#N/A</v>
          </cell>
        </row>
        <row r="731">
          <cell r="N731">
            <v>0</v>
          </cell>
          <cell r="O731">
            <v>0</v>
          </cell>
          <cell r="Q731" t="e">
            <v>#N/A</v>
          </cell>
          <cell r="R731" t="e">
            <v>#N/A</v>
          </cell>
        </row>
        <row r="732">
          <cell r="N732">
            <v>0</v>
          </cell>
          <cell r="O732">
            <v>0</v>
          </cell>
          <cell r="Q732" t="e">
            <v>#N/A</v>
          </cell>
          <cell r="R732" t="e">
            <v>#N/A</v>
          </cell>
        </row>
        <row r="733">
          <cell r="N733">
            <v>0</v>
          </cell>
          <cell r="O733">
            <v>0</v>
          </cell>
          <cell r="Q733" t="e">
            <v>#N/A</v>
          </cell>
          <cell r="R733" t="e">
            <v>#N/A</v>
          </cell>
        </row>
        <row r="734">
          <cell r="N734">
            <v>0</v>
          </cell>
          <cell r="O734">
            <v>0</v>
          </cell>
          <cell r="Q734" t="e">
            <v>#N/A</v>
          </cell>
          <cell r="R734" t="e">
            <v>#N/A</v>
          </cell>
        </row>
        <row r="735">
          <cell r="N735">
            <v>0</v>
          </cell>
          <cell r="O735">
            <v>0</v>
          </cell>
          <cell r="Q735" t="e">
            <v>#N/A</v>
          </cell>
          <cell r="R735" t="e">
            <v>#N/A</v>
          </cell>
        </row>
        <row r="736">
          <cell r="N736">
            <v>0</v>
          </cell>
          <cell r="O736">
            <v>0</v>
          </cell>
          <cell r="Q736" t="e">
            <v>#N/A</v>
          </cell>
          <cell r="R736" t="e">
            <v>#N/A</v>
          </cell>
        </row>
        <row r="737">
          <cell r="N737">
            <v>0</v>
          </cell>
          <cell r="O737">
            <v>0</v>
          </cell>
          <cell r="Q737" t="e">
            <v>#N/A</v>
          </cell>
          <cell r="R737" t="e">
            <v>#N/A</v>
          </cell>
        </row>
        <row r="738">
          <cell r="N738">
            <v>0</v>
          </cell>
          <cell r="O738">
            <v>0</v>
          </cell>
          <cell r="Q738" t="e">
            <v>#N/A</v>
          </cell>
          <cell r="R738" t="e">
            <v>#N/A</v>
          </cell>
        </row>
        <row r="739">
          <cell r="N739">
            <v>0</v>
          </cell>
          <cell r="O739">
            <v>0</v>
          </cell>
          <cell r="Q739" t="e">
            <v>#N/A</v>
          </cell>
          <cell r="R739" t="e">
            <v>#N/A</v>
          </cell>
        </row>
        <row r="740">
          <cell r="N740">
            <v>0</v>
          </cell>
          <cell r="O740">
            <v>0</v>
          </cell>
          <cell r="Q740" t="e">
            <v>#N/A</v>
          </cell>
          <cell r="R740" t="e">
            <v>#N/A</v>
          </cell>
        </row>
        <row r="741">
          <cell r="N741">
            <v>0</v>
          </cell>
          <cell r="O741">
            <v>0</v>
          </cell>
          <cell r="Q741" t="e">
            <v>#N/A</v>
          </cell>
          <cell r="R741" t="e">
            <v>#N/A</v>
          </cell>
        </row>
        <row r="742">
          <cell r="N742">
            <v>0</v>
          </cell>
          <cell r="O742">
            <v>0</v>
          </cell>
          <cell r="Q742" t="e">
            <v>#N/A</v>
          </cell>
          <cell r="R742" t="e">
            <v>#N/A</v>
          </cell>
        </row>
        <row r="743">
          <cell r="N743">
            <v>0</v>
          </cell>
          <cell r="O743">
            <v>0</v>
          </cell>
          <cell r="Q743" t="e">
            <v>#N/A</v>
          </cell>
          <cell r="R743" t="e">
            <v>#N/A</v>
          </cell>
        </row>
        <row r="744">
          <cell r="N744">
            <v>0</v>
          </cell>
          <cell r="O744">
            <v>0</v>
          </cell>
          <cell r="Q744" t="e">
            <v>#N/A</v>
          </cell>
          <cell r="R744" t="e">
            <v>#N/A</v>
          </cell>
        </row>
        <row r="745">
          <cell r="N745">
            <v>0</v>
          </cell>
          <cell r="O745">
            <v>0</v>
          </cell>
          <cell r="Q745" t="e">
            <v>#N/A</v>
          </cell>
          <cell r="R745" t="e">
            <v>#N/A</v>
          </cell>
        </row>
        <row r="746">
          <cell r="N746">
            <v>0</v>
          </cell>
          <cell r="O746">
            <v>0</v>
          </cell>
          <cell r="Q746" t="e">
            <v>#N/A</v>
          </cell>
          <cell r="R746" t="e">
            <v>#N/A</v>
          </cell>
        </row>
        <row r="747">
          <cell r="N747">
            <v>0</v>
          </cell>
          <cell r="O747">
            <v>0</v>
          </cell>
          <cell r="Q747" t="e">
            <v>#N/A</v>
          </cell>
          <cell r="R747" t="e">
            <v>#N/A</v>
          </cell>
        </row>
        <row r="748">
          <cell r="N748">
            <v>0</v>
          </cell>
          <cell r="O748">
            <v>0</v>
          </cell>
          <cell r="Q748" t="e">
            <v>#N/A</v>
          </cell>
          <cell r="R748" t="e">
            <v>#N/A</v>
          </cell>
        </row>
        <row r="749">
          <cell r="N749">
            <v>0</v>
          </cell>
          <cell r="O749">
            <v>0</v>
          </cell>
          <cell r="Q749" t="e">
            <v>#N/A</v>
          </cell>
          <cell r="R749" t="e">
            <v>#N/A</v>
          </cell>
        </row>
        <row r="750">
          <cell r="N750">
            <v>0</v>
          </cell>
          <cell r="O750">
            <v>0</v>
          </cell>
          <cell r="Q750" t="e">
            <v>#N/A</v>
          </cell>
          <cell r="R750" t="e">
            <v>#N/A</v>
          </cell>
        </row>
        <row r="751">
          <cell r="N751">
            <v>0</v>
          </cell>
          <cell r="O751">
            <v>0</v>
          </cell>
          <cell r="Q751" t="e">
            <v>#N/A</v>
          </cell>
          <cell r="R751" t="e">
            <v>#N/A</v>
          </cell>
        </row>
        <row r="752">
          <cell r="N752">
            <v>0</v>
          </cell>
          <cell r="O752">
            <v>0</v>
          </cell>
          <cell r="Q752" t="e">
            <v>#N/A</v>
          </cell>
          <cell r="R752" t="e">
            <v>#N/A</v>
          </cell>
        </row>
        <row r="753">
          <cell r="N753">
            <v>0</v>
          </cell>
          <cell r="O753">
            <v>0</v>
          </cell>
          <cell r="Q753" t="e">
            <v>#N/A</v>
          </cell>
          <cell r="R753" t="e">
            <v>#N/A</v>
          </cell>
        </row>
        <row r="754">
          <cell r="N754">
            <v>0</v>
          </cell>
          <cell r="O754">
            <v>0</v>
          </cell>
          <cell r="Q754" t="e">
            <v>#N/A</v>
          </cell>
          <cell r="R754" t="e">
            <v>#N/A</v>
          </cell>
        </row>
        <row r="755">
          <cell r="N755">
            <v>0</v>
          </cell>
          <cell r="O755">
            <v>0</v>
          </cell>
          <cell r="Q755" t="e">
            <v>#N/A</v>
          </cell>
          <cell r="R755" t="e">
            <v>#N/A</v>
          </cell>
        </row>
        <row r="756">
          <cell r="N756">
            <v>0</v>
          </cell>
          <cell r="O756">
            <v>0</v>
          </cell>
          <cell r="Q756" t="e">
            <v>#N/A</v>
          </cell>
          <cell r="R756" t="e">
            <v>#N/A</v>
          </cell>
        </row>
        <row r="757">
          <cell r="N757">
            <v>0</v>
          </cell>
          <cell r="O757">
            <v>0</v>
          </cell>
          <cell r="Q757" t="e">
            <v>#N/A</v>
          </cell>
          <cell r="R757" t="e">
            <v>#N/A</v>
          </cell>
        </row>
        <row r="758">
          <cell r="N758">
            <v>0</v>
          </cell>
          <cell r="O758">
            <v>0</v>
          </cell>
          <cell r="Q758" t="e">
            <v>#N/A</v>
          </cell>
          <cell r="R758" t="e">
            <v>#N/A</v>
          </cell>
        </row>
        <row r="759">
          <cell r="N759">
            <v>0</v>
          </cell>
          <cell r="O759">
            <v>0</v>
          </cell>
          <cell r="Q759" t="e">
            <v>#N/A</v>
          </cell>
          <cell r="R759" t="e">
            <v>#N/A</v>
          </cell>
        </row>
        <row r="760">
          <cell r="N760">
            <v>0</v>
          </cell>
          <cell r="O760">
            <v>0</v>
          </cell>
          <cell r="Q760" t="e">
            <v>#N/A</v>
          </cell>
          <cell r="R760" t="e">
            <v>#N/A</v>
          </cell>
        </row>
        <row r="761">
          <cell r="N761">
            <v>0</v>
          </cell>
          <cell r="O761">
            <v>0</v>
          </cell>
          <cell r="Q761" t="e">
            <v>#N/A</v>
          </cell>
          <cell r="R761" t="e">
            <v>#N/A</v>
          </cell>
        </row>
        <row r="762">
          <cell r="N762">
            <v>0</v>
          </cell>
          <cell r="O762">
            <v>0</v>
          </cell>
          <cell r="Q762" t="e">
            <v>#N/A</v>
          </cell>
          <cell r="R762" t="e">
            <v>#N/A</v>
          </cell>
        </row>
        <row r="763">
          <cell r="N763">
            <v>0</v>
          </cell>
          <cell r="O763">
            <v>0</v>
          </cell>
          <cell r="Q763" t="e">
            <v>#N/A</v>
          </cell>
          <cell r="R763" t="e">
            <v>#N/A</v>
          </cell>
        </row>
        <row r="764">
          <cell r="N764">
            <v>0</v>
          </cell>
          <cell r="O764">
            <v>0</v>
          </cell>
          <cell r="Q764" t="e">
            <v>#N/A</v>
          </cell>
          <cell r="R764" t="e">
            <v>#N/A</v>
          </cell>
        </row>
        <row r="765">
          <cell r="N765">
            <v>0</v>
          </cell>
          <cell r="O765">
            <v>0</v>
          </cell>
          <cell r="Q765" t="e">
            <v>#N/A</v>
          </cell>
          <cell r="R765" t="e">
            <v>#N/A</v>
          </cell>
        </row>
        <row r="766">
          <cell r="N766">
            <v>0</v>
          </cell>
          <cell r="O766">
            <v>0</v>
          </cell>
          <cell r="Q766" t="e">
            <v>#N/A</v>
          </cell>
          <cell r="R766" t="e">
            <v>#N/A</v>
          </cell>
        </row>
        <row r="767">
          <cell r="N767">
            <v>0</v>
          </cell>
          <cell r="O767">
            <v>0</v>
          </cell>
          <cell r="Q767" t="e">
            <v>#N/A</v>
          </cell>
          <cell r="R767" t="e">
            <v>#N/A</v>
          </cell>
        </row>
        <row r="768">
          <cell r="N768">
            <v>0</v>
          </cell>
          <cell r="O768">
            <v>0</v>
          </cell>
          <cell r="Q768" t="e">
            <v>#N/A</v>
          </cell>
          <cell r="R768" t="e">
            <v>#N/A</v>
          </cell>
        </row>
        <row r="769">
          <cell r="N769">
            <v>0</v>
          </cell>
          <cell r="O769">
            <v>0</v>
          </cell>
          <cell r="Q769" t="e">
            <v>#N/A</v>
          </cell>
          <cell r="R769" t="e">
            <v>#N/A</v>
          </cell>
        </row>
        <row r="770">
          <cell r="N770">
            <v>0</v>
          </cell>
          <cell r="O770">
            <v>0</v>
          </cell>
          <cell r="Q770" t="e">
            <v>#N/A</v>
          </cell>
          <cell r="R770" t="e">
            <v>#N/A</v>
          </cell>
        </row>
        <row r="771">
          <cell r="N771">
            <v>0</v>
          </cell>
          <cell r="O771">
            <v>0</v>
          </cell>
          <cell r="Q771" t="e">
            <v>#N/A</v>
          </cell>
          <cell r="R771" t="e">
            <v>#N/A</v>
          </cell>
        </row>
        <row r="772">
          <cell r="N772">
            <v>0</v>
          </cell>
          <cell r="O772">
            <v>0</v>
          </cell>
          <cell r="Q772" t="e">
            <v>#N/A</v>
          </cell>
          <cell r="R772" t="e">
            <v>#N/A</v>
          </cell>
        </row>
        <row r="773">
          <cell r="N773">
            <v>0</v>
          </cell>
          <cell r="O773">
            <v>0</v>
          </cell>
          <cell r="Q773" t="e">
            <v>#N/A</v>
          </cell>
          <cell r="R773" t="e">
            <v>#N/A</v>
          </cell>
        </row>
        <row r="774">
          <cell r="N774">
            <v>0</v>
          </cell>
          <cell r="O774">
            <v>0</v>
          </cell>
          <cell r="Q774" t="e">
            <v>#N/A</v>
          </cell>
          <cell r="R774" t="e">
            <v>#N/A</v>
          </cell>
        </row>
        <row r="775">
          <cell r="N775">
            <v>0</v>
          </cell>
          <cell r="O775">
            <v>0</v>
          </cell>
          <cell r="Q775" t="e">
            <v>#N/A</v>
          </cell>
          <cell r="R775" t="e">
            <v>#N/A</v>
          </cell>
        </row>
        <row r="776">
          <cell r="N776">
            <v>0</v>
          </cell>
          <cell r="O776">
            <v>0</v>
          </cell>
          <cell r="Q776" t="e">
            <v>#N/A</v>
          </cell>
          <cell r="R776" t="e">
            <v>#N/A</v>
          </cell>
        </row>
        <row r="777">
          <cell r="N777">
            <v>0</v>
          </cell>
          <cell r="O777">
            <v>0</v>
          </cell>
          <cell r="Q777" t="e">
            <v>#N/A</v>
          </cell>
          <cell r="R777" t="e">
            <v>#N/A</v>
          </cell>
        </row>
        <row r="778">
          <cell r="N778">
            <v>0</v>
          </cell>
          <cell r="O778">
            <v>0</v>
          </cell>
          <cell r="Q778" t="e">
            <v>#N/A</v>
          </cell>
          <cell r="R778" t="e">
            <v>#N/A</v>
          </cell>
        </row>
        <row r="779">
          <cell r="N779">
            <v>0</v>
          </cell>
          <cell r="O779">
            <v>0</v>
          </cell>
          <cell r="Q779" t="e">
            <v>#N/A</v>
          </cell>
          <cell r="R779" t="e">
            <v>#N/A</v>
          </cell>
        </row>
        <row r="780">
          <cell r="N780">
            <v>0</v>
          </cell>
          <cell r="O780">
            <v>0</v>
          </cell>
          <cell r="Q780" t="e">
            <v>#N/A</v>
          </cell>
          <cell r="R780" t="e">
            <v>#N/A</v>
          </cell>
        </row>
        <row r="781">
          <cell r="N781">
            <v>0</v>
          </cell>
          <cell r="O781">
            <v>0</v>
          </cell>
          <cell r="Q781" t="e">
            <v>#N/A</v>
          </cell>
          <cell r="R781" t="e">
            <v>#N/A</v>
          </cell>
        </row>
        <row r="782">
          <cell r="N782">
            <v>0</v>
          </cell>
          <cell r="O782">
            <v>0</v>
          </cell>
          <cell r="Q782" t="e">
            <v>#N/A</v>
          </cell>
          <cell r="R782" t="e">
            <v>#N/A</v>
          </cell>
        </row>
        <row r="783">
          <cell r="N783">
            <v>0</v>
          </cell>
          <cell r="O783">
            <v>0</v>
          </cell>
          <cell r="Q783" t="e">
            <v>#N/A</v>
          </cell>
          <cell r="R783" t="e">
            <v>#N/A</v>
          </cell>
        </row>
        <row r="784">
          <cell r="N784">
            <v>0</v>
          </cell>
          <cell r="O784">
            <v>0</v>
          </cell>
          <cell r="Q784" t="e">
            <v>#N/A</v>
          </cell>
          <cell r="R784" t="e">
            <v>#N/A</v>
          </cell>
        </row>
        <row r="785">
          <cell r="N785">
            <v>0</v>
          </cell>
          <cell r="O785">
            <v>0</v>
          </cell>
          <cell r="Q785" t="e">
            <v>#N/A</v>
          </cell>
          <cell r="R785" t="e">
            <v>#N/A</v>
          </cell>
        </row>
        <row r="786">
          <cell r="N786">
            <v>0</v>
          </cell>
          <cell r="O786">
            <v>0</v>
          </cell>
          <cell r="Q786" t="e">
            <v>#N/A</v>
          </cell>
          <cell r="R786" t="e">
            <v>#N/A</v>
          </cell>
        </row>
        <row r="787">
          <cell r="N787">
            <v>0</v>
          </cell>
          <cell r="O787">
            <v>0</v>
          </cell>
          <cell r="Q787" t="e">
            <v>#N/A</v>
          </cell>
          <cell r="R787" t="e">
            <v>#N/A</v>
          </cell>
        </row>
        <row r="788">
          <cell r="N788">
            <v>0</v>
          </cell>
          <cell r="O788">
            <v>0</v>
          </cell>
          <cell r="Q788" t="e">
            <v>#N/A</v>
          </cell>
          <cell r="R788" t="e">
            <v>#N/A</v>
          </cell>
        </row>
        <row r="789">
          <cell r="N789">
            <v>0</v>
          </cell>
          <cell r="O789">
            <v>0</v>
          </cell>
          <cell r="Q789" t="e">
            <v>#N/A</v>
          </cell>
          <cell r="R789" t="e">
            <v>#N/A</v>
          </cell>
        </row>
        <row r="790">
          <cell r="N790">
            <v>0</v>
          </cell>
          <cell r="O790">
            <v>0</v>
          </cell>
          <cell r="Q790" t="e">
            <v>#N/A</v>
          </cell>
          <cell r="R790" t="e">
            <v>#N/A</v>
          </cell>
        </row>
        <row r="791">
          <cell r="N791">
            <v>0</v>
          </cell>
          <cell r="O791">
            <v>0</v>
          </cell>
          <cell r="Q791" t="e">
            <v>#N/A</v>
          </cell>
          <cell r="R791" t="e">
            <v>#N/A</v>
          </cell>
        </row>
        <row r="792">
          <cell r="N792">
            <v>0</v>
          </cell>
          <cell r="O792">
            <v>0</v>
          </cell>
          <cell r="Q792" t="e">
            <v>#N/A</v>
          </cell>
          <cell r="R792" t="e">
            <v>#N/A</v>
          </cell>
        </row>
        <row r="793">
          <cell r="N793">
            <v>0</v>
          </cell>
          <cell r="O793">
            <v>0</v>
          </cell>
          <cell r="Q793" t="e">
            <v>#N/A</v>
          </cell>
          <cell r="R793" t="e">
            <v>#N/A</v>
          </cell>
        </row>
        <row r="794">
          <cell r="N794">
            <v>0</v>
          </cell>
          <cell r="O794">
            <v>0</v>
          </cell>
          <cell r="Q794" t="e">
            <v>#N/A</v>
          </cell>
          <cell r="R794" t="e">
            <v>#N/A</v>
          </cell>
        </row>
        <row r="795">
          <cell r="N795">
            <v>0</v>
          </cell>
          <cell r="O795">
            <v>0</v>
          </cell>
          <cell r="Q795" t="e">
            <v>#N/A</v>
          </cell>
          <cell r="R795" t="e">
            <v>#N/A</v>
          </cell>
        </row>
        <row r="796">
          <cell r="N796">
            <v>0</v>
          </cell>
          <cell r="O796">
            <v>0</v>
          </cell>
          <cell r="Q796" t="e">
            <v>#N/A</v>
          </cell>
          <cell r="R796" t="e">
            <v>#N/A</v>
          </cell>
        </row>
        <row r="797">
          <cell r="N797">
            <v>0</v>
          </cell>
          <cell r="O797">
            <v>0</v>
          </cell>
          <cell r="Q797" t="e">
            <v>#N/A</v>
          </cell>
          <cell r="R797" t="e">
            <v>#N/A</v>
          </cell>
        </row>
        <row r="798">
          <cell r="N798">
            <v>0</v>
          </cell>
          <cell r="O798">
            <v>0</v>
          </cell>
          <cell r="Q798" t="e">
            <v>#N/A</v>
          </cell>
          <cell r="R798" t="e">
            <v>#N/A</v>
          </cell>
        </row>
        <row r="799">
          <cell r="N799">
            <v>0</v>
          </cell>
          <cell r="O799">
            <v>0</v>
          </cell>
          <cell r="Q799" t="e">
            <v>#N/A</v>
          </cell>
          <cell r="R799" t="e">
            <v>#N/A</v>
          </cell>
        </row>
        <row r="800">
          <cell r="N800">
            <v>0</v>
          </cell>
          <cell r="O800">
            <v>0</v>
          </cell>
          <cell r="Q800" t="e">
            <v>#N/A</v>
          </cell>
          <cell r="R800" t="e">
            <v>#N/A</v>
          </cell>
        </row>
        <row r="801">
          <cell r="N801">
            <v>0</v>
          </cell>
          <cell r="O801">
            <v>0</v>
          </cell>
          <cell r="Q801" t="e">
            <v>#N/A</v>
          </cell>
          <cell r="R801" t="e">
            <v>#N/A</v>
          </cell>
        </row>
        <row r="802">
          <cell r="N802">
            <v>0</v>
          </cell>
          <cell r="O802">
            <v>0</v>
          </cell>
          <cell r="Q802" t="e">
            <v>#N/A</v>
          </cell>
          <cell r="R802" t="e">
            <v>#N/A</v>
          </cell>
        </row>
        <row r="803">
          <cell r="N803">
            <v>0</v>
          </cell>
          <cell r="O803">
            <v>0</v>
          </cell>
          <cell r="Q803" t="e">
            <v>#N/A</v>
          </cell>
          <cell r="R803" t="e">
            <v>#N/A</v>
          </cell>
        </row>
        <row r="804">
          <cell r="N804">
            <v>0</v>
          </cell>
          <cell r="O804">
            <v>0</v>
          </cell>
          <cell r="Q804" t="e">
            <v>#N/A</v>
          </cell>
          <cell r="R804" t="e">
            <v>#N/A</v>
          </cell>
        </row>
        <row r="805">
          <cell r="N805">
            <v>0</v>
          </cell>
          <cell r="O805">
            <v>0</v>
          </cell>
          <cell r="Q805" t="e">
            <v>#N/A</v>
          </cell>
          <cell r="R805" t="e">
            <v>#N/A</v>
          </cell>
        </row>
        <row r="806">
          <cell r="N806">
            <v>0</v>
          </cell>
          <cell r="O806">
            <v>0</v>
          </cell>
          <cell r="Q806" t="e">
            <v>#N/A</v>
          </cell>
          <cell r="R806" t="e">
            <v>#N/A</v>
          </cell>
        </row>
        <row r="807">
          <cell r="N807">
            <v>0</v>
          </cell>
          <cell r="O807">
            <v>0</v>
          </cell>
          <cell r="Q807" t="e">
            <v>#N/A</v>
          </cell>
          <cell r="R807" t="e">
            <v>#N/A</v>
          </cell>
        </row>
        <row r="808">
          <cell r="N808">
            <v>0</v>
          </cell>
          <cell r="O808">
            <v>0</v>
          </cell>
          <cell r="Q808" t="e">
            <v>#N/A</v>
          </cell>
          <cell r="R808" t="e">
            <v>#N/A</v>
          </cell>
        </row>
        <row r="809">
          <cell r="N809">
            <v>0</v>
          </cell>
          <cell r="O809">
            <v>0</v>
          </cell>
          <cell r="Q809" t="e">
            <v>#N/A</v>
          </cell>
          <cell r="R809" t="e">
            <v>#N/A</v>
          </cell>
        </row>
        <row r="810">
          <cell r="N810">
            <v>0</v>
          </cell>
          <cell r="O810">
            <v>0</v>
          </cell>
          <cell r="Q810" t="e">
            <v>#N/A</v>
          </cell>
          <cell r="R810" t="e">
            <v>#N/A</v>
          </cell>
        </row>
        <row r="811">
          <cell r="N811">
            <v>0</v>
          </cell>
          <cell r="O811">
            <v>0</v>
          </cell>
          <cell r="Q811" t="e">
            <v>#N/A</v>
          </cell>
          <cell r="R811" t="e">
            <v>#N/A</v>
          </cell>
        </row>
        <row r="812">
          <cell r="N812">
            <v>0</v>
          </cell>
          <cell r="O812">
            <v>0</v>
          </cell>
          <cell r="Q812" t="e">
            <v>#N/A</v>
          </cell>
          <cell r="R812" t="e">
            <v>#N/A</v>
          </cell>
        </row>
        <row r="813">
          <cell r="N813">
            <v>0</v>
          </cell>
          <cell r="O813">
            <v>0</v>
          </cell>
          <cell r="Q813" t="e">
            <v>#N/A</v>
          </cell>
          <cell r="R813" t="e">
            <v>#N/A</v>
          </cell>
        </row>
        <row r="814">
          <cell r="N814">
            <v>0</v>
          </cell>
          <cell r="O814">
            <v>0</v>
          </cell>
          <cell r="Q814" t="e">
            <v>#N/A</v>
          </cell>
          <cell r="R814" t="e">
            <v>#N/A</v>
          </cell>
        </row>
        <row r="815">
          <cell r="N815">
            <v>0</v>
          </cell>
          <cell r="O815">
            <v>0</v>
          </cell>
          <cell r="Q815" t="e">
            <v>#N/A</v>
          </cell>
          <cell r="R815" t="e">
            <v>#N/A</v>
          </cell>
        </row>
        <row r="816">
          <cell r="N816">
            <v>0</v>
          </cell>
          <cell r="O816">
            <v>0</v>
          </cell>
          <cell r="Q816" t="e">
            <v>#N/A</v>
          </cell>
          <cell r="R816" t="e">
            <v>#N/A</v>
          </cell>
        </row>
        <row r="817">
          <cell r="N817">
            <v>0</v>
          </cell>
          <cell r="O817">
            <v>0</v>
          </cell>
          <cell r="Q817" t="e">
            <v>#N/A</v>
          </cell>
          <cell r="R817" t="e">
            <v>#N/A</v>
          </cell>
        </row>
        <row r="818">
          <cell r="N818">
            <v>0</v>
          </cell>
          <cell r="O818">
            <v>0</v>
          </cell>
          <cell r="Q818" t="e">
            <v>#N/A</v>
          </cell>
          <cell r="R818" t="e">
            <v>#N/A</v>
          </cell>
        </row>
        <row r="819">
          <cell r="N819">
            <v>0</v>
          </cell>
          <cell r="O819">
            <v>0</v>
          </cell>
          <cell r="Q819" t="e">
            <v>#N/A</v>
          </cell>
          <cell r="R819" t="e">
            <v>#N/A</v>
          </cell>
        </row>
        <row r="820">
          <cell r="N820">
            <v>0</v>
          </cell>
          <cell r="O820">
            <v>0</v>
          </cell>
          <cell r="Q820" t="e">
            <v>#N/A</v>
          </cell>
          <cell r="R820" t="e">
            <v>#N/A</v>
          </cell>
        </row>
        <row r="821">
          <cell r="N821">
            <v>0</v>
          </cell>
          <cell r="O821">
            <v>0</v>
          </cell>
          <cell r="Q821" t="e">
            <v>#N/A</v>
          </cell>
          <cell r="R821" t="e">
            <v>#N/A</v>
          </cell>
        </row>
        <row r="822">
          <cell r="N822">
            <v>0</v>
          </cell>
          <cell r="O822">
            <v>0</v>
          </cell>
          <cell r="Q822" t="e">
            <v>#N/A</v>
          </cell>
          <cell r="R822" t="e">
            <v>#N/A</v>
          </cell>
        </row>
        <row r="823">
          <cell r="N823">
            <v>0</v>
          </cell>
          <cell r="O823">
            <v>0</v>
          </cell>
          <cell r="Q823" t="e">
            <v>#N/A</v>
          </cell>
          <cell r="R823" t="e">
            <v>#N/A</v>
          </cell>
        </row>
        <row r="824">
          <cell r="N824">
            <v>0</v>
          </cell>
          <cell r="O824">
            <v>0</v>
          </cell>
          <cell r="Q824" t="e">
            <v>#N/A</v>
          </cell>
          <cell r="R824" t="e">
            <v>#N/A</v>
          </cell>
        </row>
        <row r="825">
          <cell r="N825">
            <v>0</v>
          </cell>
          <cell r="O825">
            <v>0</v>
          </cell>
          <cell r="Q825" t="e">
            <v>#N/A</v>
          </cell>
          <cell r="R825" t="e">
            <v>#N/A</v>
          </cell>
        </row>
        <row r="826">
          <cell r="N826">
            <v>0</v>
          </cell>
          <cell r="O826">
            <v>0</v>
          </cell>
          <cell r="Q826" t="e">
            <v>#N/A</v>
          </cell>
          <cell r="R826" t="e">
            <v>#N/A</v>
          </cell>
        </row>
        <row r="827">
          <cell r="N827">
            <v>0</v>
          </cell>
          <cell r="O827">
            <v>0</v>
          </cell>
          <cell r="Q827" t="e">
            <v>#N/A</v>
          </cell>
          <cell r="R827" t="e">
            <v>#N/A</v>
          </cell>
        </row>
        <row r="828">
          <cell r="N828">
            <v>0</v>
          </cell>
          <cell r="O828">
            <v>0</v>
          </cell>
          <cell r="Q828" t="e">
            <v>#N/A</v>
          </cell>
          <cell r="R828" t="e">
            <v>#N/A</v>
          </cell>
        </row>
        <row r="829">
          <cell r="N829">
            <v>0</v>
          </cell>
          <cell r="O829">
            <v>0</v>
          </cell>
          <cell r="Q829" t="e">
            <v>#N/A</v>
          </cell>
          <cell r="R829" t="e">
            <v>#N/A</v>
          </cell>
        </row>
        <row r="830">
          <cell r="N830">
            <v>0</v>
          </cell>
          <cell r="O830">
            <v>0</v>
          </cell>
          <cell r="Q830" t="e">
            <v>#N/A</v>
          </cell>
          <cell r="R830" t="e">
            <v>#N/A</v>
          </cell>
        </row>
        <row r="831">
          <cell r="N831">
            <v>0</v>
          </cell>
          <cell r="O831">
            <v>0</v>
          </cell>
          <cell r="Q831" t="e">
            <v>#N/A</v>
          </cell>
          <cell r="R831" t="e">
            <v>#N/A</v>
          </cell>
        </row>
        <row r="832">
          <cell r="N832">
            <v>0</v>
          </cell>
          <cell r="O832">
            <v>0</v>
          </cell>
          <cell r="Q832" t="e">
            <v>#N/A</v>
          </cell>
          <cell r="R832" t="e">
            <v>#N/A</v>
          </cell>
        </row>
        <row r="833">
          <cell r="N833">
            <v>0</v>
          </cell>
          <cell r="O833">
            <v>0</v>
          </cell>
          <cell r="Q833" t="e">
            <v>#N/A</v>
          </cell>
          <cell r="R833" t="e">
            <v>#N/A</v>
          </cell>
        </row>
        <row r="834">
          <cell r="N834">
            <v>0</v>
          </cell>
          <cell r="O834">
            <v>0</v>
          </cell>
          <cell r="Q834" t="e">
            <v>#N/A</v>
          </cell>
          <cell r="R834" t="e">
            <v>#N/A</v>
          </cell>
        </row>
        <row r="835">
          <cell r="N835">
            <v>0</v>
          </cell>
          <cell r="O835">
            <v>0</v>
          </cell>
          <cell r="Q835" t="e">
            <v>#N/A</v>
          </cell>
          <cell r="R835" t="e">
            <v>#N/A</v>
          </cell>
        </row>
        <row r="836">
          <cell r="N836">
            <v>0</v>
          </cell>
          <cell r="O836">
            <v>0</v>
          </cell>
          <cell r="Q836" t="e">
            <v>#N/A</v>
          </cell>
          <cell r="R836" t="e">
            <v>#N/A</v>
          </cell>
        </row>
        <row r="837">
          <cell r="N837">
            <v>0</v>
          </cell>
          <cell r="O837">
            <v>0</v>
          </cell>
          <cell r="Q837" t="e">
            <v>#N/A</v>
          </cell>
          <cell r="R837" t="e">
            <v>#N/A</v>
          </cell>
        </row>
        <row r="838">
          <cell r="N838">
            <v>0</v>
          </cell>
          <cell r="O838">
            <v>0</v>
          </cell>
          <cell r="Q838" t="e">
            <v>#N/A</v>
          </cell>
          <cell r="R838" t="e">
            <v>#N/A</v>
          </cell>
        </row>
        <row r="839">
          <cell r="N839">
            <v>0</v>
          </cell>
          <cell r="O839">
            <v>0</v>
          </cell>
          <cell r="Q839" t="e">
            <v>#N/A</v>
          </cell>
          <cell r="R839" t="e">
            <v>#N/A</v>
          </cell>
        </row>
        <row r="840">
          <cell r="N840">
            <v>0</v>
          </cell>
          <cell r="O840">
            <v>0</v>
          </cell>
          <cell r="Q840" t="e">
            <v>#N/A</v>
          </cell>
          <cell r="R840" t="e">
            <v>#N/A</v>
          </cell>
        </row>
        <row r="841">
          <cell r="N841">
            <v>0</v>
          </cell>
          <cell r="O841">
            <v>0</v>
          </cell>
          <cell r="Q841" t="e">
            <v>#N/A</v>
          </cell>
          <cell r="R841" t="e">
            <v>#N/A</v>
          </cell>
        </row>
        <row r="842">
          <cell r="N842">
            <v>0</v>
          </cell>
          <cell r="O842">
            <v>0</v>
          </cell>
          <cell r="Q842" t="e">
            <v>#N/A</v>
          </cell>
          <cell r="R842" t="e">
            <v>#N/A</v>
          </cell>
        </row>
        <row r="843">
          <cell r="N843">
            <v>0</v>
          </cell>
          <cell r="O843">
            <v>0</v>
          </cell>
          <cell r="Q843" t="e">
            <v>#N/A</v>
          </cell>
          <cell r="R843" t="e">
            <v>#N/A</v>
          </cell>
        </row>
        <row r="844">
          <cell r="N844">
            <v>0</v>
          </cell>
          <cell r="O844">
            <v>0</v>
          </cell>
          <cell r="Q844" t="e">
            <v>#N/A</v>
          </cell>
          <cell r="R844" t="e">
            <v>#N/A</v>
          </cell>
        </row>
        <row r="845">
          <cell r="N845">
            <v>0</v>
          </cell>
          <cell r="O845">
            <v>0</v>
          </cell>
          <cell r="Q845" t="e">
            <v>#N/A</v>
          </cell>
          <cell r="R845" t="e">
            <v>#N/A</v>
          </cell>
        </row>
        <row r="846">
          <cell r="N846">
            <v>0</v>
          </cell>
          <cell r="O846">
            <v>0</v>
          </cell>
          <cell r="Q846" t="e">
            <v>#N/A</v>
          </cell>
          <cell r="R846" t="e">
            <v>#N/A</v>
          </cell>
        </row>
        <row r="847">
          <cell r="N847">
            <v>0</v>
          </cell>
          <cell r="O847">
            <v>0</v>
          </cell>
          <cell r="Q847" t="e">
            <v>#N/A</v>
          </cell>
          <cell r="R847" t="e">
            <v>#N/A</v>
          </cell>
        </row>
        <row r="848">
          <cell r="N848">
            <v>0</v>
          </cell>
          <cell r="O848">
            <v>0</v>
          </cell>
          <cell r="Q848" t="e">
            <v>#N/A</v>
          </cell>
          <cell r="R848" t="e">
            <v>#N/A</v>
          </cell>
        </row>
        <row r="849">
          <cell r="N849">
            <v>0</v>
          </cell>
          <cell r="O849">
            <v>0</v>
          </cell>
          <cell r="Q849" t="e">
            <v>#N/A</v>
          </cell>
          <cell r="R849" t="e">
            <v>#N/A</v>
          </cell>
        </row>
        <row r="850">
          <cell r="N850">
            <v>0</v>
          </cell>
          <cell r="O850">
            <v>0</v>
          </cell>
          <cell r="Q850" t="e">
            <v>#N/A</v>
          </cell>
          <cell r="R850" t="e">
            <v>#N/A</v>
          </cell>
        </row>
        <row r="851">
          <cell r="N851">
            <v>0</v>
          </cell>
          <cell r="O851">
            <v>0</v>
          </cell>
          <cell r="Q851" t="e">
            <v>#N/A</v>
          </cell>
          <cell r="R851" t="e">
            <v>#N/A</v>
          </cell>
        </row>
        <row r="852">
          <cell r="N852">
            <v>0</v>
          </cell>
          <cell r="O852">
            <v>0</v>
          </cell>
          <cell r="Q852" t="e">
            <v>#N/A</v>
          </cell>
          <cell r="R852" t="e">
            <v>#N/A</v>
          </cell>
        </row>
        <row r="853">
          <cell r="N853">
            <v>0</v>
          </cell>
          <cell r="O853">
            <v>0</v>
          </cell>
          <cell r="Q853" t="e">
            <v>#N/A</v>
          </cell>
          <cell r="R853" t="e">
            <v>#N/A</v>
          </cell>
        </row>
        <row r="854">
          <cell r="N854">
            <v>0</v>
          </cell>
          <cell r="O854">
            <v>0</v>
          </cell>
          <cell r="Q854" t="e">
            <v>#N/A</v>
          </cell>
          <cell r="R854" t="e">
            <v>#N/A</v>
          </cell>
        </row>
        <row r="855">
          <cell r="N855">
            <v>0</v>
          </cell>
          <cell r="O855">
            <v>0</v>
          </cell>
          <cell r="Q855" t="e">
            <v>#N/A</v>
          </cell>
          <cell r="R855" t="e">
            <v>#N/A</v>
          </cell>
        </row>
        <row r="856">
          <cell r="N856">
            <v>0</v>
          </cell>
          <cell r="O856">
            <v>0</v>
          </cell>
          <cell r="Q856" t="e">
            <v>#N/A</v>
          </cell>
          <cell r="R856" t="e">
            <v>#N/A</v>
          </cell>
        </row>
        <row r="857">
          <cell r="N857">
            <v>0</v>
          </cell>
          <cell r="O857">
            <v>0</v>
          </cell>
          <cell r="Q857" t="e">
            <v>#N/A</v>
          </cell>
          <cell r="R857" t="e">
            <v>#N/A</v>
          </cell>
        </row>
        <row r="858">
          <cell r="N858">
            <v>0</v>
          </cell>
          <cell r="O858">
            <v>0</v>
          </cell>
          <cell r="Q858" t="e">
            <v>#N/A</v>
          </cell>
          <cell r="R858" t="e">
            <v>#N/A</v>
          </cell>
        </row>
        <row r="859">
          <cell r="N859">
            <v>0</v>
          </cell>
          <cell r="O859">
            <v>0</v>
          </cell>
          <cell r="Q859" t="e">
            <v>#N/A</v>
          </cell>
          <cell r="R859" t="e">
            <v>#N/A</v>
          </cell>
        </row>
        <row r="860">
          <cell r="N860">
            <v>0</v>
          </cell>
          <cell r="O860">
            <v>0</v>
          </cell>
          <cell r="Q860" t="e">
            <v>#N/A</v>
          </cell>
          <cell r="R860" t="e">
            <v>#N/A</v>
          </cell>
        </row>
        <row r="861">
          <cell r="N861">
            <v>0</v>
          </cell>
          <cell r="O861">
            <v>0</v>
          </cell>
          <cell r="Q861" t="e">
            <v>#N/A</v>
          </cell>
          <cell r="R861" t="e">
            <v>#N/A</v>
          </cell>
        </row>
        <row r="862">
          <cell r="N862">
            <v>0</v>
          </cell>
          <cell r="O862">
            <v>0</v>
          </cell>
          <cell r="Q862" t="e">
            <v>#N/A</v>
          </cell>
          <cell r="R862" t="e">
            <v>#N/A</v>
          </cell>
        </row>
        <row r="863">
          <cell r="N863">
            <v>0</v>
          </cell>
          <cell r="O863">
            <v>0</v>
          </cell>
          <cell r="Q863" t="e">
            <v>#N/A</v>
          </cell>
          <cell r="R863" t="e">
            <v>#N/A</v>
          </cell>
        </row>
        <row r="864">
          <cell r="N864">
            <v>0</v>
          </cell>
          <cell r="O864">
            <v>0</v>
          </cell>
          <cell r="Q864" t="e">
            <v>#N/A</v>
          </cell>
          <cell r="R864" t="e">
            <v>#N/A</v>
          </cell>
        </row>
        <row r="865">
          <cell r="N865">
            <v>0</v>
          </cell>
          <cell r="O865">
            <v>0</v>
          </cell>
          <cell r="Q865" t="e">
            <v>#N/A</v>
          </cell>
          <cell r="R865" t="e">
            <v>#N/A</v>
          </cell>
        </row>
        <row r="866">
          <cell r="N866">
            <v>0</v>
          </cell>
          <cell r="O866">
            <v>0</v>
          </cell>
          <cell r="Q866" t="e">
            <v>#N/A</v>
          </cell>
          <cell r="R866" t="e">
            <v>#N/A</v>
          </cell>
        </row>
        <row r="867">
          <cell r="N867">
            <v>0</v>
          </cell>
          <cell r="O867">
            <v>0</v>
          </cell>
          <cell r="Q867" t="e">
            <v>#N/A</v>
          </cell>
          <cell r="R867" t="e">
            <v>#N/A</v>
          </cell>
        </row>
        <row r="868">
          <cell r="N868">
            <v>0</v>
          </cell>
          <cell r="O868">
            <v>0</v>
          </cell>
          <cell r="Q868" t="e">
            <v>#N/A</v>
          </cell>
          <cell r="R868" t="e">
            <v>#N/A</v>
          </cell>
        </row>
        <row r="869">
          <cell r="N869">
            <v>0</v>
          </cell>
          <cell r="O869">
            <v>0</v>
          </cell>
          <cell r="Q869" t="e">
            <v>#N/A</v>
          </cell>
          <cell r="R869" t="e">
            <v>#N/A</v>
          </cell>
        </row>
        <row r="870">
          <cell r="N870">
            <v>0</v>
          </cell>
          <cell r="O870">
            <v>0</v>
          </cell>
          <cell r="Q870" t="e">
            <v>#N/A</v>
          </cell>
          <cell r="R870" t="e">
            <v>#N/A</v>
          </cell>
        </row>
        <row r="871">
          <cell r="N871">
            <v>0</v>
          </cell>
          <cell r="O871">
            <v>0</v>
          </cell>
          <cell r="Q871" t="e">
            <v>#N/A</v>
          </cell>
          <cell r="R871" t="e">
            <v>#N/A</v>
          </cell>
        </row>
        <row r="872">
          <cell r="N872">
            <v>0</v>
          </cell>
          <cell r="O872">
            <v>0</v>
          </cell>
          <cell r="Q872" t="e">
            <v>#N/A</v>
          </cell>
          <cell r="R872" t="e">
            <v>#N/A</v>
          </cell>
        </row>
        <row r="873">
          <cell r="N873">
            <v>0</v>
          </cell>
          <cell r="O873">
            <v>0</v>
          </cell>
          <cell r="Q873" t="e">
            <v>#N/A</v>
          </cell>
          <cell r="R873" t="e">
            <v>#N/A</v>
          </cell>
        </row>
        <row r="874">
          <cell r="N874">
            <v>0</v>
          </cell>
          <cell r="O874">
            <v>0</v>
          </cell>
          <cell r="Q874" t="e">
            <v>#N/A</v>
          </cell>
          <cell r="R874" t="e">
            <v>#N/A</v>
          </cell>
        </row>
        <row r="875">
          <cell r="N875">
            <v>0</v>
          </cell>
          <cell r="O875">
            <v>0</v>
          </cell>
          <cell r="Q875" t="e">
            <v>#N/A</v>
          </cell>
          <cell r="R875" t="e">
            <v>#N/A</v>
          </cell>
        </row>
        <row r="876">
          <cell r="N876">
            <v>0</v>
          </cell>
          <cell r="O876">
            <v>0</v>
          </cell>
          <cell r="Q876" t="e">
            <v>#N/A</v>
          </cell>
          <cell r="R876" t="e">
            <v>#N/A</v>
          </cell>
        </row>
        <row r="877">
          <cell r="N877">
            <v>0</v>
          </cell>
          <cell r="O877">
            <v>0</v>
          </cell>
          <cell r="Q877" t="e">
            <v>#N/A</v>
          </cell>
          <cell r="R877" t="e">
            <v>#N/A</v>
          </cell>
        </row>
        <row r="878">
          <cell r="N878">
            <v>0</v>
          </cell>
          <cell r="O878">
            <v>0</v>
          </cell>
          <cell r="Q878" t="e">
            <v>#N/A</v>
          </cell>
          <cell r="R878" t="e">
            <v>#N/A</v>
          </cell>
        </row>
        <row r="879">
          <cell r="N879">
            <v>0</v>
          </cell>
          <cell r="O879">
            <v>0</v>
          </cell>
          <cell r="Q879" t="e">
            <v>#N/A</v>
          </cell>
          <cell r="R879" t="e">
            <v>#N/A</v>
          </cell>
        </row>
        <row r="880">
          <cell r="N880">
            <v>0</v>
          </cell>
          <cell r="O880">
            <v>0</v>
          </cell>
          <cell r="Q880" t="e">
            <v>#N/A</v>
          </cell>
          <cell r="R880" t="e">
            <v>#N/A</v>
          </cell>
        </row>
        <row r="881">
          <cell r="N881">
            <v>0</v>
          </cell>
          <cell r="O881">
            <v>0</v>
          </cell>
          <cell r="Q881" t="e">
            <v>#N/A</v>
          </cell>
          <cell r="R881" t="e">
            <v>#N/A</v>
          </cell>
        </row>
        <row r="882">
          <cell r="N882">
            <v>0</v>
          </cell>
          <cell r="O882">
            <v>0</v>
          </cell>
          <cell r="Q882" t="e">
            <v>#N/A</v>
          </cell>
          <cell r="R882" t="e">
            <v>#N/A</v>
          </cell>
        </row>
        <row r="883">
          <cell r="N883">
            <v>0</v>
          </cell>
          <cell r="O883">
            <v>0</v>
          </cell>
          <cell r="Q883" t="e">
            <v>#N/A</v>
          </cell>
          <cell r="R883" t="e">
            <v>#N/A</v>
          </cell>
        </row>
        <row r="884">
          <cell r="N884">
            <v>0</v>
          </cell>
          <cell r="O884">
            <v>0</v>
          </cell>
          <cell r="Q884" t="e">
            <v>#N/A</v>
          </cell>
          <cell r="R884" t="e">
            <v>#N/A</v>
          </cell>
        </row>
        <row r="885">
          <cell r="N885">
            <v>0</v>
          </cell>
          <cell r="O885">
            <v>0</v>
          </cell>
          <cell r="Q885" t="e">
            <v>#N/A</v>
          </cell>
          <cell r="R885" t="e">
            <v>#N/A</v>
          </cell>
        </row>
        <row r="886">
          <cell r="N886">
            <v>0</v>
          </cell>
          <cell r="O886">
            <v>0</v>
          </cell>
          <cell r="Q886" t="e">
            <v>#N/A</v>
          </cell>
          <cell r="R886" t="e">
            <v>#N/A</v>
          </cell>
        </row>
        <row r="887">
          <cell r="N887">
            <v>0</v>
          </cell>
          <cell r="O887">
            <v>0</v>
          </cell>
          <cell r="Q887" t="e">
            <v>#N/A</v>
          </cell>
          <cell r="R887" t="e">
            <v>#N/A</v>
          </cell>
        </row>
        <row r="888">
          <cell r="N888">
            <v>0</v>
          </cell>
          <cell r="O888">
            <v>0</v>
          </cell>
          <cell r="Q888" t="e">
            <v>#N/A</v>
          </cell>
          <cell r="R888" t="e">
            <v>#N/A</v>
          </cell>
        </row>
        <row r="889">
          <cell r="N889">
            <v>0</v>
          </cell>
          <cell r="O889">
            <v>0</v>
          </cell>
          <cell r="Q889" t="e">
            <v>#N/A</v>
          </cell>
          <cell r="R889" t="e">
            <v>#N/A</v>
          </cell>
        </row>
        <row r="890">
          <cell r="N890">
            <v>0</v>
          </cell>
          <cell r="O890">
            <v>0</v>
          </cell>
          <cell r="Q890" t="e">
            <v>#N/A</v>
          </cell>
          <cell r="R890" t="e">
            <v>#N/A</v>
          </cell>
        </row>
        <row r="891">
          <cell r="N891">
            <v>0</v>
          </cell>
          <cell r="O891">
            <v>0</v>
          </cell>
          <cell r="Q891" t="e">
            <v>#N/A</v>
          </cell>
          <cell r="R891" t="e">
            <v>#N/A</v>
          </cell>
        </row>
        <row r="892">
          <cell r="N892">
            <v>0</v>
          </cell>
          <cell r="O892">
            <v>0</v>
          </cell>
          <cell r="Q892" t="e">
            <v>#N/A</v>
          </cell>
          <cell r="R892" t="e">
            <v>#N/A</v>
          </cell>
        </row>
        <row r="893">
          <cell r="N893">
            <v>0</v>
          </cell>
          <cell r="O893">
            <v>0</v>
          </cell>
          <cell r="Q893" t="e">
            <v>#N/A</v>
          </cell>
          <cell r="R893" t="e">
            <v>#N/A</v>
          </cell>
        </row>
        <row r="894">
          <cell r="N894">
            <v>0</v>
          </cell>
          <cell r="O894">
            <v>0</v>
          </cell>
          <cell r="Q894" t="e">
            <v>#N/A</v>
          </cell>
          <cell r="R894" t="e">
            <v>#N/A</v>
          </cell>
        </row>
        <row r="895">
          <cell r="N895">
            <v>0</v>
          </cell>
          <cell r="O895">
            <v>0</v>
          </cell>
          <cell r="Q895" t="e">
            <v>#N/A</v>
          </cell>
          <cell r="R895" t="e">
            <v>#N/A</v>
          </cell>
        </row>
        <row r="896">
          <cell r="N896">
            <v>0</v>
          </cell>
          <cell r="O896">
            <v>0</v>
          </cell>
          <cell r="Q896" t="e">
            <v>#N/A</v>
          </cell>
          <cell r="R896" t="e">
            <v>#N/A</v>
          </cell>
        </row>
        <row r="897">
          <cell r="N897">
            <v>0</v>
          </cell>
          <cell r="O897">
            <v>0</v>
          </cell>
          <cell r="Q897" t="e">
            <v>#N/A</v>
          </cell>
          <cell r="R897" t="e">
            <v>#N/A</v>
          </cell>
        </row>
        <row r="898">
          <cell r="N898">
            <v>0</v>
          </cell>
          <cell r="O898">
            <v>0</v>
          </cell>
          <cell r="Q898" t="e">
            <v>#N/A</v>
          </cell>
          <cell r="R898" t="e">
            <v>#N/A</v>
          </cell>
        </row>
        <row r="899">
          <cell r="N899">
            <v>0</v>
          </cell>
          <cell r="O899">
            <v>0</v>
          </cell>
          <cell r="Q899" t="e">
            <v>#N/A</v>
          </cell>
          <cell r="R899" t="e">
            <v>#N/A</v>
          </cell>
        </row>
        <row r="900">
          <cell r="N900">
            <v>0</v>
          </cell>
          <cell r="O900">
            <v>0</v>
          </cell>
          <cell r="Q900" t="e">
            <v>#N/A</v>
          </cell>
          <cell r="R900" t="e">
            <v>#N/A</v>
          </cell>
        </row>
        <row r="901">
          <cell r="N901">
            <v>0</v>
          </cell>
          <cell r="O901">
            <v>0</v>
          </cell>
          <cell r="Q901" t="e">
            <v>#N/A</v>
          </cell>
          <cell r="R901" t="e">
            <v>#N/A</v>
          </cell>
        </row>
        <row r="902">
          <cell r="N902">
            <v>0</v>
          </cell>
          <cell r="O902">
            <v>0</v>
          </cell>
          <cell r="Q902" t="e">
            <v>#N/A</v>
          </cell>
          <cell r="R902" t="e">
            <v>#N/A</v>
          </cell>
        </row>
        <row r="903">
          <cell r="N903">
            <v>0</v>
          </cell>
          <cell r="O903">
            <v>0</v>
          </cell>
          <cell r="Q903" t="e">
            <v>#N/A</v>
          </cell>
          <cell r="R903" t="e">
            <v>#N/A</v>
          </cell>
        </row>
        <row r="904">
          <cell r="N904">
            <v>0</v>
          </cell>
          <cell r="O904">
            <v>0</v>
          </cell>
          <cell r="Q904" t="e">
            <v>#N/A</v>
          </cell>
          <cell r="R904" t="e">
            <v>#N/A</v>
          </cell>
        </row>
        <row r="905">
          <cell r="N905">
            <v>0</v>
          </cell>
          <cell r="O905">
            <v>0</v>
          </cell>
          <cell r="Q905" t="e">
            <v>#N/A</v>
          </cell>
          <cell r="R905" t="e">
            <v>#N/A</v>
          </cell>
        </row>
        <row r="906">
          <cell r="N906">
            <v>0</v>
          </cell>
          <cell r="O906">
            <v>0</v>
          </cell>
          <cell r="Q906" t="e">
            <v>#N/A</v>
          </cell>
          <cell r="R906" t="e">
            <v>#N/A</v>
          </cell>
        </row>
        <row r="907">
          <cell r="N907">
            <v>0</v>
          </cell>
          <cell r="O907">
            <v>0</v>
          </cell>
          <cell r="Q907" t="e">
            <v>#N/A</v>
          </cell>
          <cell r="R907" t="e">
            <v>#N/A</v>
          </cell>
        </row>
        <row r="908">
          <cell r="N908">
            <v>0</v>
          </cell>
          <cell r="O908">
            <v>0</v>
          </cell>
          <cell r="Q908" t="e">
            <v>#N/A</v>
          </cell>
          <cell r="R908" t="e">
            <v>#N/A</v>
          </cell>
        </row>
        <row r="909">
          <cell r="N909">
            <v>0</v>
          </cell>
          <cell r="O909">
            <v>0</v>
          </cell>
          <cell r="Q909" t="e">
            <v>#N/A</v>
          </cell>
          <cell r="R909" t="e">
            <v>#N/A</v>
          </cell>
        </row>
        <row r="910">
          <cell r="N910">
            <v>0</v>
          </cell>
          <cell r="O910">
            <v>0</v>
          </cell>
          <cell r="Q910" t="e">
            <v>#N/A</v>
          </cell>
          <cell r="R910" t="e">
            <v>#N/A</v>
          </cell>
        </row>
        <row r="911">
          <cell r="N911">
            <v>0</v>
          </cell>
          <cell r="O911">
            <v>0</v>
          </cell>
          <cell r="Q911" t="e">
            <v>#N/A</v>
          </cell>
          <cell r="R911" t="e">
            <v>#N/A</v>
          </cell>
        </row>
        <row r="912">
          <cell r="N912">
            <v>0</v>
          </cell>
          <cell r="O912">
            <v>0</v>
          </cell>
          <cell r="Q912" t="e">
            <v>#N/A</v>
          </cell>
          <cell r="R912" t="e">
            <v>#N/A</v>
          </cell>
        </row>
        <row r="913">
          <cell r="N913">
            <v>0</v>
          </cell>
          <cell r="O913">
            <v>0</v>
          </cell>
          <cell r="Q913" t="e">
            <v>#N/A</v>
          </cell>
          <cell r="R913" t="e">
            <v>#N/A</v>
          </cell>
        </row>
        <row r="914">
          <cell r="N914">
            <v>0</v>
          </cell>
          <cell r="O914">
            <v>0</v>
          </cell>
          <cell r="Q914" t="e">
            <v>#N/A</v>
          </cell>
          <cell r="R914" t="e">
            <v>#N/A</v>
          </cell>
        </row>
        <row r="915">
          <cell r="N915">
            <v>0</v>
          </cell>
          <cell r="O915">
            <v>0</v>
          </cell>
          <cell r="Q915" t="e">
            <v>#N/A</v>
          </cell>
          <cell r="R915" t="e">
            <v>#N/A</v>
          </cell>
        </row>
        <row r="916">
          <cell r="N916">
            <v>0</v>
          </cell>
          <cell r="O916">
            <v>0</v>
          </cell>
          <cell r="Q916" t="e">
            <v>#N/A</v>
          </cell>
          <cell r="R916" t="e">
            <v>#N/A</v>
          </cell>
        </row>
        <row r="917">
          <cell r="N917">
            <v>0</v>
          </cell>
          <cell r="O917">
            <v>0</v>
          </cell>
          <cell r="Q917" t="e">
            <v>#N/A</v>
          </cell>
          <cell r="R917" t="e">
            <v>#N/A</v>
          </cell>
        </row>
        <row r="918">
          <cell r="N918">
            <v>0</v>
          </cell>
          <cell r="O918">
            <v>0</v>
          </cell>
          <cell r="Q918" t="e">
            <v>#N/A</v>
          </cell>
          <cell r="R918" t="e">
            <v>#N/A</v>
          </cell>
        </row>
        <row r="919">
          <cell r="N919">
            <v>0</v>
          </cell>
          <cell r="O919">
            <v>0</v>
          </cell>
          <cell r="Q919" t="e">
            <v>#N/A</v>
          </cell>
          <cell r="R919" t="e">
            <v>#N/A</v>
          </cell>
        </row>
        <row r="920">
          <cell r="N920">
            <v>0</v>
          </cell>
          <cell r="O920">
            <v>0</v>
          </cell>
          <cell r="Q920" t="e">
            <v>#N/A</v>
          </cell>
          <cell r="R920" t="e">
            <v>#N/A</v>
          </cell>
        </row>
        <row r="921">
          <cell r="N921">
            <v>0</v>
          </cell>
          <cell r="O921">
            <v>0</v>
          </cell>
          <cell r="Q921" t="e">
            <v>#N/A</v>
          </cell>
          <cell r="R921" t="e">
            <v>#N/A</v>
          </cell>
        </row>
        <row r="922">
          <cell r="N922">
            <v>0</v>
          </cell>
          <cell r="O922">
            <v>0</v>
          </cell>
          <cell r="Q922" t="e">
            <v>#N/A</v>
          </cell>
          <cell r="R922" t="e">
            <v>#N/A</v>
          </cell>
        </row>
        <row r="923">
          <cell r="N923">
            <v>0</v>
          </cell>
          <cell r="O923">
            <v>0</v>
          </cell>
          <cell r="Q923" t="e">
            <v>#N/A</v>
          </cell>
          <cell r="R923" t="e">
            <v>#N/A</v>
          </cell>
        </row>
        <row r="924">
          <cell r="N924">
            <v>0</v>
          </cell>
          <cell r="O924">
            <v>0</v>
          </cell>
          <cell r="Q924" t="e">
            <v>#N/A</v>
          </cell>
          <cell r="R924" t="e">
            <v>#N/A</v>
          </cell>
        </row>
        <row r="925">
          <cell r="N925">
            <v>0</v>
          </cell>
          <cell r="O925">
            <v>0</v>
          </cell>
          <cell r="Q925" t="e">
            <v>#N/A</v>
          </cell>
          <cell r="R925" t="e">
            <v>#N/A</v>
          </cell>
        </row>
        <row r="926">
          <cell r="N926">
            <v>0</v>
          </cell>
          <cell r="O926">
            <v>0</v>
          </cell>
          <cell r="Q926" t="e">
            <v>#N/A</v>
          </cell>
          <cell r="R926" t="e">
            <v>#N/A</v>
          </cell>
        </row>
        <row r="927">
          <cell r="N927">
            <v>0</v>
          </cell>
          <cell r="O927">
            <v>0</v>
          </cell>
          <cell r="Q927" t="e">
            <v>#N/A</v>
          </cell>
          <cell r="R927" t="e">
            <v>#N/A</v>
          </cell>
        </row>
        <row r="928">
          <cell r="N928">
            <v>0</v>
          </cell>
          <cell r="O928">
            <v>0</v>
          </cell>
          <cell r="Q928" t="e">
            <v>#N/A</v>
          </cell>
          <cell r="R928" t="e">
            <v>#N/A</v>
          </cell>
        </row>
        <row r="929">
          <cell r="N929">
            <v>0</v>
          </cell>
          <cell r="O929">
            <v>0</v>
          </cell>
          <cell r="Q929" t="e">
            <v>#N/A</v>
          </cell>
          <cell r="R929" t="e">
            <v>#N/A</v>
          </cell>
        </row>
        <row r="930">
          <cell r="N930">
            <v>0</v>
          </cell>
          <cell r="O930">
            <v>0</v>
          </cell>
          <cell r="Q930" t="e">
            <v>#N/A</v>
          </cell>
          <cell r="R930" t="e">
            <v>#N/A</v>
          </cell>
        </row>
        <row r="931">
          <cell r="N931">
            <v>0</v>
          </cell>
          <cell r="O931">
            <v>0</v>
          </cell>
          <cell r="Q931" t="e">
            <v>#N/A</v>
          </cell>
          <cell r="R931" t="e">
            <v>#N/A</v>
          </cell>
        </row>
        <row r="932">
          <cell r="N932">
            <v>0</v>
          </cell>
          <cell r="O932">
            <v>0</v>
          </cell>
          <cell r="Q932" t="e">
            <v>#N/A</v>
          </cell>
          <cell r="R932" t="e">
            <v>#N/A</v>
          </cell>
        </row>
        <row r="933">
          <cell r="N933">
            <v>0</v>
          </cell>
          <cell r="O933">
            <v>0</v>
          </cell>
          <cell r="Q933" t="e">
            <v>#N/A</v>
          </cell>
          <cell r="R933" t="e">
            <v>#N/A</v>
          </cell>
        </row>
        <row r="934">
          <cell r="N934">
            <v>0</v>
          </cell>
          <cell r="O934">
            <v>0</v>
          </cell>
          <cell r="Q934" t="e">
            <v>#N/A</v>
          </cell>
          <cell r="R934" t="e">
            <v>#N/A</v>
          </cell>
        </row>
        <row r="935">
          <cell r="N935">
            <v>0</v>
          </cell>
          <cell r="O935">
            <v>0</v>
          </cell>
          <cell r="Q935" t="e">
            <v>#N/A</v>
          </cell>
          <cell r="R935" t="e">
            <v>#N/A</v>
          </cell>
        </row>
        <row r="936">
          <cell r="N936">
            <v>0</v>
          </cell>
          <cell r="O936">
            <v>0</v>
          </cell>
          <cell r="Q936" t="e">
            <v>#N/A</v>
          </cell>
          <cell r="R936" t="e">
            <v>#N/A</v>
          </cell>
        </row>
        <row r="937">
          <cell r="N937">
            <v>0</v>
          </cell>
          <cell r="O937">
            <v>0</v>
          </cell>
          <cell r="Q937" t="e">
            <v>#N/A</v>
          </cell>
          <cell r="R937" t="e">
            <v>#N/A</v>
          </cell>
        </row>
        <row r="938">
          <cell r="N938">
            <v>0</v>
          </cell>
          <cell r="O938">
            <v>0</v>
          </cell>
          <cell r="Q938" t="e">
            <v>#N/A</v>
          </cell>
          <cell r="R938" t="e">
            <v>#N/A</v>
          </cell>
        </row>
        <row r="939">
          <cell r="N939">
            <v>0</v>
          </cell>
          <cell r="O939">
            <v>0</v>
          </cell>
          <cell r="Q939" t="e">
            <v>#N/A</v>
          </cell>
          <cell r="R939" t="e">
            <v>#N/A</v>
          </cell>
        </row>
        <row r="940">
          <cell r="N940">
            <v>0</v>
          </cell>
          <cell r="O940">
            <v>0</v>
          </cell>
          <cell r="Q940" t="e">
            <v>#N/A</v>
          </cell>
          <cell r="R940" t="e">
            <v>#N/A</v>
          </cell>
        </row>
        <row r="941">
          <cell r="N941">
            <v>0</v>
          </cell>
          <cell r="O941">
            <v>0</v>
          </cell>
          <cell r="Q941" t="e">
            <v>#N/A</v>
          </cell>
          <cell r="R941" t="e">
            <v>#N/A</v>
          </cell>
        </row>
        <row r="942">
          <cell r="N942">
            <v>0</v>
          </cell>
          <cell r="O942">
            <v>0</v>
          </cell>
          <cell r="Q942" t="e">
            <v>#N/A</v>
          </cell>
          <cell r="R942" t="e">
            <v>#N/A</v>
          </cell>
        </row>
        <row r="943">
          <cell r="N943">
            <v>0</v>
          </cell>
          <cell r="O943">
            <v>0</v>
          </cell>
          <cell r="Q943" t="e">
            <v>#N/A</v>
          </cell>
          <cell r="R943" t="e">
            <v>#N/A</v>
          </cell>
        </row>
        <row r="944">
          <cell r="N944">
            <v>0</v>
          </cell>
          <cell r="O944">
            <v>0</v>
          </cell>
          <cell r="Q944" t="e">
            <v>#N/A</v>
          </cell>
          <cell r="R944" t="e">
            <v>#N/A</v>
          </cell>
        </row>
        <row r="945">
          <cell r="N945">
            <v>0</v>
          </cell>
          <cell r="O945">
            <v>0</v>
          </cell>
          <cell r="Q945" t="e">
            <v>#N/A</v>
          </cell>
          <cell r="R945" t="e">
            <v>#N/A</v>
          </cell>
        </row>
        <row r="946">
          <cell r="N946">
            <v>0</v>
          </cell>
          <cell r="O946">
            <v>0</v>
          </cell>
          <cell r="Q946" t="e">
            <v>#N/A</v>
          </cell>
          <cell r="R946" t="e">
            <v>#N/A</v>
          </cell>
        </row>
        <row r="947">
          <cell r="N947">
            <v>0</v>
          </cell>
          <cell r="O947">
            <v>0</v>
          </cell>
          <cell r="Q947" t="e">
            <v>#N/A</v>
          </cell>
          <cell r="R947" t="e">
            <v>#N/A</v>
          </cell>
        </row>
        <row r="948">
          <cell r="N948">
            <v>0</v>
          </cell>
          <cell r="O948">
            <v>0</v>
          </cell>
          <cell r="Q948" t="e">
            <v>#N/A</v>
          </cell>
          <cell r="R948" t="e">
            <v>#N/A</v>
          </cell>
        </row>
        <row r="949">
          <cell r="N949">
            <v>0</v>
          </cell>
          <cell r="O949">
            <v>0</v>
          </cell>
          <cell r="Q949" t="e">
            <v>#N/A</v>
          </cell>
          <cell r="R949" t="e">
            <v>#N/A</v>
          </cell>
        </row>
        <row r="950">
          <cell r="N950">
            <v>0</v>
          </cell>
          <cell r="O950">
            <v>0</v>
          </cell>
          <cell r="Q950" t="e">
            <v>#N/A</v>
          </cell>
          <cell r="R950" t="e">
            <v>#N/A</v>
          </cell>
        </row>
        <row r="951">
          <cell r="N951">
            <v>0</v>
          </cell>
          <cell r="O951">
            <v>0</v>
          </cell>
          <cell r="Q951" t="e">
            <v>#N/A</v>
          </cell>
          <cell r="R951" t="e">
            <v>#N/A</v>
          </cell>
        </row>
        <row r="952">
          <cell r="N952">
            <v>0</v>
          </cell>
          <cell r="O952">
            <v>0</v>
          </cell>
          <cell r="Q952" t="e">
            <v>#N/A</v>
          </cell>
          <cell r="R952" t="e">
            <v>#N/A</v>
          </cell>
        </row>
        <row r="953">
          <cell r="N953">
            <v>0</v>
          </cell>
          <cell r="O953">
            <v>0</v>
          </cell>
          <cell r="Q953" t="e">
            <v>#N/A</v>
          </cell>
          <cell r="R953" t="e">
            <v>#N/A</v>
          </cell>
        </row>
        <row r="954">
          <cell r="N954">
            <v>0</v>
          </cell>
          <cell r="O954">
            <v>0</v>
          </cell>
          <cell r="Q954" t="e">
            <v>#N/A</v>
          </cell>
          <cell r="R954" t="e">
            <v>#N/A</v>
          </cell>
        </row>
        <row r="955">
          <cell r="N955">
            <v>0</v>
          </cell>
          <cell r="O955">
            <v>0</v>
          </cell>
          <cell r="Q955" t="e">
            <v>#N/A</v>
          </cell>
          <cell r="R955" t="e">
            <v>#N/A</v>
          </cell>
        </row>
        <row r="956">
          <cell r="N956">
            <v>0</v>
          </cell>
          <cell r="O956">
            <v>0</v>
          </cell>
          <cell r="Q956" t="e">
            <v>#N/A</v>
          </cell>
          <cell r="R956" t="e">
            <v>#N/A</v>
          </cell>
        </row>
        <row r="957">
          <cell r="N957">
            <v>0</v>
          </cell>
          <cell r="O957">
            <v>0</v>
          </cell>
          <cell r="Q957" t="e">
            <v>#N/A</v>
          </cell>
          <cell r="R957" t="e">
            <v>#N/A</v>
          </cell>
        </row>
        <row r="958">
          <cell r="N958">
            <v>0</v>
          </cell>
          <cell r="O958">
            <v>0</v>
          </cell>
          <cell r="Q958" t="e">
            <v>#N/A</v>
          </cell>
          <cell r="R958" t="e">
            <v>#N/A</v>
          </cell>
        </row>
        <row r="959">
          <cell r="N959">
            <v>0</v>
          </cell>
          <cell r="O959">
            <v>0</v>
          </cell>
          <cell r="Q959" t="e">
            <v>#N/A</v>
          </cell>
          <cell r="R959" t="e">
            <v>#N/A</v>
          </cell>
        </row>
        <row r="960">
          <cell r="N960">
            <v>0</v>
          </cell>
          <cell r="O960">
            <v>0</v>
          </cell>
          <cell r="Q960" t="e">
            <v>#N/A</v>
          </cell>
          <cell r="R960" t="e">
            <v>#N/A</v>
          </cell>
        </row>
        <row r="961">
          <cell r="N961">
            <v>0</v>
          </cell>
          <cell r="O961">
            <v>0</v>
          </cell>
          <cell r="Q961" t="e">
            <v>#N/A</v>
          </cell>
          <cell r="R961" t="e">
            <v>#N/A</v>
          </cell>
        </row>
        <row r="962">
          <cell r="N962">
            <v>0</v>
          </cell>
          <cell r="O962">
            <v>0</v>
          </cell>
          <cell r="Q962" t="e">
            <v>#N/A</v>
          </cell>
          <cell r="R962" t="e">
            <v>#N/A</v>
          </cell>
        </row>
        <row r="963">
          <cell r="N963">
            <v>0</v>
          </cell>
          <cell r="O963">
            <v>0</v>
          </cell>
          <cell r="Q963" t="e">
            <v>#N/A</v>
          </cell>
          <cell r="R963" t="e">
            <v>#N/A</v>
          </cell>
        </row>
        <row r="964">
          <cell r="N964">
            <v>0</v>
          </cell>
          <cell r="O964">
            <v>0</v>
          </cell>
          <cell r="Q964" t="e">
            <v>#N/A</v>
          </cell>
          <cell r="R964" t="e">
            <v>#N/A</v>
          </cell>
        </row>
        <row r="965">
          <cell r="N965">
            <v>0</v>
          </cell>
          <cell r="O965">
            <v>0</v>
          </cell>
          <cell r="Q965" t="e">
            <v>#N/A</v>
          </cell>
          <cell r="R965" t="e">
            <v>#N/A</v>
          </cell>
        </row>
        <row r="966">
          <cell r="N966">
            <v>0</v>
          </cell>
          <cell r="O966">
            <v>0</v>
          </cell>
          <cell r="Q966" t="e">
            <v>#N/A</v>
          </cell>
          <cell r="R966" t="e">
            <v>#N/A</v>
          </cell>
        </row>
        <row r="967">
          <cell r="N967">
            <v>0</v>
          </cell>
          <cell r="O967">
            <v>0</v>
          </cell>
          <cell r="Q967" t="e">
            <v>#N/A</v>
          </cell>
          <cell r="R967" t="e">
            <v>#N/A</v>
          </cell>
        </row>
        <row r="968">
          <cell r="N968">
            <v>0</v>
          </cell>
          <cell r="O968">
            <v>0</v>
          </cell>
          <cell r="Q968" t="e">
            <v>#N/A</v>
          </cell>
          <cell r="R968" t="e">
            <v>#N/A</v>
          </cell>
        </row>
        <row r="969">
          <cell r="N969">
            <v>0</v>
          </cell>
          <cell r="O969">
            <v>0</v>
          </cell>
          <cell r="Q969" t="e">
            <v>#N/A</v>
          </cell>
          <cell r="R969" t="e">
            <v>#N/A</v>
          </cell>
        </row>
        <row r="970">
          <cell r="N970">
            <v>0</v>
          </cell>
          <cell r="O970">
            <v>0</v>
          </cell>
          <cell r="Q970" t="e">
            <v>#N/A</v>
          </cell>
          <cell r="R970" t="e">
            <v>#N/A</v>
          </cell>
        </row>
        <row r="971">
          <cell r="N971">
            <v>0</v>
          </cell>
          <cell r="O971">
            <v>0</v>
          </cell>
          <cell r="Q971" t="e">
            <v>#N/A</v>
          </cell>
          <cell r="R971" t="e">
            <v>#N/A</v>
          </cell>
        </row>
        <row r="972">
          <cell r="N972">
            <v>0</v>
          </cell>
          <cell r="O972">
            <v>0</v>
          </cell>
          <cell r="Q972" t="e">
            <v>#N/A</v>
          </cell>
          <cell r="R972" t="e">
            <v>#N/A</v>
          </cell>
        </row>
        <row r="973">
          <cell r="N973">
            <v>0</v>
          </cell>
          <cell r="O973">
            <v>0</v>
          </cell>
          <cell r="Q973" t="e">
            <v>#N/A</v>
          </cell>
          <cell r="R973" t="e">
            <v>#N/A</v>
          </cell>
        </row>
        <row r="974">
          <cell r="N974">
            <v>0</v>
          </cell>
          <cell r="O974">
            <v>0</v>
          </cell>
          <cell r="Q974" t="e">
            <v>#N/A</v>
          </cell>
          <cell r="R974" t="e">
            <v>#N/A</v>
          </cell>
        </row>
        <row r="975">
          <cell r="N975">
            <v>0</v>
          </cell>
          <cell r="O975">
            <v>0</v>
          </cell>
          <cell r="Q975" t="e">
            <v>#N/A</v>
          </cell>
          <cell r="R975" t="e">
            <v>#N/A</v>
          </cell>
        </row>
        <row r="976">
          <cell r="N976">
            <v>0</v>
          </cell>
          <cell r="O976">
            <v>0</v>
          </cell>
          <cell r="Q976" t="e">
            <v>#N/A</v>
          </cell>
          <cell r="R976" t="e">
            <v>#N/A</v>
          </cell>
        </row>
        <row r="977">
          <cell r="N977">
            <v>0</v>
          </cell>
          <cell r="O977">
            <v>0</v>
          </cell>
          <cell r="Q977" t="e">
            <v>#N/A</v>
          </cell>
          <cell r="R977" t="e">
            <v>#N/A</v>
          </cell>
        </row>
        <row r="978">
          <cell r="N978">
            <v>0</v>
          </cell>
          <cell r="O978">
            <v>0</v>
          </cell>
          <cell r="Q978" t="e">
            <v>#N/A</v>
          </cell>
          <cell r="R978" t="e">
            <v>#N/A</v>
          </cell>
        </row>
        <row r="979">
          <cell r="N979">
            <v>0</v>
          </cell>
          <cell r="O979">
            <v>0</v>
          </cell>
          <cell r="Q979" t="e">
            <v>#N/A</v>
          </cell>
          <cell r="R979" t="e">
            <v>#N/A</v>
          </cell>
        </row>
        <row r="980">
          <cell r="N980">
            <v>0</v>
          </cell>
          <cell r="O980">
            <v>0</v>
          </cell>
          <cell r="Q980" t="e">
            <v>#N/A</v>
          </cell>
          <cell r="R980" t="e">
            <v>#N/A</v>
          </cell>
        </row>
        <row r="981">
          <cell r="N981">
            <v>0</v>
          </cell>
          <cell r="O981">
            <v>0</v>
          </cell>
          <cell r="Q981" t="e">
            <v>#N/A</v>
          </cell>
          <cell r="R981" t="e">
            <v>#N/A</v>
          </cell>
        </row>
        <row r="982">
          <cell r="N982">
            <v>0</v>
          </cell>
          <cell r="O982">
            <v>0</v>
          </cell>
          <cell r="Q982" t="e">
            <v>#N/A</v>
          </cell>
          <cell r="R982" t="e">
            <v>#N/A</v>
          </cell>
        </row>
        <row r="983">
          <cell r="N983">
            <v>0</v>
          </cell>
          <cell r="O983">
            <v>0</v>
          </cell>
          <cell r="Q983" t="e">
            <v>#N/A</v>
          </cell>
          <cell r="R983" t="e">
            <v>#N/A</v>
          </cell>
        </row>
        <row r="984">
          <cell r="N984">
            <v>0</v>
          </cell>
          <cell r="O984">
            <v>0</v>
          </cell>
          <cell r="Q984" t="e">
            <v>#N/A</v>
          </cell>
          <cell r="R984" t="e">
            <v>#N/A</v>
          </cell>
        </row>
        <row r="985">
          <cell r="N985">
            <v>0</v>
          </cell>
          <cell r="O985">
            <v>0</v>
          </cell>
          <cell r="Q985" t="e">
            <v>#N/A</v>
          </cell>
          <cell r="R985" t="e">
            <v>#N/A</v>
          </cell>
        </row>
        <row r="986">
          <cell r="N986">
            <v>0</v>
          </cell>
          <cell r="O986">
            <v>0</v>
          </cell>
          <cell r="Q986" t="e">
            <v>#N/A</v>
          </cell>
          <cell r="R986" t="e">
            <v>#N/A</v>
          </cell>
        </row>
        <row r="987">
          <cell r="N987">
            <v>0</v>
          </cell>
          <cell r="O987">
            <v>0</v>
          </cell>
          <cell r="Q987" t="e">
            <v>#N/A</v>
          </cell>
          <cell r="R987" t="e">
            <v>#N/A</v>
          </cell>
        </row>
        <row r="988">
          <cell r="N988">
            <v>0</v>
          </cell>
          <cell r="O988">
            <v>0</v>
          </cell>
          <cell r="Q988" t="e">
            <v>#N/A</v>
          </cell>
          <cell r="R988" t="e">
            <v>#N/A</v>
          </cell>
        </row>
        <row r="989">
          <cell r="N989">
            <v>0</v>
          </cell>
          <cell r="O989">
            <v>0</v>
          </cell>
          <cell r="Q989" t="e">
            <v>#N/A</v>
          </cell>
          <cell r="R989" t="e">
            <v>#N/A</v>
          </cell>
        </row>
        <row r="990">
          <cell r="N990">
            <v>0</v>
          </cell>
          <cell r="O990">
            <v>0</v>
          </cell>
          <cell r="Q990" t="e">
            <v>#N/A</v>
          </cell>
          <cell r="R990" t="e">
            <v>#N/A</v>
          </cell>
        </row>
        <row r="991">
          <cell r="N991">
            <v>0</v>
          </cell>
          <cell r="O991">
            <v>0</v>
          </cell>
          <cell r="Q991" t="e">
            <v>#N/A</v>
          </cell>
          <cell r="R991" t="e">
            <v>#N/A</v>
          </cell>
        </row>
        <row r="992">
          <cell r="N992">
            <v>0</v>
          </cell>
          <cell r="O992">
            <v>0</v>
          </cell>
          <cell r="Q992" t="e">
            <v>#N/A</v>
          </cell>
          <cell r="R992" t="e">
            <v>#N/A</v>
          </cell>
        </row>
        <row r="993">
          <cell r="N993">
            <v>0</v>
          </cell>
          <cell r="O993">
            <v>0</v>
          </cell>
          <cell r="Q993" t="e">
            <v>#N/A</v>
          </cell>
          <cell r="R993" t="e">
            <v>#N/A</v>
          </cell>
        </row>
        <row r="994">
          <cell r="N994">
            <v>0</v>
          </cell>
          <cell r="O994">
            <v>0</v>
          </cell>
          <cell r="Q994" t="e">
            <v>#N/A</v>
          </cell>
          <cell r="R994" t="e">
            <v>#N/A</v>
          </cell>
        </row>
        <row r="995">
          <cell r="N995">
            <v>0</v>
          </cell>
          <cell r="O995">
            <v>0</v>
          </cell>
          <cell r="Q995" t="e">
            <v>#N/A</v>
          </cell>
          <cell r="R995" t="e">
            <v>#N/A</v>
          </cell>
        </row>
        <row r="996">
          <cell r="N996">
            <v>0</v>
          </cell>
          <cell r="O996">
            <v>0</v>
          </cell>
          <cell r="Q996" t="e">
            <v>#N/A</v>
          </cell>
          <cell r="R996" t="e">
            <v>#N/A</v>
          </cell>
        </row>
        <row r="997">
          <cell r="N997">
            <v>0</v>
          </cell>
          <cell r="O997">
            <v>0</v>
          </cell>
          <cell r="Q997" t="e">
            <v>#N/A</v>
          </cell>
          <cell r="R997" t="e">
            <v>#N/A</v>
          </cell>
        </row>
        <row r="998">
          <cell r="N998">
            <v>0</v>
          </cell>
          <cell r="O998">
            <v>0</v>
          </cell>
          <cell r="Q998" t="e">
            <v>#N/A</v>
          </cell>
          <cell r="R998" t="e">
            <v>#N/A</v>
          </cell>
        </row>
        <row r="999">
          <cell r="N999">
            <v>0</v>
          </cell>
          <cell r="O999">
            <v>0</v>
          </cell>
          <cell r="Q999" t="e">
            <v>#N/A</v>
          </cell>
          <cell r="R999" t="e">
            <v>#N/A</v>
          </cell>
        </row>
        <row r="1000">
          <cell r="N1000">
            <v>0</v>
          </cell>
          <cell r="O1000">
            <v>0</v>
          </cell>
          <cell r="Q1000" t="e">
            <v>#N/A</v>
          </cell>
          <cell r="R1000" t="e">
            <v>#N/A</v>
          </cell>
        </row>
        <row r="1001">
          <cell r="N1001">
            <v>0</v>
          </cell>
          <cell r="O1001">
            <v>0</v>
          </cell>
          <cell r="Q1001" t="e">
            <v>#N/A</v>
          </cell>
          <cell r="R1001" t="e">
            <v>#N/A</v>
          </cell>
        </row>
        <row r="1002">
          <cell r="N1002">
            <v>0</v>
          </cell>
          <cell r="O1002">
            <v>0</v>
          </cell>
          <cell r="Q1002" t="e">
            <v>#N/A</v>
          </cell>
          <cell r="R1002" t="e">
            <v>#N/A</v>
          </cell>
        </row>
        <row r="1003">
          <cell r="N1003">
            <v>0</v>
          </cell>
          <cell r="O1003">
            <v>0</v>
          </cell>
          <cell r="Q1003" t="e">
            <v>#N/A</v>
          </cell>
          <cell r="R1003" t="e">
            <v>#N/A</v>
          </cell>
        </row>
        <row r="1004">
          <cell r="N1004">
            <v>0</v>
          </cell>
          <cell r="O1004">
            <v>0</v>
          </cell>
          <cell r="Q1004" t="e">
            <v>#N/A</v>
          </cell>
          <cell r="R1004" t="e">
            <v>#N/A</v>
          </cell>
        </row>
        <row r="1005">
          <cell r="N1005">
            <v>0</v>
          </cell>
          <cell r="O1005">
            <v>0</v>
          </cell>
          <cell r="Q1005" t="e">
            <v>#N/A</v>
          </cell>
          <cell r="R1005" t="e">
            <v>#N/A</v>
          </cell>
        </row>
        <row r="1006">
          <cell r="N1006">
            <v>0</v>
          </cell>
          <cell r="O1006">
            <v>0</v>
          </cell>
          <cell r="Q1006" t="e">
            <v>#N/A</v>
          </cell>
          <cell r="R1006" t="e">
            <v>#N/A</v>
          </cell>
        </row>
        <row r="1007">
          <cell r="N1007">
            <v>0</v>
          </cell>
          <cell r="O1007">
            <v>0</v>
          </cell>
          <cell r="Q1007" t="e">
            <v>#N/A</v>
          </cell>
          <cell r="R1007" t="e">
            <v>#N/A</v>
          </cell>
        </row>
        <row r="1008">
          <cell r="N1008">
            <v>0</v>
          </cell>
          <cell r="O1008">
            <v>0</v>
          </cell>
          <cell r="Q1008" t="e">
            <v>#N/A</v>
          </cell>
          <cell r="R1008" t="e">
            <v>#N/A</v>
          </cell>
        </row>
        <row r="1009">
          <cell r="N1009">
            <v>0</v>
          </cell>
          <cell r="O1009">
            <v>0</v>
          </cell>
          <cell r="Q1009" t="e">
            <v>#N/A</v>
          </cell>
          <cell r="R1009" t="e">
            <v>#N/A</v>
          </cell>
        </row>
        <row r="1010">
          <cell r="N1010">
            <v>0</v>
          </cell>
          <cell r="O1010">
            <v>0</v>
          </cell>
          <cell r="Q1010" t="e">
            <v>#N/A</v>
          </cell>
          <cell r="R1010" t="e">
            <v>#N/A</v>
          </cell>
        </row>
        <row r="1011">
          <cell r="N1011">
            <v>0</v>
          </cell>
          <cell r="O1011">
            <v>0</v>
          </cell>
          <cell r="Q1011" t="e">
            <v>#N/A</v>
          </cell>
          <cell r="R1011" t="e">
            <v>#N/A</v>
          </cell>
        </row>
        <row r="1012">
          <cell r="N1012">
            <v>0</v>
          </cell>
          <cell r="O1012">
            <v>0</v>
          </cell>
          <cell r="Q1012" t="e">
            <v>#N/A</v>
          </cell>
          <cell r="R1012" t="e">
            <v>#N/A</v>
          </cell>
        </row>
        <row r="1013">
          <cell r="N1013">
            <v>0</v>
          </cell>
          <cell r="O1013">
            <v>0</v>
          </cell>
          <cell r="Q1013" t="e">
            <v>#N/A</v>
          </cell>
          <cell r="R1013" t="e">
            <v>#N/A</v>
          </cell>
        </row>
        <row r="1014">
          <cell r="N1014">
            <v>0</v>
          </cell>
          <cell r="O1014">
            <v>0</v>
          </cell>
          <cell r="Q1014" t="e">
            <v>#N/A</v>
          </cell>
          <cell r="R1014" t="e">
            <v>#N/A</v>
          </cell>
        </row>
        <row r="1015">
          <cell r="N1015">
            <v>0</v>
          </cell>
          <cell r="O1015">
            <v>0</v>
          </cell>
          <cell r="Q1015" t="e">
            <v>#N/A</v>
          </cell>
          <cell r="R1015" t="e">
            <v>#N/A</v>
          </cell>
        </row>
        <row r="1016">
          <cell r="N1016">
            <v>0</v>
          </cell>
          <cell r="O1016">
            <v>0</v>
          </cell>
          <cell r="Q1016" t="e">
            <v>#N/A</v>
          </cell>
          <cell r="R1016" t="e">
            <v>#N/A</v>
          </cell>
        </row>
        <row r="1017">
          <cell r="N1017">
            <v>0</v>
          </cell>
          <cell r="O1017">
            <v>0</v>
          </cell>
          <cell r="Q1017" t="e">
            <v>#N/A</v>
          </cell>
          <cell r="R1017" t="e">
            <v>#N/A</v>
          </cell>
        </row>
        <row r="1018">
          <cell r="N1018">
            <v>0</v>
          </cell>
          <cell r="O1018">
            <v>0</v>
          </cell>
          <cell r="Q1018" t="e">
            <v>#N/A</v>
          </cell>
          <cell r="R1018" t="e">
            <v>#N/A</v>
          </cell>
        </row>
        <row r="1019">
          <cell r="N1019">
            <v>0</v>
          </cell>
          <cell r="O1019">
            <v>0</v>
          </cell>
          <cell r="Q1019" t="e">
            <v>#N/A</v>
          </cell>
          <cell r="R1019" t="e">
            <v>#N/A</v>
          </cell>
        </row>
        <row r="1020">
          <cell r="N1020">
            <v>0</v>
          </cell>
          <cell r="O1020">
            <v>0</v>
          </cell>
          <cell r="Q1020" t="e">
            <v>#N/A</v>
          </cell>
          <cell r="R1020" t="e">
            <v>#N/A</v>
          </cell>
        </row>
        <row r="1021">
          <cell r="N1021">
            <v>0</v>
          </cell>
          <cell r="O1021">
            <v>0</v>
          </cell>
          <cell r="Q1021" t="e">
            <v>#N/A</v>
          </cell>
          <cell r="R1021" t="e">
            <v>#N/A</v>
          </cell>
        </row>
        <row r="1022">
          <cell r="N1022">
            <v>0</v>
          </cell>
          <cell r="O1022">
            <v>0</v>
          </cell>
          <cell r="Q1022" t="e">
            <v>#N/A</v>
          </cell>
          <cell r="R1022" t="e">
            <v>#N/A</v>
          </cell>
        </row>
        <row r="1023">
          <cell r="N1023">
            <v>0</v>
          </cell>
          <cell r="O1023">
            <v>0</v>
          </cell>
          <cell r="Q1023" t="e">
            <v>#N/A</v>
          </cell>
          <cell r="R1023" t="e">
            <v>#N/A</v>
          </cell>
        </row>
        <row r="1024">
          <cell r="N1024">
            <v>0</v>
          </cell>
          <cell r="O1024">
            <v>0</v>
          </cell>
          <cell r="Q1024" t="e">
            <v>#N/A</v>
          </cell>
          <cell r="R1024" t="e">
            <v>#N/A</v>
          </cell>
        </row>
        <row r="1025">
          <cell r="N1025">
            <v>0</v>
          </cell>
          <cell r="O1025">
            <v>0</v>
          </cell>
          <cell r="Q1025" t="e">
            <v>#N/A</v>
          </cell>
          <cell r="R1025" t="e">
            <v>#N/A</v>
          </cell>
        </row>
        <row r="1026">
          <cell r="N1026">
            <v>0</v>
          </cell>
          <cell r="O1026">
            <v>0</v>
          </cell>
          <cell r="Q1026" t="e">
            <v>#N/A</v>
          </cell>
          <cell r="R1026" t="e">
            <v>#N/A</v>
          </cell>
        </row>
        <row r="1027">
          <cell r="N1027">
            <v>0</v>
          </cell>
          <cell r="O1027">
            <v>0</v>
          </cell>
          <cell r="Q1027" t="e">
            <v>#N/A</v>
          </cell>
          <cell r="R1027" t="e">
            <v>#N/A</v>
          </cell>
        </row>
        <row r="1028">
          <cell r="N1028">
            <v>0</v>
          </cell>
          <cell r="O1028">
            <v>0</v>
          </cell>
          <cell r="Q1028" t="e">
            <v>#N/A</v>
          </cell>
          <cell r="R1028" t="e">
            <v>#N/A</v>
          </cell>
        </row>
        <row r="1029">
          <cell r="N1029">
            <v>0</v>
          </cell>
          <cell r="O1029">
            <v>0</v>
          </cell>
          <cell r="Q1029" t="e">
            <v>#N/A</v>
          </cell>
          <cell r="R1029" t="e">
            <v>#N/A</v>
          </cell>
        </row>
        <row r="1030">
          <cell r="N1030">
            <v>0</v>
          </cell>
          <cell r="O1030">
            <v>0</v>
          </cell>
          <cell r="Q1030" t="e">
            <v>#N/A</v>
          </cell>
          <cell r="R1030" t="e">
            <v>#N/A</v>
          </cell>
        </row>
        <row r="1031">
          <cell r="N1031">
            <v>0</v>
          </cell>
          <cell r="O1031">
            <v>0</v>
          </cell>
          <cell r="Q1031" t="e">
            <v>#N/A</v>
          </cell>
          <cell r="R1031" t="e">
            <v>#N/A</v>
          </cell>
        </row>
        <row r="1032">
          <cell r="N1032">
            <v>0</v>
          </cell>
          <cell r="O1032">
            <v>0</v>
          </cell>
          <cell r="Q1032" t="e">
            <v>#N/A</v>
          </cell>
          <cell r="R1032" t="e">
            <v>#N/A</v>
          </cell>
        </row>
        <row r="1033">
          <cell r="N1033">
            <v>0</v>
          </cell>
          <cell r="O1033">
            <v>0</v>
          </cell>
          <cell r="Q1033" t="e">
            <v>#N/A</v>
          </cell>
          <cell r="R1033" t="e">
            <v>#N/A</v>
          </cell>
        </row>
        <row r="1034">
          <cell r="N1034">
            <v>0</v>
          </cell>
          <cell r="O1034">
            <v>0</v>
          </cell>
          <cell r="Q1034" t="e">
            <v>#N/A</v>
          </cell>
          <cell r="R1034" t="e">
            <v>#N/A</v>
          </cell>
        </row>
        <row r="1035">
          <cell r="N1035">
            <v>0</v>
          </cell>
          <cell r="O1035">
            <v>0</v>
          </cell>
          <cell r="Q1035" t="e">
            <v>#N/A</v>
          </cell>
          <cell r="R1035" t="e">
            <v>#N/A</v>
          </cell>
        </row>
        <row r="1036">
          <cell r="N1036">
            <v>0</v>
          </cell>
          <cell r="O1036">
            <v>0</v>
          </cell>
          <cell r="Q1036" t="e">
            <v>#N/A</v>
          </cell>
          <cell r="R1036" t="e">
            <v>#N/A</v>
          </cell>
        </row>
        <row r="1037">
          <cell r="N1037">
            <v>0</v>
          </cell>
          <cell r="O1037">
            <v>0</v>
          </cell>
          <cell r="Q1037" t="e">
            <v>#N/A</v>
          </cell>
          <cell r="R1037" t="e">
            <v>#N/A</v>
          </cell>
        </row>
        <row r="1038">
          <cell r="N1038">
            <v>0</v>
          </cell>
          <cell r="O1038">
            <v>0</v>
          </cell>
          <cell r="Q1038" t="e">
            <v>#N/A</v>
          </cell>
          <cell r="R1038" t="e">
            <v>#N/A</v>
          </cell>
        </row>
        <row r="1039">
          <cell r="N1039">
            <v>0</v>
          </cell>
          <cell r="O1039">
            <v>0</v>
          </cell>
          <cell r="Q1039" t="e">
            <v>#N/A</v>
          </cell>
          <cell r="R1039" t="e">
            <v>#N/A</v>
          </cell>
        </row>
        <row r="1040">
          <cell r="N1040">
            <v>0</v>
          </cell>
          <cell r="O1040">
            <v>0</v>
          </cell>
          <cell r="Q1040" t="e">
            <v>#N/A</v>
          </cell>
          <cell r="R1040" t="e">
            <v>#N/A</v>
          </cell>
        </row>
        <row r="1041">
          <cell r="N1041">
            <v>0</v>
          </cell>
          <cell r="O1041">
            <v>0</v>
          </cell>
          <cell r="Q1041" t="e">
            <v>#N/A</v>
          </cell>
          <cell r="R1041" t="e">
            <v>#N/A</v>
          </cell>
        </row>
        <row r="1042">
          <cell r="N1042">
            <v>0</v>
          </cell>
          <cell r="O1042">
            <v>0</v>
          </cell>
          <cell r="Q1042" t="e">
            <v>#N/A</v>
          </cell>
          <cell r="R1042" t="e">
            <v>#N/A</v>
          </cell>
        </row>
        <row r="1043">
          <cell r="N1043">
            <v>0</v>
          </cell>
          <cell r="O1043">
            <v>0</v>
          </cell>
          <cell r="Q1043" t="e">
            <v>#N/A</v>
          </cell>
          <cell r="R1043" t="e">
            <v>#N/A</v>
          </cell>
        </row>
        <row r="1044">
          <cell r="N1044">
            <v>0</v>
          </cell>
          <cell r="O1044">
            <v>0</v>
          </cell>
          <cell r="Q1044" t="e">
            <v>#N/A</v>
          </cell>
          <cell r="R1044" t="e">
            <v>#N/A</v>
          </cell>
        </row>
        <row r="1045">
          <cell r="N1045">
            <v>0</v>
          </cell>
          <cell r="O1045">
            <v>0</v>
          </cell>
          <cell r="Q1045" t="e">
            <v>#N/A</v>
          </cell>
          <cell r="R1045" t="e">
            <v>#N/A</v>
          </cell>
        </row>
        <row r="1046">
          <cell r="N1046">
            <v>0</v>
          </cell>
          <cell r="O1046">
            <v>0</v>
          </cell>
          <cell r="Q1046" t="e">
            <v>#N/A</v>
          </cell>
          <cell r="R1046" t="e">
            <v>#N/A</v>
          </cell>
        </row>
        <row r="1047">
          <cell r="N1047">
            <v>0</v>
          </cell>
          <cell r="O1047">
            <v>0</v>
          </cell>
          <cell r="Q1047" t="e">
            <v>#N/A</v>
          </cell>
          <cell r="R1047" t="e">
            <v>#N/A</v>
          </cell>
        </row>
        <row r="1048">
          <cell r="N1048">
            <v>0</v>
          </cell>
          <cell r="O1048">
            <v>0</v>
          </cell>
          <cell r="Q1048" t="e">
            <v>#N/A</v>
          </cell>
          <cell r="R1048" t="e">
            <v>#N/A</v>
          </cell>
        </row>
        <row r="1049">
          <cell r="N1049">
            <v>0</v>
          </cell>
          <cell r="O1049">
            <v>0</v>
          </cell>
          <cell r="Q1049" t="e">
            <v>#N/A</v>
          </cell>
          <cell r="R1049" t="e">
            <v>#N/A</v>
          </cell>
        </row>
        <row r="1050">
          <cell r="N1050">
            <v>0</v>
          </cell>
          <cell r="O1050">
            <v>0</v>
          </cell>
          <cell r="Q1050" t="e">
            <v>#N/A</v>
          </cell>
          <cell r="R1050" t="e">
            <v>#N/A</v>
          </cell>
        </row>
        <row r="1051">
          <cell r="N1051">
            <v>0</v>
          </cell>
          <cell r="O1051">
            <v>0</v>
          </cell>
          <cell r="Q1051" t="e">
            <v>#N/A</v>
          </cell>
          <cell r="R1051" t="e">
            <v>#N/A</v>
          </cell>
        </row>
        <row r="1052">
          <cell r="N1052">
            <v>0</v>
          </cell>
          <cell r="O1052">
            <v>0</v>
          </cell>
          <cell r="Q1052" t="e">
            <v>#N/A</v>
          </cell>
          <cell r="R1052" t="e">
            <v>#N/A</v>
          </cell>
        </row>
        <row r="1053">
          <cell r="N1053">
            <v>0</v>
          </cell>
          <cell r="O1053">
            <v>0</v>
          </cell>
          <cell r="Q1053" t="e">
            <v>#N/A</v>
          </cell>
          <cell r="R1053" t="e">
            <v>#N/A</v>
          </cell>
        </row>
        <row r="1054">
          <cell r="N1054">
            <v>0</v>
          </cell>
          <cell r="O1054">
            <v>0</v>
          </cell>
          <cell r="Q1054" t="e">
            <v>#N/A</v>
          </cell>
          <cell r="R1054" t="e">
            <v>#N/A</v>
          </cell>
        </row>
        <row r="1055">
          <cell r="N1055">
            <v>0</v>
          </cell>
          <cell r="O1055">
            <v>0</v>
          </cell>
          <cell r="Q1055" t="e">
            <v>#N/A</v>
          </cell>
          <cell r="R1055" t="e">
            <v>#N/A</v>
          </cell>
        </row>
      </sheetData>
      <sheetData sheetId="8">
        <row r="1">
          <cell r="N1" t="str">
            <v>Solde de fin</v>
          </cell>
          <cell r="O1" t="str">
            <v>Type compte</v>
          </cell>
          <cell r="Q1" t="str">
            <v>Debits</v>
          </cell>
          <cell r="R1" t="str">
            <v>Classification</v>
          </cell>
        </row>
        <row r="2">
          <cell r="N2">
            <v>670</v>
          </cell>
          <cell r="O2" t="str">
            <v>A</v>
          </cell>
          <cell r="Q2" t="str">
            <v>Bilan</v>
          </cell>
          <cell r="R2" t="str">
            <v>Marge de crédit</v>
          </cell>
        </row>
        <row r="3">
          <cell r="N3">
            <v>-2788675.53</v>
          </cell>
          <cell r="O3" t="str">
            <v>A</v>
          </cell>
          <cell r="Q3" t="str">
            <v>Bilan</v>
          </cell>
          <cell r="R3" t="str">
            <v>Marge de crédit</v>
          </cell>
        </row>
        <row r="4">
          <cell r="N4">
            <v>18830.32</v>
          </cell>
          <cell r="O4" t="str">
            <v>A</v>
          </cell>
          <cell r="Q4" t="str">
            <v>Bilan</v>
          </cell>
          <cell r="R4" t="str">
            <v>Marge de crédit</v>
          </cell>
        </row>
        <row r="5">
          <cell r="N5">
            <v>0</v>
          </cell>
          <cell r="O5" t="str">
            <v>A</v>
          </cell>
          <cell r="Q5" t="str">
            <v>Bilan</v>
          </cell>
          <cell r="R5" t="str">
            <v>Marge de crédit</v>
          </cell>
        </row>
        <row r="6">
          <cell r="N6">
            <v>1130795.71</v>
          </cell>
          <cell r="O6" t="str">
            <v>A</v>
          </cell>
          <cell r="Q6" t="str">
            <v>Bilan</v>
          </cell>
          <cell r="R6" t="str">
            <v>Recevables Contrats en Transit</v>
          </cell>
        </row>
        <row r="7">
          <cell r="N7">
            <v>225996.14</v>
          </cell>
          <cell r="O7" t="str">
            <v>A</v>
          </cell>
          <cell r="Q7" t="str">
            <v>Bilan</v>
          </cell>
          <cell r="R7" t="str">
            <v>Recevables Véhicules</v>
          </cell>
        </row>
        <row r="8">
          <cell r="N8">
            <v>252970.67</v>
          </cell>
          <cell r="O8" t="str">
            <v>A</v>
          </cell>
          <cell r="Q8" t="str">
            <v>Bilan</v>
          </cell>
          <cell r="R8" t="str">
            <v>Recevables Pièces et Service</v>
          </cell>
        </row>
        <row r="9">
          <cell r="N9">
            <v>3652.71</v>
          </cell>
          <cell r="O9" t="str">
            <v>A</v>
          </cell>
          <cell r="Q9" t="str">
            <v>Bilan</v>
          </cell>
          <cell r="R9" t="str">
            <v>Recevables Garantie Manufacturier</v>
          </cell>
        </row>
        <row r="10">
          <cell r="N10">
            <v>38880.51</v>
          </cell>
          <cell r="O10" t="str">
            <v>A</v>
          </cell>
          <cell r="Q10" t="str">
            <v>Bilan</v>
          </cell>
          <cell r="R10" t="str">
            <v>Recevables Garantie Manufacturier</v>
          </cell>
        </row>
        <row r="11">
          <cell r="N11">
            <v>2736.22</v>
          </cell>
          <cell r="O11" t="str">
            <v>A</v>
          </cell>
          <cell r="Q11" t="str">
            <v>Bilan</v>
          </cell>
          <cell r="R11" t="str">
            <v>Recevables Pièces et Service</v>
          </cell>
        </row>
        <row r="12">
          <cell r="N12">
            <v>106288</v>
          </cell>
          <cell r="O12" t="str">
            <v>A</v>
          </cell>
          <cell r="Q12" t="str">
            <v>Bilan</v>
          </cell>
          <cell r="R12" t="str">
            <v>Recevables Manufacturier</v>
          </cell>
        </row>
        <row r="13">
          <cell r="N13">
            <v>257540</v>
          </cell>
          <cell r="O13" t="str">
            <v>A</v>
          </cell>
          <cell r="Q13" t="str">
            <v>Bilan</v>
          </cell>
          <cell r="R13" t="str">
            <v>Recevables Manufacturier</v>
          </cell>
        </row>
        <row r="14">
          <cell r="N14">
            <v>431194.34</v>
          </cell>
          <cell r="O14" t="str">
            <v>A</v>
          </cell>
          <cell r="Q14" t="str">
            <v>Bilan</v>
          </cell>
          <cell r="R14" t="str">
            <v>Taxes de Vente à Payer</v>
          </cell>
        </row>
        <row r="15">
          <cell r="N15">
            <v>63953.37</v>
          </cell>
          <cell r="O15" t="str">
            <v>A</v>
          </cell>
          <cell r="Q15" t="str">
            <v>Bilan</v>
          </cell>
          <cell r="R15" t="str">
            <v>Taxes de Vente à Payer</v>
          </cell>
        </row>
        <row r="16">
          <cell r="N16">
            <v>-6436.95</v>
          </cell>
          <cell r="O16" t="str">
            <v>A</v>
          </cell>
          <cell r="Q16" t="str">
            <v>Bilan</v>
          </cell>
          <cell r="R16" t="str">
            <v>Recevables Pièces et Service</v>
          </cell>
        </row>
        <row r="17">
          <cell r="N17">
            <v>10606.54</v>
          </cell>
          <cell r="O17" t="str">
            <v>A</v>
          </cell>
          <cell r="Q17" t="str">
            <v>Bilan</v>
          </cell>
          <cell r="R17" t="str">
            <v>Recevables Pièces et Service</v>
          </cell>
        </row>
        <row r="18">
          <cell r="N18">
            <v>13336.58</v>
          </cell>
          <cell r="O18" t="str">
            <v>A</v>
          </cell>
          <cell r="Q18" t="str">
            <v>Bilan</v>
          </cell>
          <cell r="R18" t="str">
            <v>Recevables Manufacturier</v>
          </cell>
        </row>
        <row r="19">
          <cell r="N19">
            <v>43710</v>
          </cell>
          <cell r="O19" t="str">
            <v>A</v>
          </cell>
          <cell r="Q19" t="str">
            <v>Bilan</v>
          </cell>
          <cell r="R19" t="str">
            <v>Recevables Manufacturier</v>
          </cell>
        </row>
        <row r="20">
          <cell r="N20">
            <v>50120.99</v>
          </cell>
          <cell r="O20" t="str">
            <v>A</v>
          </cell>
          <cell r="Q20" t="str">
            <v>Bilan</v>
          </cell>
          <cell r="R20" t="str">
            <v>Recevables Manufacturier</v>
          </cell>
        </row>
        <row r="21">
          <cell r="N21">
            <v>0</v>
          </cell>
          <cell r="O21" t="str">
            <v>A</v>
          </cell>
          <cell r="Q21" t="str">
            <v>Bilan</v>
          </cell>
          <cell r="R21" t="str">
            <v>Taxes de Vente à Payer</v>
          </cell>
        </row>
        <row r="22">
          <cell r="N22">
            <v>9373578.4000000004</v>
          </cell>
          <cell r="O22" t="str">
            <v>A</v>
          </cell>
          <cell r="Q22" t="str">
            <v>Bilan</v>
          </cell>
          <cell r="R22" t="str">
            <v>Inventaire Véhicules Neufs</v>
          </cell>
        </row>
        <row r="23">
          <cell r="N23">
            <v>10335972.6</v>
          </cell>
          <cell r="O23" t="str">
            <v>A</v>
          </cell>
          <cell r="Q23" t="str">
            <v>Bilan</v>
          </cell>
          <cell r="R23" t="str">
            <v>Inventaire Véhicules Neufs</v>
          </cell>
        </row>
        <row r="24">
          <cell r="N24">
            <v>676988.44</v>
          </cell>
          <cell r="O24" t="str">
            <v>A</v>
          </cell>
          <cell r="Q24" t="str">
            <v>Bilan</v>
          </cell>
          <cell r="R24" t="str">
            <v>Inventaire Véhicules Usagés</v>
          </cell>
        </row>
        <row r="25">
          <cell r="N25">
            <v>1767.08</v>
          </cell>
          <cell r="O25" t="str">
            <v>A</v>
          </cell>
          <cell r="Q25" t="str">
            <v>Bilan</v>
          </cell>
          <cell r="R25" t="str">
            <v>Inventaire Véhicules Usagés</v>
          </cell>
        </row>
        <row r="26">
          <cell r="N26">
            <v>33907.33</v>
          </cell>
          <cell r="O26" t="str">
            <v>A</v>
          </cell>
          <cell r="Q26" t="str">
            <v>Bilan</v>
          </cell>
          <cell r="R26" t="str">
            <v>Inventaire Véhicules Usagés</v>
          </cell>
        </row>
        <row r="27">
          <cell r="N27">
            <v>557803.56000000006</v>
          </cell>
          <cell r="O27" t="str">
            <v>A</v>
          </cell>
          <cell r="Q27" t="str">
            <v>Bilan</v>
          </cell>
          <cell r="R27" t="str">
            <v>Inventaire Véhicules Usagés</v>
          </cell>
        </row>
        <row r="28">
          <cell r="N28">
            <v>158333.92000000001</v>
          </cell>
          <cell r="O28" t="str">
            <v>A</v>
          </cell>
          <cell r="Q28" t="str">
            <v>Bilan</v>
          </cell>
          <cell r="R28" t="str">
            <v>Inventaire Pièces, Pneus, Huile</v>
          </cell>
        </row>
        <row r="29">
          <cell r="N29">
            <v>190262.57</v>
          </cell>
          <cell r="O29" t="str">
            <v>A</v>
          </cell>
          <cell r="Q29" t="str">
            <v>Bilan</v>
          </cell>
          <cell r="R29" t="str">
            <v>Inventaire Pièces, Pneus, Huile</v>
          </cell>
        </row>
        <row r="30">
          <cell r="N30">
            <v>135002.56</v>
          </cell>
          <cell r="O30" t="str">
            <v>A</v>
          </cell>
          <cell r="Q30" t="str">
            <v>Bilan</v>
          </cell>
          <cell r="R30" t="str">
            <v>Inventaire Pièces, Pneus, Huile</v>
          </cell>
        </row>
        <row r="31">
          <cell r="N31">
            <v>2013444.02</v>
          </cell>
          <cell r="O31" t="str">
            <v>A</v>
          </cell>
          <cell r="Q31" t="str">
            <v>Bilan</v>
          </cell>
          <cell r="R31" t="str">
            <v>Inventaire Véhicules Usagés</v>
          </cell>
        </row>
        <row r="32">
          <cell r="N32">
            <v>37051</v>
          </cell>
          <cell r="O32" t="str">
            <v>A</v>
          </cell>
          <cell r="Q32" t="str">
            <v>Bilan</v>
          </cell>
          <cell r="R32" t="str">
            <v>Inventaire Véhicules Usagés</v>
          </cell>
        </row>
        <row r="33">
          <cell r="N33">
            <v>23539.7</v>
          </cell>
          <cell r="O33" t="str">
            <v>A</v>
          </cell>
          <cell r="Q33" t="str">
            <v>Bilan</v>
          </cell>
          <cell r="R33" t="str">
            <v>Inventaire Pièces, Pneus, Huile</v>
          </cell>
        </row>
        <row r="34">
          <cell r="N34">
            <v>2000</v>
          </cell>
          <cell r="O34" t="str">
            <v>A</v>
          </cell>
          <cell r="Q34" t="str">
            <v>Bilan</v>
          </cell>
          <cell r="R34" t="str">
            <v>Sous-Traitance</v>
          </cell>
        </row>
        <row r="35">
          <cell r="N35">
            <v>2644.8400000000101</v>
          </cell>
          <cell r="O35" t="str">
            <v>A</v>
          </cell>
          <cell r="Q35" t="str">
            <v>Bilan</v>
          </cell>
          <cell r="R35" t="str">
            <v>Sous-Traitance</v>
          </cell>
        </row>
        <row r="36">
          <cell r="N36">
            <v>4074.54</v>
          </cell>
          <cell r="O36" t="str">
            <v>A</v>
          </cell>
          <cell r="Q36" t="str">
            <v>Bilan</v>
          </cell>
          <cell r="R36" t="str">
            <v>Travaux en Cours</v>
          </cell>
        </row>
        <row r="37">
          <cell r="N37">
            <v>49802.44</v>
          </cell>
          <cell r="O37" t="str">
            <v>A</v>
          </cell>
          <cell r="Q37" t="str">
            <v>Bilan</v>
          </cell>
          <cell r="R37" t="str">
            <v>Inventaire Pièces, Pneus, Huile</v>
          </cell>
        </row>
        <row r="38">
          <cell r="N38">
            <v>3592.7</v>
          </cell>
          <cell r="O38" t="str">
            <v>A</v>
          </cell>
          <cell r="Q38" t="str">
            <v>Bilan</v>
          </cell>
          <cell r="R38" t="str">
            <v>Frais Payés d'Avance</v>
          </cell>
        </row>
        <row r="39">
          <cell r="N39">
            <v>-316.69</v>
          </cell>
          <cell r="O39" t="str">
            <v>A</v>
          </cell>
          <cell r="Q39" t="str">
            <v>Bilan</v>
          </cell>
          <cell r="R39" t="str">
            <v>Frais Payés d'Avance</v>
          </cell>
        </row>
        <row r="40">
          <cell r="N40">
            <v>29888.33</v>
          </cell>
          <cell r="O40" t="str">
            <v>A</v>
          </cell>
          <cell r="Q40" t="str">
            <v>Bilan</v>
          </cell>
          <cell r="R40" t="str">
            <v>Frais Payés d'Avance</v>
          </cell>
        </row>
        <row r="41">
          <cell r="N41">
            <v>-1189.9000000000001</v>
          </cell>
          <cell r="O41" t="str">
            <v>A</v>
          </cell>
          <cell r="Q41" t="str">
            <v>Bilan</v>
          </cell>
          <cell r="R41" t="str">
            <v>Frais Payés d'Avance</v>
          </cell>
        </row>
        <row r="42">
          <cell r="N42">
            <v>11061.73</v>
          </cell>
          <cell r="O42" t="str">
            <v>A</v>
          </cell>
          <cell r="Q42" t="str">
            <v>Bilan</v>
          </cell>
          <cell r="R42" t="str">
            <v>Frais Payés d'Avance</v>
          </cell>
        </row>
        <row r="43">
          <cell r="N43">
            <v>145600.25</v>
          </cell>
          <cell r="O43" t="str">
            <v>A</v>
          </cell>
          <cell r="Q43" t="str">
            <v>Bilan</v>
          </cell>
          <cell r="R43" t="str">
            <v>Impôts à payer</v>
          </cell>
        </row>
        <row r="44">
          <cell r="N44">
            <v>116400.25</v>
          </cell>
          <cell r="O44" t="str">
            <v>A</v>
          </cell>
          <cell r="Q44" t="str">
            <v>Bilan</v>
          </cell>
          <cell r="R44" t="str">
            <v>Impôts à payer</v>
          </cell>
        </row>
        <row r="45">
          <cell r="N45">
            <v>-1955.7</v>
          </cell>
          <cell r="O45" t="str">
            <v>A</v>
          </cell>
          <cell r="Q45" t="str">
            <v>Bilan</v>
          </cell>
          <cell r="R45" t="str">
            <v>Frais Payés d'Avance</v>
          </cell>
        </row>
        <row r="46">
          <cell r="N46">
            <v>1696.24</v>
          </cell>
          <cell r="O46" t="str">
            <v>A</v>
          </cell>
          <cell r="Q46" t="str">
            <v>Bilan</v>
          </cell>
          <cell r="R46" t="str">
            <v>Frais Payés d'Avance</v>
          </cell>
        </row>
        <row r="47">
          <cell r="N47">
            <v>-7433.53</v>
          </cell>
          <cell r="O47" t="str">
            <v>A</v>
          </cell>
          <cell r="Q47" t="str">
            <v>Bilan</v>
          </cell>
          <cell r="R47" t="str">
            <v>Frais Payés d'Avance</v>
          </cell>
        </row>
        <row r="48">
          <cell r="N48">
            <v>1606.22</v>
          </cell>
          <cell r="O48" t="str">
            <v>A</v>
          </cell>
          <cell r="Q48" t="str">
            <v>Bilan</v>
          </cell>
          <cell r="R48" t="str">
            <v>Frais Payés d'Avance</v>
          </cell>
        </row>
        <row r="49">
          <cell r="N49">
            <v>3416.05</v>
          </cell>
          <cell r="O49" t="str">
            <v>A</v>
          </cell>
          <cell r="Q49" t="str">
            <v>Bilan</v>
          </cell>
          <cell r="R49" t="str">
            <v>Frais Payés d'Avance</v>
          </cell>
        </row>
        <row r="50">
          <cell r="N50">
            <v>1875</v>
          </cell>
          <cell r="O50" t="str">
            <v>A</v>
          </cell>
          <cell r="Q50" t="str">
            <v>Bilan</v>
          </cell>
          <cell r="R50" t="str">
            <v>Frais Payés d'Avance</v>
          </cell>
        </row>
        <row r="51">
          <cell r="N51">
            <v>-6670.55</v>
          </cell>
          <cell r="O51" t="str">
            <v>A</v>
          </cell>
          <cell r="Q51" t="str">
            <v>Bilan</v>
          </cell>
          <cell r="R51" t="str">
            <v>Frais Payés d'Avance</v>
          </cell>
        </row>
        <row r="52">
          <cell r="N52">
            <v>-806.24</v>
          </cell>
          <cell r="O52" t="str">
            <v>A</v>
          </cell>
          <cell r="Q52" t="str">
            <v>Bilan</v>
          </cell>
          <cell r="R52" t="str">
            <v>Frais Payés d'Avance</v>
          </cell>
        </row>
        <row r="53">
          <cell r="N53">
            <v>3401.96</v>
          </cell>
          <cell r="O53" t="str">
            <v>A</v>
          </cell>
          <cell r="Q53" t="str">
            <v>Bilan</v>
          </cell>
          <cell r="R53" t="str">
            <v>Frais Payés d'Avance</v>
          </cell>
        </row>
        <row r="54">
          <cell r="N54">
            <v>-3.97903932025656E-13</v>
          </cell>
          <cell r="O54" t="str">
            <v>A</v>
          </cell>
          <cell r="Q54" t="str">
            <v>Bilan</v>
          </cell>
          <cell r="R54" t="str">
            <v>Frais Payés d'Avance</v>
          </cell>
        </row>
        <row r="55">
          <cell r="N55">
            <v>109232.02</v>
          </cell>
          <cell r="O55" t="str">
            <v>A</v>
          </cell>
          <cell r="Q55" t="str">
            <v>Bilan</v>
          </cell>
          <cell r="R55" t="str">
            <v>Frais Payés d'Avance</v>
          </cell>
        </row>
        <row r="56">
          <cell r="N56">
            <v>-9595.01</v>
          </cell>
          <cell r="O56" t="str">
            <v>A</v>
          </cell>
          <cell r="Q56" t="str">
            <v>Bilan</v>
          </cell>
          <cell r="R56" t="str">
            <v>Frais Payés d'Avance</v>
          </cell>
        </row>
        <row r="57">
          <cell r="N57">
            <v>3935.9</v>
          </cell>
          <cell r="O57" t="str">
            <v>A</v>
          </cell>
          <cell r="Q57" t="e">
            <v>#N/A</v>
          </cell>
          <cell r="R57" t="e">
            <v>#N/A</v>
          </cell>
        </row>
        <row r="58">
          <cell r="N58">
            <v>2236.4899999999998</v>
          </cell>
          <cell r="O58" t="str">
            <v>A</v>
          </cell>
          <cell r="Q58" t="e">
            <v>#N/A</v>
          </cell>
          <cell r="R58" t="e">
            <v>#N/A</v>
          </cell>
        </row>
        <row r="59">
          <cell r="N59">
            <v>212195</v>
          </cell>
          <cell r="O59" t="str">
            <v>A</v>
          </cell>
          <cell r="Q59" t="str">
            <v>Bilan</v>
          </cell>
          <cell r="R59" t="str">
            <v>Améliorations Locatives</v>
          </cell>
        </row>
        <row r="60">
          <cell r="N60">
            <v>-49159.65</v>
          </cell>
          <cell r="O60" t="str">
            <v>A</v>
          </cell>
          <cell r="Q60" t="str">
            <v>Bilan</v>
          </cell>
          <cell r="R60" t="str">
            <v>Améliorations Locatives</v>
          </cell>
        </row>
        <row r="61">
          <cell r="N61">
            <v>588218.6</v>
          </cell>
          <cell r="O61" t="str">
            <v>A</v>
          </cell>
          <cell r="Q61" t="str">
            <v>Bilan</v>
          </cell>
          <cell r="R61" t="str">
            <v>Équipements Service</v>
          </cell>
        </row>
        <row r="62">
          <cell r="N62">
            <v>-303402.71999999997</v>
          </cell>
          <cell r="O62" t="str">
            <v>A</v>
          </cell>
          <cell r="Q62" t="str">
            <v>Bilan</v>
          </cell>
          <cell r="R62" t="str">
            <v>Équipements Service</v>
          </cell>
        </row>
        <row r="63">
          <cell r="N63">
            <v>261772.11</v>
          </cell>
          <cell r="O63" t="str">
            <v>A</v>
          </cell>
          <cell r="Q63" t="str">
            <v>Bilan</v>
          </cell>
          <cell r="R63" t="str">
            <v>Mobilier</v>
          </cell>
        </row>
        <row r="64">
          <cell r="N64">
            <v>-157278.78</v>
          </cell>
          <cell r="O64" t="str">
            <v>A</v>
          </cell>
          <cell r="Q64" t="str">
            <v>Bilan</v>
          </cell>
          <cell r="R64" t="str">
            <v>Mobilier</v>
          </cell>
        </row>
        <row r="65">
          <cell r="N65">
            <v>138222.04</v>
          </cell>
          <cell r="O65" t="str">
            <v>A</v>
          </cell>
          <cell r="Q65" t="str">
            <v>Bilan</v>
          </cell>
          <cell r="R65" t="str">
            <v>Équipements Informatique</v>
          </cell>
        </row>
        <row r="66">
          <cell r="N66">
            <v>89508.47</v>
          </cell>
          <cell r="O66" t="str">
            <v>A</v>
          </cell>
          <cell r="Q66" t="str">
            <v>Bilan</v>
          </cell>
          <cell r="R66" t="str">
            <v>Enseigne</v>
          </cell>
        </row>
        <row r="67">
          <cell r="N67">
            <v>-115423.29</v>
          </cell>
          <cell r="O67" t="str">
            <v>A</v>
          </cell>
          <cell r="Q67" t="str">
            <v>Bilan</v>
          </cell>
          <cell r="R67" t="str">
            <v>Équipements Informatique</v>
          </cell>
        </row>
        <row r="68">
          <cell r="N68">
            <v>-84887.41</v>
          </cell>
          <cell r="O68" t="str">
            <v>A</v>
          </cell>
          <cell r="Q68" t="str">
            <v>Bilan</v>
          </cell>
          <cell r="R68" t="str">
            <v>Enseigne</v>
          </cell>
        </row>
        <row r="69">
          <cell r="N69">
            <v>2300000</v>
          </cell>
          <cell r="O69" t="str">
            <v>A</v>
          </cell>
          <cell r="Q69" t="str">
            <v>Bilan</v>
          </cell>
          <cell r="R69" t="str">
            <v>Avances à Recevoir Long Terme</v>
          </cell>
        </row>
        <row r="70">
          <cell r="N70">
            <v>747644.76</v>
          </cell>
          <cell r="O70" t="str">
            <v>A</v>
          </cell>
          <cell r="Q70" t="str">
            <v>Bilan</v>
          </cell>
          <cell r="R70" t="str">
            <v>Comptes à Payer Fournisseurs</v>
          </cell>
        </row>
        <row r="71">
          <cell r="N71">
            <v>-253687.95</v>
          </cell>
          <cell r="O71" t="str">
            <v>L</v>
          </cell>
          <cell r="Q71" t="str">
            <v>Bilan</v>
          </cell>
          <cell r="R71" t="str">
            <v>Comptes à Payer Fournisseurs</v>
          </cell>
        </row>
        <row r="72">
          <cell r="N72">
            <v>-182500.83</v>
          </cell>
          <cell r="O72" t="str">
            <v>L</v>
          </cell>
          <cell r="Q72" t="str">
            <v>Bilan</v>
          </cell>
          <cell r="R72" t="str">
            <v>Dépôts de Client</v>
          </cell>
        </row>
        <row r="73">
          <cell r="N73">
            <v>111096.04</v>
          </cell>
          <cell r="O73" t="str">
            <v>L</v>
          </cell>
          <cell r="Q73" t="str">
            <v>Bilan</v>
          </cell>
          <cell r="R73" t="str">
            <v>Comptes à Payer Fournisseurs</v>
          </cell>
        </row>
        <row r="74">
          <cell r="N74">
            <v>-30117.1</v>
          </cell>
          <cell r="O74" t="str">
            <v>L</v>
          </cell>
          <cell r="Q74" t="str">
            <v>Bilan</v>
          </cell>
          <cell r="R74" t="str">
            <v>Autres Comptes à Payer</v>
          </cell>
        </row>
        <row r="75">
          <cell r="N75">
            <v>-3821.85</v>
          </cell>
          <cell r="O75" t="str">
            <v>L</v>
          </cell>
          <cell r="Q75" t="str">
            <v>Bilan</v>
          </cell>
          <cell r="R75" t="str">
            <v>Autres Comptes à Payer</v>
          </cell>
        </row>
        <row r="76">
          <cell r="N76">
            <v>-11153.01</v>
          </cell>
          <cell r="O76" t="str">
            <v>L</v>
          </cell>
          <cell r="Q76" t="str">
            <v>Bilan</v>
          </cell>
          <cell r="R76" t="str">
            <v>Autres Comptes à Payer</v>
          </cell>
        </row>
        <row r="77">
          <cell r="N77">
            <v>-8651</v>
          </cell>
          <cell r="O77" t="str">
            <v>L</v>
          </cell>
          <cell r="Q77" t="str">
            <v>Bilan</v>
          </cell>
          <cell r="R77" t="str">
            <v>Autres Comptes à Payer</v>
          </cell>
        </row>
        <row r="78">
          <cell r="N78">
            <v>6200</v>
          </cell>
          <cell r="O78" t="str">
            <v>L</v>
          </cell>
          <cell r="Q78" t="str">
            <v>Bilan</v>
          </cell>
          <cell r="R78" t="str">
            <v>Autres Comptes à Payer</v>
          </cell>
        </row>
        <row r="79">
          <cell r="N79">
            <v>-19759737.370000001</v>
          </cell>
          <cell r="O79" t="str">
            <v>L</v>
          </cell>
          <cell r="Q79" t="str">
            <v>Bilan</v>
          </cell>
          <cell r="R79" t="str">
            <v>Effet à Payer Véhicules Neufs</v>
          </cell>
        </row>
        <row r="80">
          <cell r="N80">
            <v>-756165.86</v>
          </cell>
          <cell r="O80" t="str">
            <v>L</v>
          </cell>
          <cell r="Q80" t="str">
            <v>Bilan</v>
          </cell>
          <cell r="R80" t="str">
            <v>Effet à Payer Véhicules Usagés</v>
          </cell>
        </row>
        <row r="81">
          <cell r="N81">
            <v>-71121.75</v>
          </cell>
          <cell r="O81" t="str">
            <v>L</v>
          </cell>
          <cell r="Q81" t="str">
            <v>Bilan</v>
          </cell>
          <cell r="R81" t="str">
            <v>Autres Comptes à Payer</v>
          </cell>
        </row>
        <row r="82">
          <cell r="N82">
            <v>-26009.439999999999</v>
          </cell>
          <cell r="O82" t="str">
            <v>L</v>
          </cell>
          <cell r="Q82" t="str">
            <v>Bilan</v>
          </cell>
          <cell r="R82" t="str">
            <v>Salaires à Payer</v>
          </cell>
        </row>
        <row r="83">
          <cell r="N83">
            <v>-15752.39</v>
          </cell>
          <cell r="O83" t="str">
            <v>L</v>
          </cell>
          <cell r="Q83" t="str">
            <v>Bilan</v>
          </cell>
          <cell r="R83" t="str">
            <v>Salaires à Payer</v>
          </cell>
        </row>
        <row r="84">
          <cell r="N84">
            <v>-60463.89</v>
          </cell>
          <cell r="O84" t="str">
            <v>L</v>
          </cell>
          <cell r="Q84" t="str">
            <v>Bilan</v>
          </cell>
          <cell r="R84" t="str">
            <v>DAS à Payer</v>
          </cell>
        </row>
        <row r="85">
          <cell r="N85">
            <v>-29800.86</v>
          </cell>
          <cell r="O85" t="str">
            <v>L</v>
          </cell>
          <cell r="Q85" t="str">
            <v>Bilan</v>
          </cell>
          <cell r="R85" t="str">
            <v>DAS à Payer</v>
          </cell>
        </row>
        <row r="86">
          <cell r="N86">
            <v>-1748.2</v>
          </cell>
          <cell r="O86" t="str">
            <v>L</v>
          </cell>
          <cell r="Q86" t="str">
            <v>Bilan</v>
          </cell>
          <cell r="R86" t="str">
            <v>DAS à Payer</v>
          </cell>
        </row>
        <row r="87">
          <cell r="N87">
            <v>-747</v>
          </cell>
          <cell r="O87" t="str">
            <v>L</v>
          </cell>
          <cell r="Q87" t="str">
            <v>Bilan</v>
          </cell>
          <cell r="R87" t="str">
            <v>DAS à Payer</v>
          </cell>
        </row>
        <row r="88">
          <cell r="N88">
            <v>4551.3599999999997</v>
          </cell>
          <cell r="O88" t="str">
            <v>L</v>
          </cell>
          <cell r="Q88" t="str">
            <v>Bilan</v>
          </cell>
          <cell r="R88" t="str">
            <v>DAS à Payer</v>
          </cell>
        </row>
        <row r="89">
          <cell r="N89">
            <v>-4695.71</v>
          </cell>
          <cell r="O89" t="str">
            <v>L</v>
          </cell>
          <cell r="Q89" t="str">
            <v>Bilan</v>
          </cell>
          <cell r="R89" t="str">
            <v>DAS à Payer</v>
          </cell>
        </row>
        <row r="90">
          <cell r="N90">
            <v>-2789.37</v>
          </cell>
          <cell r="O90" t="str">
            <v>L</v>
          </cell>
          <cell r="Q90" t="str">
            <v>Bilan</v>
          </cell>
          <cell r="R90" t="str">
            <v>DAS à Payer</v>
          </cell>
        </row>
        <row r="91">
          <cell r="N91">
            <v>-71211.929999999993</v>
          </cell>
          <cell r="O91" t="str">
            <v>L</v>
          </cell>
          <cell r="Q91" t="str">
            <v>Bilan</v>
          </cell>
          <cell r="R91" t="str">
            <v>Taxes de Vente à Payer</v>
          </cell>
        </row>
        <row r="92">
          <cell r="N92">
            <v>-1109.4000000000001</v>
          </cell>
          <cell r="O92" t="str">
            <v>L</v>
          </cell>
          <cell r="Q92" t="str">
            <v>Bilan</v>
          </cell>
          <cell r="R92" t="str">
            <v>Taxes de Vente à Payer</v>
          </cell>
        </row>
        <row r="93">
          <cell r="N93">
            <v>-618.04</v>
          </cell>
          <cell r="O93" t="str">
            <v>L</v>
          </cell>
          <cell r="Q93" t="str">
            <v>Bilan</v>
          </cell>
          <cell r="R93" t="str">
            <v>Taxes de Vente à Payer</v>
          </cell>
        </row>
        <row r="94">
          <cell r="N94">
            <v>-377156.83</v>
          </cell>
          <cell r="O94" t="str">
            <v>L</v>
          </cell>
          <cell r="Q94" t="str">
            <v>Bilan</v>
          </cell>
          <cell r="R94" t="str">
            <v>Taxes de Vente à Payer</v>
          </cell>
        </row>
        <row r="95">
          <cell r="N95">
            <v>-150</v>
          </cell>
          <cell r="O95" t="str">
            <v>L</v>
          </cell>
          <cell r="Q95" t="e">
            <v>#N/A</v>
          </cell>
          <cell r="R95" t="e">
            <v>#N/A</v>
          </cell>
        </row>
        <row r="96">
          <cell r="N96">
            <v>-1350</v>
          </cell>
          <cell r="O96" t="str">
            <v>L</v>
          </cell>
          <cell r="Q96" t="str">
            <v>Bilan</v>
          </cell>
          <cell r="R96" t="str">
            <v>Autres Courus</v>
          </cell>
        </row>
        <row r="97">
          <cell r="N97">
            <v>-3850</v>
          </cell>
          <cell r="O97" t="str">
            <v>L</v>
          </cell>
          <cell r="Q97" t="str">
            <v>Bilan</v>
          </cell>
          <cell r="R97" t="str">
            <v>Autres Courus</v>
          </cell>
        </row>
        <row r="98">
          <cell r="N98">
            <v>-550</v>
          </cell>
          <cell r="O98" t="str">
            <v>L</v>
          </cell>
          <cell r="Q98" t="str">
            <v>Bilan</v>
          </cell>
          <cell r="R98" t="str">
            <v>Autres Courus</v>
          </cell>
        </row>
        <row r="99">
          <cell r="N99">
            <v>-3700</v>
          </cell>
          <cell r="O99" t="str">
            <v>L</v>
          </cell>
          <cell r="Q99" t="str">
            <v>Bilan</v>
          </cell>
          <cell r="R99" t="str">
            <v>Autres Courus</v>
          </cell>
        </row>
        <row r="100">
          <cell r="N100">
            <v>-24003.7</v>
          </cell>
          <cell r="O100" t="str">
            <v>L</v>
          </cell>
          <cell r="Q100" t="str">
            <v>Bilan</v>
          </cell>
          <cell r="R100" t="str">
            <v>Autres Comptes à Payer</v>
          </cell>
        </row>
        <row r="101">
          <cell r="N101">
            <v>-4060.37</v>
          </cell>
          <cell r="O101" t="str">
            <v>L</v>
          </cell>
          <cell r="Q101" t="str">
            <v>Bilan</v>
          </cell>
          <cell r="R101" t="str">
            <v>Autres Courus</v>
          </cell>
        </row>
        <row r="102">
          <cell r="N102">
            <v>7528.04</v>
          </cell>
          <cell r="O102" t="str">
            <v>L</v>
          </cell>
          <cell r="Q102" t="str">
            <v>Bilan</v>
          </cell>
          <cell r="R102" t="str">
            <v>Inventaire Véhicules Usagés</v>
          </cell>
        </row>
        <row r="103">
          <cell r="N103">
            <v>7281.27</v>
          </cell>
          <cell r="O103" t="str">
            <v>L</v>
          </cell>
          <cell r="Q103" t="str">
            <v>Bilan</v>
          </cell>
          <cell r="R103" t="str">
            <v>Inventaire Véhicules Usagés</v>
          </cell>
        </row>
        <row r="104">
          <cell r="N104">
            <v>-117535.2</v>
          </cell>
          <cell r="O104" t="str">
            <v>L</v>
          </cell>
          <cell r="Q104" t="str">
            <v>Bilan</v>
          </cell>
          <cell r="R104" t="str">
            <v>Inventaire Véhicules Neufs</v>
          </cell>
        </row>
        <row r="105">
          <cell r="N105">
            <v>-68613.210000000006</v>
          </cell>
          <cell r="O105" t="str">
            <v>L</v>
          </cell>
          <cell r="Q105" t="str">
            <v>Bilan</v>
          </cell>
          <cell r="R105" t="str">
            <v>Inventaire Véhicules Neufs</v>
          </cell>
        </row>
        <row r="106">
          <cell r="N106">
            <v>-50570.73</v>
          </cell>
          <cell r="O106" t="str">
            <v>L</v>
          </cell>
          <cell r="Q106" t="str">
            <v>Bilan</v>
          </cell>
          <cell r="R106" t="str">
            <v>Autres Courus</v>
          </cell>
        </row>
        <row r="107">
          <cell r="N107">
            <v>-8802.2199999999993</v>
          </cell>
          <cell r="O107" t="str">
            <v>L</v>
          </cell>
          <cell r="Q107" t="str">
            <v>Bilan</v>
          </cell>
          <cell r="R107" t="str">
            <v>DAS à Payer</v>
          </cell>
        </row>
        <row r="108">
          <cell r="N108">
            <v>-100</v>
          </cell>
          <cell r="O108" t="str">
            <v>Q</v>
          </cell>
          <cell r="Q108" t="str">
            <v>Bilan</v>
          </cell>
          <cell r="R108" t="str">
            <v>Capital Actions</v>
          </cell>
        </row>
        <row r="109">
          <cell r="N109">
            <v>-5757314.0999999996</v>
          </cell>
          <cell r="O109" t="str">
            <v>Q</v>
          </cell>
          <cell r="Q109" t="str">
            <v>Bilan</v>
          </cell>
          <cell r="R109" t="str">
            <v>Bénéfices non répartis</v>
          </cell>
        </row>
        <row r="110">
          <cell r="N110">
            <v>-112985</v>
          </cell>
          <cell r="O110" t="str">
            <v>S</v>
          </cell>
          <cell r="Q110" t="str">
            <v>Véhicules neufs</v>
          </cell>
          <cell r="R110" t="str">
            <v>Autos détail</v>
          </cell>
        </row>
        <row r="111">
          <cell r="N111">
            <v>-128238.72</v>
          </cell>
          <cell r="O111" t="str">
            <v>S</v>
          </cell>
          <cell r="Q111" t="str">
            <v>Véhicules neufs</v>
          </cell>
          <cell r="R111" t="str">
            <v>Autos détail</v>
          </cell>
        </row>
        <row r="112">
          <cell r="N112">
            <v>-53686</v>
          </cell>
          <cell r="O112" t="str">
            <v>S</v>
          </cell>
          <cell r="Q112" t="str">
            <v>Véhicules neufs</v>
          </cell>
          <cell r="R112" t="str">
            <v>Camions détail</v>
          </cell>
        </row>
        <row r="113">
          <cell r="N113">
            <v>-66785.990000000005</v>
          </cell>
          <cell r="O113" t="str">
            <v>S</v>
          </cell>
          <cell r="Q113" t="str">
            <v>Véhicules neufs</v>
          </cell>
          <cell r="R113" t="str">
            <v>Camions détail</v>
          </cell>
        </row>
        <row r="114">
          <cell r="N114">
            <v>-98051.85</v>
          </cell>
          <cell r="O114" t="str">
            <v>S</v>
          </cell>
          <cell r="Q114" t="str">
            <v>Véhicules neufs</v>
          </cell>
          <cell r="R114" t="str">
            <v>Camions détail</v>
          </cell>
        </row>
        <row r="115">
          <cell r="N115">
            <v>-534946.1</v>
          </cell>
          <cell r="O115" t="str">
            <v>S</v>
          </cell>
          <cell r="Q115" t="str">
            <v>Véhicules neufs</v>
          </cell>
          <cell r="R115" t="str">
            <v>Camions détail</v>
          </cell>
        </row>
        <row r="116">
          <cell r="N116">
            <v>-991341</v>
          </cell>
          <cell r="O116" t="str">
            <v>S</v>
          </cell>
          <cell r="Q116" t="str">
            <v>Véhicules neufs</v>
          </cell>
          <cell r="R116" t="str">
            <v>Flottes</v>
          </cell>
        </row>
        <row r="117">
          <cell r="N117">
            <v>-230546.77</v>
          </cell>
          <cell r="O117" t="str">
            <v>S</v>
          </cell>
          <cell r="Q117" t="str">
            <v>Véhicules neufs</v>
          </cell>
          <cell r="R117" t="str">
            <v>Ex-démos et courtoisies</v>
          </cell>
        </row>
        <row r="118">
          <cell r="N118">
            <v>0</v>
          </cell>
          <cell r="O118" t="str">
            <v>S</v>
          </cell>
          <cell r="Q118" t="str">
            <v>Véhicules neufs</v>
          </cell>
          <cell r="R118" t="str">
            <v>Rev. Protections</v>
          </cell>
        </row>
        <row r="119">
          <cell r="N119">
            <v>-2596.6</v>
          </cell>
          <cell r="O119" t="str">
            <v>S</v>
          </cell>
          <cell r="Q119" t="str">
            <v>Véhicules neufs</v>
          </cell>
          <cell r="R119" t="str">
            <v>Rev. Protections</v>
          </cell>
        </row>
        <row r="120">
          <cell r="N120">
            <v>-28560.95</v>
          </cell>
          <cell r="O120" t="str">
            <v>S</v>
          </cell>
          <cell r="Q120" t="str">
            <v>Véhicules neufs</v>
          </cell>
          <cell r="R120" t="str">
            <v>Rev. Protections</v>
          </cell>
        </row>
        <row r="121">
          <cell r="N121">
            <v>-3847</v>
          </cell>
          <cell r="O121" t="str">
            <v>S</v>
          </cell>
          <cell r="Q121" t="str">
            <v>Véhicules neufs</v>
          </cell>
          <cell r="R121" t="str">
            <v>Rev. Protections</v>
          </cell>
        </row>
        <row r="122">
          <cell r="N122">
            <v>-2210.5</v>
          </cell>
          <cell r="O122" t="str">
            <v>S</v>
          </cell>
          <cell r="Q122" t="str">
            <v>Véhicules neufs</v>
          </cell>
          <cell r="R122" t="str">
            <v>Rev. Protections</v>
          </cell>
        </row>
        <row r="123">
          <cell r="N123">
            <v>-2389</v>
          </cell>
          <cell r="O123" t="str">
            <v>S</v>
          </cell>
          <cell r="Q123" t="str">
            <v>Véhicules neufs</v>
          </cell>
          <cell r="R123" t="str">
            <v>Rev. Autres</v>
          </cell>
        </row>
        <row r="124">
          <cell r="N124">
            <v>-499</v>
          </cell>
          <cell r="O124" t="str">
            <v>S</v>
          </cell>
          <cell r="Q124" t="str">
            <v>Véhicules neufs</v>
          </cell>
          <cell r="R124" t="str">
            <v>Rev. Protections</v>
          </cell>
        </row>
        <row r="125">
          <cell r="N125">
            <v>-3524.95</v>
          </cell>
          <cell r="O125" t="str">
            <v>S</v>
          </cell>
          <cell r="Q125" t="str">
            <v>Véhicules neufs</v>
          </cell>
          <cell r="R125" t="str">
            <v>Rev. Autres</v>
          </cell>
        </row>
        <row r="126">
          <cell r="N126">
            <v>-179358</v>
          </cell>
          <cell r="O126" t="str">
            <v>S</v>
          </cell>
          <cell r="Q126" t="str">
            <v>Véhicules neufs</v>
          </cell>
          <cell r="R126" t="str">
            <v>Autos détail</v>
          </cell>
        </row>
        <row r="127">
          <cell r="N127">
            <v>-69534</v>
          </cell>
          <cell r="O127" t="str">
            <v>S</v>
          </cell>
          <cell r="Q127" t="str">
            <v>Véhicules neufs</v>
          </cell>
          <cell r="R127" t="str">
            <v>Camions détail</v>
          </cell>
        </row>
        <row r="128">
          <cell r="N128">
            <v>-447433.72</v>
          </cell>
          <cell r="O128" t="str">
            <v>S</v>
          </cell>
          <cell r="Q128" t="str">
            <v>Véhicules neufs</v>
          </cell>
          <cell r="R128" t="str">
            <v>Camions détail</v>
          </cell>
        </row>
        <row r="129">
          <cell r="N129">
            <v>-118536.99</v>
          </cell>
          <cell r="O129" t="str">
            <v>S</v>
          </cell>
          <cell r="Q129" t="str">
            <v>Véhicules neufs</v>
          </cell>
          <cell r="R129" t="str">
            <v>Camions détail</v>
          </cell>
        </row>
        <row r="130">
          <cell r="N130">
            <v>-91187</v>
          </cell>
          <cell r="O130" t="str">
            <v>S</v>
          </cell>
          <cell r="Q130" t="str">
            <v>Véhicules neufs</v>
          </cell>
          <cell r="R130" t="str">
            <v>Autos détail</v>
          </cell>
        </row>
        <row r="131">
          <cell r="N131">
            <v>-100690</v>
          </cell>
          <cell r="O131" t="str">
            <v>S</v>
          </cell>
          <cell r="Q131" t="str">
            <v>Véhicules neufs</v>
          </cell>
          <cell r="R131" t="str">
            <v>Autos détail</v>
          </cell>
        </row>
        <row r="132">
          <cell r="N132">
            <v>-103299</v>
          </cell>
          <cell r="O132" t="str">
            <v>S</v>
          </cell>
          <cell r="Q132" t="str">
            <v>Véhicules neufs</v>
          </cell>
          <cell r="R132" t="str">
            <v>Camions détail</v>
          </cell>
        </row>
        <row r="133">
          <cell r="N133">
            <v>-479206</v>
          </cell>
          <cell r="O133" t="str">
            <v>S</v>
          </cell>
          <cell r="Q133" t="str">
            <v>Véhicules neufs</v>
          </cell>
          <cell r="R133" t="str">
            <v>Camions détail</v>
          </cell>
        </row>
        <row r="134">
          <cell r="N134">
            <v>-293862.95</v>
          </cell>
          <cell r="O134" t="str">
            <v>S</v>
          </cell>
          <cell r="Q134" t="str">
            <v>Véhicules neufs</v>
          </cell>
          <cell r="R134" t="str">
            <v>Camions détail</v>
          </cell>
        </row>
        <row r="135">
          <cell r="N135">
            <v>-517077.4</v>
          </cell>
          <cell r="O135" t="str">
            <v>S</v>
          </cell>
          <cell r="Q135" t="str">
            <v>Véhicules neufs</v>
          </cell>
          <cell r="R135" t="str">
            <v>Camions détail</v>
          </cell>
        </row>
        <row r="136">
          <cell r="N136">
            <v>-166860.99</v>
          </cell>
          <cell r="O136" t="str">
            <v>S</v>
          </cell>
          <cell r="Q136" t="str">
            <v>Véhicules neufs</v>
          </cell>
          <cell r="R136" t="str">
            <v>Camions détail</v>
          </cell>
        </row>
        <row r="137">
          <cell r="N137">
            <v>-381908.3</v>
          </cell>
          <cell r="O137" t="str">
            <v>S</v>
          </cell>
          <cell r="Q137" t="str">
            <v>Véhicules neufs</v>
          </cell>
          <cell r="R137" t="str">
            <v>Camions détail</v>
          </cell>
        </row>
        <row r="138">
          <cell r="N138">
            <v>-732591.09</v>
          </cell>
          <cell r="O138" t="str">
            <v>S</v>
          </cell>
          <cell r="Q138" t="str">
            <v>Véhicules neufs</v>
          </cell>
          <cell r="R138" t="str">
            <v>Camions détail</v>
          </cell>
        </row>
        <row r="139">
          <cell r="N139">
            <v>-106229</v>
          </cell>
          <cell r="O139" t="str">
            <v>S</v>
          </cell>
          <cell r="Q139" t="str">
            <v>Véhicules neufs</v>
          </cell>
          <cell r="R139" t="str">
            <v>Camions détail</v>
          </cell>
        </row>
        <row r="140">
          <cell r="N140">
            <v>-309119.99</v>
          </cell>
          <cell r="O140" t="str">
            <v>S</v>
          </cell>
          <cell r="Q140" t="str">
            <v>Véhicules neufs</v>
          </cell>
          <cell r="R140" t="str">
            <v>Camions détail</v>
          </cell>
        </row>
        <row r="141">
          <cell r="N141">
            <v>-56978.63</v>
          </cell>
          <cell r="O141" t="str">
            <v>S</v>
          </cell>
          <cell r="Q141" t="str">
            <v>Véhicules neufs</v>
          </cell>
          <cell r="R141" t="str">
            <v>Camions détail</v>
          </cell>
        </row>
        <row r="142">
          <cell r="N142">
            <v>-89443.87</v>
          </cell>
          <cell r="O142" t="str">
            <v>S</v>
          </cell>
          <cell r="Q142" t="str">
            <v>Véhicules neufs</v>
          </cell>
          <cell r="R142" t="str">
            <v>Camions détail</v>
          </cell>
        </row>
        <row r="143">
          <cell r="N143">
            <v>-64128.61</v>
          </cell>
          <cell r="O143" t="str">
            <v>S</v>
          </cell>
          <cell r="Q143" t="str">
            <v>Véhicules neufs</v>
          </cell>
          <cell r="R143" t="str">
            <v>Camions détail</v>
          </cell>
        </row>
        <row r="144">
          <cell r="N144">
            <v>-1163508.58</v>
          </cell>
          <cell r="O144" t="str">
            <v>S</v>
          </cell>
          <cell r="Q144" t="str">
            <v>Véhicules neufs</v>
          </cell>
          <cell r="R144" t="str">
            <v>Flottes</v>
          </cell>
        </row>
        <row r="145">
          <cell r="N145">
            <v>-472814.58</v>
          </cell>
          <cell r="O145" t="str">
            <v>S</v>
          </cell>
          <cell r="Q145" t="str">
            <v>Véhicules neufs</v>
          </cell>
          <cell r="R145" t="str">
            <v>Ex-démos et courtoisies</v>
          </cell>
        </row>
        <row r="146">
          <cell r="N146">
            <v>-15459</v>
          </cell>
          <cell r="O146" t="str">
            <v>S</v>
          </cell>
          <cell r="Q146" t="str">
            <v>Véhicules neufs</v>
          </cell>
          <cell r="R146" t="str">
            <v>Rev. Protections</v>
          </cell>
        </row>
        <row r="147">
          <cell r="N147">
            <v>-18088.349999999999</v>
          </cell>
          <cell r="O147" t="str">
            <v>S</v>
          </cell>
          <cell r="Q147" t="str">
            <v>Véhicules neufs</v>
          </cell>
          <cell r="R147" t="str">
            <v>Rev. Protections</v>
          </cell>
        </row>
        <row r="148">
          <cell r="N148">
            <v>-55103.9</v>
          </cell>
          <cell r="O148" t="str">
            <v>S</v>
          </cell>
          <cell r="Q148" t="str">
            <v>Véhicules neufs</v>
          </cell>
          <cell r="R148" t="str">
            <v>Rev. Protections</v>
          </cell>
        </row>
        <row r="149">
          <cell r="N149">
            <v>-12182</v>
          </cell>
          <cell r="O149" t="str">
            <v>S</v>
          </cell>
          <cell r="Q149" t="str">
            <v>Véhicules neufs</v>
          </cell>
          <cell r="R149" t="str">
            <v>Rev. Protections</v>
          </cell>
        </row>
        <row r="150">
          <cell r="N150">
            <v>-14142.5</v>
          </cell>
          <cell r="O150" t="str">
            <v>S</v>
          </cell>
          <cell r="Q150" t="str">
            <v>Véhicules neufs</v>
          </cell>
          <cell r="R150" t="str">
            <v>Rev. Protections</v>
          </cell>
        </row>
        <row r="151">
          <cell r="N151">
            <v>-3178</v>
          </cell>
          <cell r="O151" t="str">
            <v>S</v>
          </cell>
          <cell r="Q151" t="str">
            <v>Véhicules neufs</v>
          </cell>
          <cell r="R151" t="str">
            <v>Rev. Autres</v>
          </cell>
        </row>
        <row r="152">
          <cell r="N152">
            <v>-2940</v>
          </cell>
          <cell r="O152" t="str">
            <v>S</v>
          </cell>
          <cell r="Q152" t="str">
            <v>Véhicules neufs</v>
          </cell>
          <cell r="R152" t="str">
            <v>Rev. Autres</v>
          </cell>
        </row>
        <row r="153">
          <cell r="N153">
            <v>-265033</v>
          </cell>
          <cell r="O153" t="str">
            <v>S</v>
          </cell>
          <cell r="Q153" t="str">
            <v>Véhicules neufs</v>
          </cell>
          <cell r="R153" t="str">
            <v>Camions détail</v>
          </cell>
        </row>
        <row r="154">
          <cell r="N154">
            <v>-239989</v>
          </cell>
          <cell r="O154" t="str">
            <v>S</v>
          </cell>
          <cell r="Q154" t="str">
            <v>Véhicules neufs</v>
          </cell>
          <cell r="R154" t="str">
            <v>Camions détail</v>
          </cell>
        </row>
        <row r="155">
          <cell r="N155">
            <v>-405938.41</v>
          </cell>
          <cell r="O155" t="str">
            <v>S</v>
          </cell>
          <cell r="Q155" t="str">
            <v>Véhicules neufs</v>
          </cell>
          <cell r="R155" t="str">
            <v>Camions détail</v>
          </cell>
        </row>
        <row r="156">
          <cell r="N156">
            <v>-189686.46</v>
          </cell>
          <cell r="O156" t="str">
            <v>S</v>
          </cell>
          <cell r="Q156" t="str">
            <v>Véhicules neufs</v>
          </cell>
          <cell r="R156" t="str">
            <v>Camions détail</v>
          </cell>
        </row>
        <row r="157">
          <cell r="N157">
            <v>-346526.03</v>
          </cell>
          <cell r="O157" t="str">
            <v>S</v>
          </cell>
          <cell r="Q157" t="str">
            <v>Véhicules neufs</v>
          </cell>
          <cell r="R157" t="str">
            <v>Camions détail</v>
          </cell>
        </row>
        <row r="158">
          <cell r="N158">
            <v>-190562.04</v>
          </cell>
          <cell r="O158" t="str">
            <v>S</v>
          </cell>
          <cell r="Q158" t="str">
            <v>Véhicules neufs</v>
          </cell>
          <cell r="R158" t="str">
            <v>Camions détail</v>
          </cell>
        </row>
        <row r="159">
          <cell r="N159">
            <v>-302098</v>
          </cell>
          <cell r="O159" t="str">
            <v>S</v>
          </cell>
          <cell r="Q159" t="str">
            <v>Véhicules neufs</v>
          </cell>
          <cell r="R159" t="str">
            <v>Camions détail</v>
          </cell>
        </row>
        <row r="160">
          <cell r="N160">
            <v>-354606.98</v>
          </cell>
          <cell r="O160" t="str">
            <v>S</v>
          </cell>
          <cell r="Q160" t="str">
            <v>Véhicules neufs</v>
          </cell>
          <cell r="R160" t="str">
            <v>Camions détail</v>
          </cell>
        </row>
        <row r="161">
          <cell r="N161">
            <v>-167223.03</v>
          </cell>
          <cell r="O161" t="str">
            <v>S</v>
          </cell>
          <cell r="Q161" t="str">
            <v>Véhicules neufs</v>
          </cell>
          <cell r="R161" t="str">
            <v>Camions détail</v>
          </cell>
        </row>
        <row r="162">
          <cell r="N162">
            <v>-348805.54</v>
          </cell>
          <cell r="O162" t="str">
            <v>S</v>
          </cell>
          <cell r="Q162" t="str">
            <v>Véhicules neufs</v>
          </cell>
          <cell r="R162" t="str">
            <v>Camions détail</v>
          </cell>
        </row>
        <row r="163">
          <cell r="N163">
            <v>-151609.46</v>
          </cell>
          <cell r="O163" t="str">
            <v>S</v>
          </cell>
          <cell r="Q163" t="str">
            <v>Véhicules neufs</v>
          </cell>
          <cell r="R163" t="str">
            <v>Camions détail</v>
          </cell>
        </row>
        <row r="164">
          <cell r="N164">
            <v>-233494.59</v>
          </cell>
          <cell r="O164" t="str">
            <v>S</v>
          </cell>
          <cell r="Q164" t="str">
            <v>Véhicules neufs</v>
          </cell>
          <cell r="R164" t="str">
            <v>Camions détail</v>
          </cell>
        </row>
        <row r="165">
          <cell r="N165">
            <v>-272242.59000000003</v>
          </cell>
          <cell r="O165" t="str">
            <v>S</v>
          </cell>
          <cell r="Q165" t="str">
            <v>Véhicules neufs</v>
          </cell>
          <cell r="R165" t="str">
            <v>Camions détail</v>
          </cell>
        </row>
        <row r="166">
          <cell r="N166">
            <v>112985</v>
          </cell>
          <cell r="O166" t="str">
            <v>C</v>
          </cell>
          <cell r="Q166" t="str">
            <v>Véhicules neufs</v>
          </cell>
          <cell r="R166" t="str">
            <v>Autos détail</v>
          </cell>
        </row>
        <row r="167">
          <cell r="N167">
            <v>121911.18</v>
          </cell>
          <cell r="O167" t="str">
            <v>C</v>
          </cell>
          <cell r="Q167" t="str">
            <v>Véhicules neufs</v>
          </cell>
          <cell r="R167" t="str">
            <v>Autos détail</v>
          </cell>
        </row>
        <row r="168">
          <cell r="N168">
            <v>52935.27</v>
          </cell>
          <cell r="O168" t="str">
            <v>C</v>
          </cell>
          <cell r="Q168" t="str">
            <v>Véhicules neufs</v>
          </cell>
          <cell r="R168" t="str">
            <v>Camions détail</v>
          </cell>
        </row>
        <row r="169">
          <cell r="N169">
            <v>64898.68</v>
          </cell>
          <cell r="O169" t="str">
            <v>C</v>
          </cell>
          <cell r="Q169" t="str">
            <v>Véhicules neufs</v>
          </cell>
          <cell r="R169" t="str">
            <v>Camions détail</v>
          </cell>
        </row>
        <row r="170">
          <cell r="N170">
            <v>94598.17</v>
          </cell>
          <cell r="O170" t="str">
            <v>C</v>
          </cell>
          <cell r="Q170" t="str">
            <v>Véhicules neufs</v>
          </cell>
          <cell r="R170" t="str">
            <v>Camions détail</v>
          </cell>
        </row>
        <row r="171">
          <cell r="N171">
            <v>526256.52</v>
          </cell>
          <cell r="O171" t="str">
            <v>C</v>
          </cell>
          <cell r="Q171" t="str">
            <v>Véhicules neufs</v>
          </cell>
          <cell r="R171" t="str">
            <v>Camions détail</v>
          </cell>
        </row>
        <row r="172">
          <cell r="N172">
            <v>988543.67</v>
          </cell>
          <cell r="O172" t="str">
            <v>C</v>
          </cell>
          <cell r="Q172" t="str">
            <v>Véhicules neufs</v>
          </cell>
          <cell r="R172" t="str">
            <v>Flottes</v>
          </cell>
        </row>
        <row r="173">
          <cell r="N173">
            <v>227231.33</v>
          </cell>
          <cell r="O173" t="str">
            <v>C</v>
          </cell>
          <cell r="Q173" t="str">
            <v>Véhicules neufs</v>
          </cell>
          <cell r="R173" t="str">
            <v>Ex-démos et courtoisies</v>
          </cell>
        </row>
        <row r="174">
          <cell r="N174">
            <v>0</v>
          </cell>
          <cell r="O174" t="str">
            <v>C</v>
          </cell>
          <cell r="Q174" t="str">
            <v>Véhicules neufs</v>
          </cell>
          <cell r="R174" t="str">
            <v>Rev. Protections</v>
          </cell>
        </row>
        <row r="175">
          <cell r="N175">
            <v>1450.63</v>
          </cell>
          <cell r="O175" t="str">
            <v>C</v>
          </cell>
          <cell r="Q175" t="str">
            <v>Véhicules neufs</v>
          </cell>
          <cell r="R175" t="str">
            <v>Rev. Protections</v>
          </cell>
        </row>
        <row r="176">
          <cell r="N176">
            <v>16169.39</v>
          </cell>
          <cell r="O176" t="str">
            <v>C</v>
          </cell>
          <cell r="Q176" t="str">
            <v>Véhicules neufs</v>
          </cell>
          <cell r="R176" t="str">
            <v>Rev. Protections</v>
          </cell>
        </row>
        <row r="177">
          <cell r="N177">
            <v>1138.24</v>
          </cell>
          <cell r="O177" t="str">
            <v>C</v>
          </cell>
          <cell r="Q177" t="str">
            <v>Véhicules neufs</v>
          </cell>
          <cell r="R177" t="str">
            <v>Rev. Protections</v>
          </cell>
        </row>
        <row r="178">
          <cell r="N178">
            <v>1562.5</v>
          </cell>
          <cell r="O178" t="str">
            <v>C</v>
          </cell>
          <cell r="Q178" t="str">
            <v>Véhicules neufs</v>
          </cell>
          <cell r="R178" t="str">
            <v>Rev. Protections</v>
          </cell>
        </row>
        <row r="179">
          <cell r="N179">
            <v>1306.25</v>
          </cell>
          <cell r="O179" t="str">
            <v>C</v>
          </cell>
          <cell r="Q179" t="str">
            <v>Véhicules neufs</v>
          </cell>
          <cell r="R179" t="str">
            <v>Rev. Autres</v>
          </cell>
        </row>
        <row r="180">
          <cell r="N180">
            <v>295.5</v>
          </cell>
          <cell r="O180" t="str">
            <v>C</v>
          </cell>
          <cell r="Q180" t="str">
            <v>Véhicules neufs</v>
          </cell>
          <cell r="R180" t="str">
            <v>Rev. Protections</v>
          </cell>
        </row>
        <row r="181">
          <cell r="N181">
            <v>1512.5</v>
          </cell>
          <cell r="O181" t="str">
            <v>C</v>
          </cell>
          <cell r="Q181" t="str">
            <v>Véhicules neufs</v>
          </cell>
          <cell r="R181" t="str">
            <v>Rev. Autres</v>
          </cell>
        </row>
        <row r="182">
          <cell r="N182">
            <v>169944.57</v>
          </cell>
          <cell r="O182" t="str">
            <v>C</v>
          </cell>
          <cell r="Q182" t="str">
            <v>Véhicules neufs</v>
          </cell>
          <cell r="R182" t="str">
            <v>Autos détail</v>
          </cell>
        </row>
        <row r="183">
          <cell r="N183">
            <v>66394.38</v>
          </cell>
          <cell r="O183" t="str">
            <v>C</v>
          </cell>
          <cell r="Q183" t="str">
            <v>Véhicules neufs</v>
          </cell>
          <cell r="R183" t="str">
            <v>Camions détail</v>
          </cell>
        </row>
        <row r="184">
          <cell r="N184">
            <v>431575.22</v>
          </cell>
          <cell r="O184" t="str">
            <v>C</v>
          </cell>
          <cell r="Q184" t="str">
            <v>Véhicules neufs</v>
          </cell>
          <cell r="R184" t="str">
            <v>Camions détail</v>
          </cell>
        </row>
        <row r="185">
          <cell r="N185">
            <v>116011.07</v>
          </cell>
          <cell r="O185" t="str">
            <v>C</v>
          </cell>
          <cell r="Q185" t="str">
            <v>Véhicules neufs</v>
          </cell>
          <cell r="R185" t="str">
            <v>Camions détail</v>
          </cell>
        </row>
        <row r="186">
          <cell r="N186">
            <v>91187</v>
          </cell>
          <cell r="O186" t="str">
            <v>C</v>
          </cell>
          <cell r="Q186" t="str">
            <v>Véhicules neufs</v>
          </cell>
          <cell r="R186" t="str">
            <v>Autos détail</v>
          </cell>
        </row>
        <row r="187">
          <cell r="N187">
            <v>97255.24</v>
          </cell>
          <cell r="O187" t="str">
            <v>C</v>
          </cell>
          <cell r="Q187" t="str">
            <v>Véhicules neufs</v>
          </cell>
          <cell r="R187" t="str">
            <v>Autos détail</v>
          </cell>
        </row>
        <row r="188">
          <cell r="N188">
            <v>101539.88</v>
          </cell>
          <cell r="O188" t="str">
            <v>C</v>
          </cell>
          <cell r="Q188" t="str">
            <v>Véhicules neufs</v>
          </cell>
          <cell r="R188" t="str">
            <v>Camions détail</v>
          </cell>
        </row>
        <row r="189">
          <cell r="N189">
            <v>446948.14</v>
          </cell>
          <cell r="O189" t="str">
            <v>C</v>
          </cell>
          <cell r="Q189" t="str">
            <v>Véhicules neufs</v>
          </cell>
          <cell r="R189" t="str">
            <v>Camions détail</v>
          </cell>
        </row>
        <row r="190">
          <cell r="N190">
            <v>284691.7</v>
          </cell>
          <cell r="O190" t="str">
            <v>C</v>
          </cell>
          <cell r="Q190" t="str">
            <v>Véhicules neufs</v>
          </cell>
          <cell r="R190" t="str">
            <v>Camions détail</v>
          </cell>
        </row>
        <row r="191">
          <cell r="N191">
            <v>495358.8</v>
          </cell>
          <cell r="O191" t="str">
            <v>C</v>
          </cell>
          <cell r="Q191" t="str">
            <v>Véhicules neufs</v>
          </cell>
          <cell r="R191" t="str">
            <v>Camions détail</v>
          </cell>
        </row>
        <row r="192">
          <cell r="N192">
            <v>161200.42000000001</v>
          </cell>
          <cell r="O192" t="str">
            <v>C</v>
          </cell>
          <cell r="Q192" t="str">
            <v>Véhicules neufs</v>
          </cell>
          <cell r="R192" t="str">
            <v>Camions détail</v>
          </cell>
        </row>
        <row r="193">
          <cell r="N193">
            <v>366113.89</v>
          </cell>
          <cell r="O193" t="str">
            <v>C</v>
          </cell>
          <cell r="Q193" t="str">
            <v>Véhicules neufs</v>
          </cell>
          <cell r="R193" t="str">
            <v>Camions détail</v>
          </cell>
        </row>
        <row r="194">
          <cell r="N194">
            <v>693659.66</v>
          </cell>
          <cell r="O194" t="str">
            <v>C</v>
          </cell>
          <cell r="Q194" t="str">
            <v>Véhicules neufs</v>
          </cell>
          <cell r="R194" t="str">
            <v>Camions détail</v>
          </cell>
        </row>
        <row r="195">
          <cell r="N195">
            <v>98341.07</v>
          </cell>
          <cell r="O195" t="str">
            <v>C</v>
          </cell>
          <cell r="Q195" t="str">
            <v>Véhicules neufs</v>
          </cell>
          <cell r="R195" t="str">
            <v>Camions détail</v>
          </cell>
        </row>
        <row r="196">
          <cell r="N196">
            <v>295444.86</v>
          </cell>
          <cell r="O196" t="str">
            <v>C</v>
          </cell>
          <cell r="Q196" t="str">
            <v>Véhicules neufs</v>
          </cell>
          <cell r="R196" t="str">
            <v>Camions détail</v>
          </cell>
        </row>
        <row r="197">
          <cell r="N197">
            <v>58563.6</v>
          </cell>
          <cell r="O197" t="str">
            <v>C</v>
          </cell>
          <cell r="Q197" t="str">
            <v>Véhicules neufs</v>
          </cell>
          <cell r="R197" t="str">
            <v>Camions détail</v>
          </cell>
        </row>
        <row r="198">
          <cell r="N198">
            <v>85571.51</v>
          </cell>
          <cell r="O198" t="str">
            <v>C</v>
          </cell>
          <cell r="Q198" t="str">
            <v>Véhicules neufs</v>
          </cell>
          <cell r="R198" t="str">
            <v>Camions détail</v>
          </cell>
        </row>
        <row r="199">
          <cell r="N199">
            <v>63745.120000000003</v>
          </cell>
          <cell r="O199" t="str">
            <v>C</v>
          </cell>
          <cell r="Q199" t="str">
            <v>Véhicules neufs</v>
          </cell>
          <cell r="R199" t="str">
            <v>Camions détail</v>
          </cell>
        </row>
        <row r="200">
          <cell r="N200">
            <v>188</v>
          </cell>
          <cell r="O200" t="str">
            <v>C</v>
          </cell>
          <cell r="Q200" t="str">
            <v>Véhicules neufs</v>
          </cell>
          <cell r="R200" t="str">
            <v>Camions détail</v>
          </cell>
        </row>
        <row r="201">
          <cell r="N201">
            <v>1151739.98</v>
          </cell>
          <cell r="O201" t="str">
            <v>C</v>
          </cell>
          <cell r="Q201" t="str">
            <v>Véhicules neufs</v>
          </cell>
          <cell r="R201" t="str">
            <v>Flottes</v>
          </cell>
        </row>
        <row r="202">
          <cell r="N202">
            <v>463268.79</v>
          </cell>
          <cell r="O202" t="str">
            <v>C</v>
          </cell>
          <cell r="Q202" t="str">
            <v>Véhicules neufs</v>
          </cell>
          <cell r="R202" t="str">
            <v>Ex-démos et courtoisies</v>
          </cell>
        </row>
        <row r="203">
          <cell r="N203">
            <v>-4171.3999999999996</v>
          </cell>
          <cell r="O203" t="str">
            <v>C</v>
          </cell>
          <cell r="Q203" t="str">
            <v>Véhicules neufs</v>
          </cell>
          <cell r="R203" t="str">
            <v>Rev. Protections</v>
          </cell>
        </row>
        <row r="204">
          <cell r="N204">
            <v>-6010.09</v>
          </cell>
          <cell r="O204" t="str">
            <v>C</v>
          </cell>
          <cell r="Q204" t="str">
            <v>Véhicules neufs</v>
          </cell>
          <cell r="R204" t="str">
            <v>Rev. Protections</v>
          </cell>
        </row>
        <row r="205">
          <cell r="N205">
            <v>10554</v>
          </cell>
          <cell r="O205" t="str">
            <v>C</v>
          </cell>
          <cell r="Q205" t="str">
            <v>Véhicules neufs</v>
          </cell>
          <cell r="R205" t="str">
            <v>Rev. Protections</v>
          </cell>
        </row>
        <row r="206">
          <cell r="N206">
            <v>10038.59</v>
          </cell>
          <cell r="O206" t="str">
            <v>C</v>
          </cell>
          <cell r="Q206" t="str">
            <v>Véhicules neufs</v>
          </cell>
          <cell r="R206" t="str">
            <v>Rev. Protections</v>
          </cell>
        </row>
        <row r="207">
          <cell r="N207">
            <v>29652.75</v>
          </cell>
          <cell r="O207" t="str">
            <v>C</v>
          </cell>
          <cell r="Q207" t="str">
            <v>Véhicules neufs</v>
          </cell>
          <cell r="R207" t="str">
            <v>Rev. Protections</v>
          </cell>
        </row>
        <row r="208">
          <cell r="N208">
            <v>3024.34</v>
          </cell>
          <cell r="O208" t="str">
            <v>C</v>
          </cell>
          <cell r="Q208" t="str">
            <v>Véhicules neufs</v>
          </cell>
          <cell r="R208" t="str">
            <v>Rev. Protections</v>
          </cell>
        </row>
        <row r="209">
          <cell r="N209">
            <v>8750</v>
          </cell>
          <cell r="O209" t="str">
            <v>C</v>
          </cell>
          <cell r="Q209" t="str">
            <v>Véhicules neufs</v>
          </cell>
          <cell r="R209" t="str">
            <v>Rev. Protections</v>
          </cell>
        </row>
        <row r="210">
          <cell r="N210">
            <v>3562.5</v>
          </cell>
          <cell r="O210" t="str">
            <v>C</v>
          </cell>
          <cell r="Q210" t="str">
            <v>Véhicules neufs</v>
          </cell>
          <cell r="R210" t="str">
            <v>Rev. Autres</v>
          </cell>
        </row>
        <row r="211">
          <cell r="N211">
            <v>915</v>
          </cell>
          <cell r="O211" t="str">
            <v>C</v>
          </cell>
          <cell r="Q211" t="str">
            <v>Véhicules neufs</v>
          </cell>
          <cell r="R211" t="str">
            <v>Rev. Autres</v>
          </cell>
        </row>
        <row r="212">
          <cell r="N212">
            <v>253956.34</v>
          </cell>
          <cell r="O212" t="str">
            <v>C</v>
          </cell>
          <cell r="Q212" t="str">
            <v>Véhicules neufs</v>
          </cell>
          <cell r="R212" t="str">
            <v>Camions détail</v>
          </cell>
        </row>
        <row r="213">
          <cell r="N213">
            <v>228473.73</v>
          </cell>
          <cell r="O213" t="str">
            <v>C</v>
          </cell>
          <cell r="Q213" t="str">
            <v>Véhicules neufs</v>
          </cell>
          <cell r="R213" t="str">
            <v>Camions détail</v>
          </cell>
        </row>
        <row r="214">
          <cell r="N214">
            <v>396920.48</v>
          </cell>
          <cell r="O214" t="str">
            <v>C</v>
          </cell>
          <cell r="Q214" t="str">
            <v>Véhicules neufs</v>
          </cell>
          <cell r="R214" t="str">
            <v>Camions détail</v>
          </cell>
        </row>
        <row r="215">
          <cell r="N215">
            <v>186411.3</v>
          </cell>
          <cell r="O215" t="str">
            <v>C</v>
          </cell>
          <cell r="Q215" t="str">
            <v>Véhicules neufs</v>
          </cell>
          <cell r="R215" t="str">
            <v>Camions détail</v>
          </cell>
        </row>
        <row r="216">
          <cell r="N216">
            <v>341819.66</v>
          </cell>
          <cell r="O216" t="str">
            <v>C</v>
          </cell>
          <cell r="Q216" t="str">
            <v>Véhicules neufs</v>
          </cell>
          <cell r="R216" t="str">
            <v>Camions détail</v>
          </cell>
        </row>
        <row r="217">
          <cell r="N217">
            <v>180063.9</v>
          </cell>
          <cell r="O217" t="str">
            <v>C</v>
          </cell>
          <cell r="Q217" t="str">
            <v>Véhicules neufs</v>
          </cell>
          <cell r="R217" t="str">
            <v>Camions détail</v>
          </cell>
        </row>
        <row r="218">
          <cell r="N218">
            <v>291185.08</v>
          </cell>
          <cell r="O218" t="str">
            <v>C</v>
          </cell>
          <cell r="Q218" t="str">
            <v>Véhicules neufs</v>
          </cell>
          <cell r="R218" t="str">
            <v>Camions détail</v>
          </cell>
        </row>
        <row r="219">
          <cell r="N219">
            <v>343230.95</v>
          </cell>
          <cell r="O219" t="str">
            <v>C</v>
          </cell>
          <cell r="Q219" t="str">
            <v>Véhicules neufs</v>
          </cell>
          <cell r="R219" t="str">
            <v>Camions détail</v>
          </cell>
        </row>
        <row r="220">
          <cell r="N220">
            <v>161026.03</v>
          </cell>
          <cell r="O220" t="str">
            <v>C</v>
          </cell>
          <cell r="Q220" t="str">
            <v>Véhicules neufs</v>
          </cell>
          <cell r="R220" t="str">
            <v>Camions détail</v>
          </cell>
        </row>
        <row r="221">
          <cell r="N221">
            <v>332230.09999999998</v>
          </cell>
          <cell r="O221" t="str">
            <v>C</v>
          </cell>
          <cell r="Q221" t="str">
            <v>Véhicules neufs</v>
          </cell>
          <cell r="R221" t="str">
            <v>Camions détail</v>
          </cell>
        </row>
        <row r="222">
          <cell r="N222">
            <v>144781.5</v>
          </cell>
          <cell r="O222" t="str">
            <v>C</v>
          </cell>
          <cell r="Q222" t="str">
            <v>Véhicules neufs</v>
          </cell>
          <cell r="R222" t="str">
            <v>Camions détail</v>
          </cell>
        </row>
        <row r="223">
          <cell r="N223">
            <v>224151.9</v>
          </cell>
          <cell r="O223" t="str">
            <v>C</v>
          </cell>
          <cell r="Q223" t="str">
            <v>Véhicules neufs</v>
          </cell>
          <cell r="R223" t="str">
            <v>Camions détail</v>
          </cell>
        </row>
        <row r="224">
          <cell r="N224">
            <v>259115.73</v>
          </cell>
          <cell r="O224" t="str">
            <v>C</v>
          </cell>
          <cell r="Q224" t="str">
            <v>Véhicules neufs</v>
          </cell>
          <cell r="R224" t="str">
            <v>Camions détail</v>
          </cell>
        </row>
        <row r="225">
          <cell r="N225">
            <v>-36102.61</v>
          </cell>
          <cell r="O225" t="str">
            <v>S</v>
          </cell>
          <cell r="Q225" t="str">
            <v>Service</v>
          </cell>
          <cell r="R225" t="str">
            <v>M/O Client</v>
          </cell>
        </row>
        <row r="226">
          <cell r="N226">
            <v>-43448.43</v>
          </cell>
          <cell r="O226" t="str">
            <v>S</v>
          </cell>
          <cell r="Q226" t="str">
            <v>Service</v>
          </cell>
          <cell r="R226" t="str">
            <v>M/O Garantie</v>
          </cell>
        </row>
        <row r="227">
          <cell r="N227">
            <v>-45895.37</v>
          </cell>
          <cell r="O227" t="str">
            <v>S</v>
          </cell>
          <cell r="Q227" t="str">
            <v>Service</v>
          </cell>
          <cell r="R227" t="str">
            <v>M/O Interne</v>
          </cell>
        </row>
        <row r="228">
          <cell r="N228">
            <v>-15463.23</v>
          </cell>
          <cell r="O228" t="str">
            <v>S</v>
          </cell>
          <cell r="Q228" t="str">
            <v>Service</v>
          </cell>
          <cell r="R228" t="str">
            <v>Sous-traitement</v>
          </cell>
        </row>
        <row r="229">
          <cell r="N229">
            <v>-399.8</v>
          </cell>
          <cell r="O229" t="str">
            <v>S</v>
          </cell>
          <cell r="Q229" t="str">
            <v>Service</v>
          </cell>
          <cell r="R229" t="str">
            <v>Sous-traitement</v>
          </cell>
        </row>
        <row r="230">
          <cell r="N230">
            <v>-13078.2</v>
          </cell>
          <cell r="O230" t="str">
            <v>S</v>
          </cell>
          <cell r="Q230" t="str">
            <v>Service</v>
          </cell>
          <cell r="R230" t="str">
            <v>M/O Esthétique</v>
          </cell>
        </row>
        <row r="231">
          <cell r="N231">
            <v>-136664.01999999999</v>
          </cell>
          <cell r="O231" t="str">
            <v>S</v>
          </cell>
          <cell r="Q231" t="str">
            <v>Service</v>
          </cell>
          <cell r="R231" t="str">
            <v>M/O Client</v>
          </cell>
        </row>
        <row r="232">
          <cell r="N232">
            <v>-161396.21</v>
          </cell>
          <cell r="O232" t="str">
            <v>S</v>
          </cell>
          <cell r="Q232" t="str">
            <v>Service</v>
          </cell>
          <cell r="R232" t="str">
            <v>M/O Garantie</v>
          </cell>
        </row>
        <row r="233">
          <cell r="N233">
            <v>-87427.78</v>
          </cell>
          <cell r="O233" t="str">
            <v>S</v>
          </cell>
          <cell r="Q233" t="str">
            <v>Service</v>
          </cell>
          <cell r="R233" t="str">
            <v>M/O Interne</v>
          </cell>
        </row>
        <row r="234">
          <cell r="N234">
            <v>-30743.91</v>
          </cell>
          <cell r="O234" t="str">
            <v>S</v>
          </cell>
          <cell r="Q234" t="str">
            <v>Service</v>
          </cell>
          <cell r="R234" t="str">
            <v>Sous-traitement</v>
          </cell>
        </row>
        <row r="235">
          <cell r="N235">
            <v>-479.85</v>
          </cell>
          <cell r="O235" t="str">
            <v>S</v>
          </cell>
          <cell r="Q235" t="str">
            <v>Service</v>
          </cell>
          <cell r="R235" t="str">
            <v>Sous-traitement</v>
          </cell>
        </row>
        <row r="236">
          <cell r="N236">
            <v>-33533.919999999998</v>
          </cell>
          <cell r="O236" t="str">
            <v>S</v>
          </cell>
          <cell r="Q236" t="str">
            <v>Service</v>
          </cell>
          <cell r="R236" t="str">
            <v>M/O Esthétique</v>
          </cell>
        </row>
        <row r="237">
          <cell r="N237">
            <v>-2731.25</v>
          </cell>
          <cell r="O237" t="str">
            <v>S</v>
          </cell>
          <cell r="Q237" t="str">
            <v>Service</v>
          </cell>
          <cell r="R237" t="str">
            <v>Sous-traitement</v>
          </cell>
        </row>
        <row r="238">
          <cell r="N238">
            <v>-23766.53</v>
          </cell>
          <cell r="O238" t="str">
            <v>S</v>
          </cell>
          <cell r="Q238" t="str">
            <v>Pièces</v>
          </cell>
          <cell r="R238" t="str">
            <v>Pièces Ro Clients</v>
          </cell>
        </row>
        <row r="239">
          <cell r="N239">
            <v>-28.09</v>
          </cell>
          <cell r="O239" t="str">
            <v>S</v>
          </cell>
          <cell r="Q239" t="str">
            <v>Pièces</v>
          </cell>
          <cell r="R239" t="str">
            <v>Pièces Ro Carrosserie</v>
          </cell>
        </row>
        <row r="240">
          <cell r="N240">
            <v>-35161.379999999997</v>
          </cell>
          <cell r="O240" t="str">
            <v>S</v>
          </cell>
          <cell r="Q240" t="str">
            <v>Pièces</v>
          </cell>
          <cell r="R240" t="str">
            <v>P/A Garantie</v>
          </cell>
        </row>
        <row r="241">
          <cell r="N241">
            <v>-69960.63</v>
          </cell>
          <cell r="O241" t="str">
            <v>S</v>
          </cell>
          <cell r="Q241" t="str">
            <v>Pièces</v>
          </cell>
          <cell r="R241" t="str">
            <v>Ventes Internes</v>
          </cell>
        </row>
        <row r="242">
          <cell r="N242">
            <v>-8796.0300000000007</v>
          </cell>
          <cell r="O242" t="str">
            <v>S</v>
          </cell>
          <cell r="Q242" t="str">
            <v>Pièces</v>
          </cell>
          <cell r="R242" t="str">
            <v>Ventes Détails</v>
          </cell>
        </row>
        <row r="243">
          <cell r="N243">
            <v>-77950.06</v>
          </cell>
          <cell r="O243" t="str">
            <v>S</v>
          </cell>
          <cell r="Q243" t="str">
            <v>Pièces</v>
          </cell>
          <cell r="R243" t="str">
            <v>Ventes de Gros</v>
          </cell>
        </row>
        <row r="244">
          <cell r="N244">
            <v>-133503.89000000001</v>
          </cell>
          <cell r="O244" t="str">
            <v>S</v>
          </cell>
          <cell r="Q244" t="str">
            <v>Pièces</v>
          </cell>
          <cell r="R244" t="str">
            <v>Pièces Ro Clients</v>
          </cell>
        </row>
        <row r="245">
          <cell r="N245">
            <v>-55</v>
          </cell>
          <cell r="O245" t="str">
            <v>S</v>
          </cell>
          <cell r="Q245" t="str">
            <v>Pièces</v>
          </cell>
          <cell r="R245" t="str">
            <v>Pièces Ro Carrosserie</v>
          </cell>
        </row>
        <row r="246">
          <cell r="N246">
            <v>-268300.92</v>
          </cell>
          <cell r="O246" t="str">
            <v>S</v>
          </cell>
          <cell r="Q246" t="str">
            <v>Pièces</v>
          </cell>
          <cell r="R246" t="str">
            <v>P/A Garantie</v>
          </cell>
        </row>
        <row r="247">
          <cell r="N247">
            <v>-65094.48</v>
          </cell>
          <cell r="O247" t="str">
            <v>S</v>
          </cell>
          <cell r="Q247" t="str">
            <v>Pièces</v>
          </cell>
          <cell r="R247" t="str">
            <v>Ventes Internes</v>
          </cell>
        </row>
        <row r="248">
          <cell r="N248">
            <v>-22803.279999999999</v>
          </cell>
          <cell r="O248" t="str">
            <v>S</v>
          </cell>
          <cell r="Q248" t="str">
            <v>Pièces</v>
          </cell>
          <cell r="R248" t="str">
            <v>Ventes Détails</v>
          </cell>
        </row>
        <row r="249">
          <cell r="N249">
            <v>-291427.71000000002</v>
          </cell>
          <cell r="O249" t="str">
            <v>S</v>
          </cell>
          <cell r="Q249" t="str">
            <v>Pièces</v>
          </cell>
          <cell r="R249" t="str">
            <v>Ventes de Gros</v>
          </cell>
        </row>
        <row r="250">
          <cell r="N250">
            <v>-14.02</v>
          </cell>
          <cell r="O250" t="str">
            <v>S</v>
          </cell>
          <cell r="Q250" t="str">
            <v>Pièces</v>
          </cell>
          <cell r="R250" t="str">
            <v>Pièces Ro Clients</v>
          </cell>
        </row>
        <row r="251">
          <cell r="N251">
            <v>-12.87</v>
          </cell>
          <cell r="O251" t="str">
            <v>S</v>
          </cell>
          <cell r="Q251" t="str">
            <v>Pièces</v>
          </cell>
          <cell r="R251" t="str">
            <v>Ventes Internes</v>
          </cell>
        </row>
        <row r="252">
          <cell r="N252">
            <v>-31879.97</v>
          </cell>
          <cell r="O252" t="str">
            <v>S</v>
          </cell>
          <cell r="Q252" t="str">
            <v>Pièces</v>
          </cell>
          <cell r="R252" t="str">
            <v>Huiles et Graisse</v>
          </cell>
        </row>
        <row r="253">
          <cell r="N253">
            <v>-41824.19</v>
          </cell>
          <cell r="O253" t="str">
            <v>S</v>
          </cell>
          <cell r="Q253" t="str">
            <v>Pièces</v>
          </cell>
          <cell r="R253" t="str">
            <v>Ventes Pneus</v>
          </cell>
        </row>
        <row r="254">
          <cell r="N254">
            <v>-79.95</v>
          </cell>
          <cell r="O254" t="str">
            <v>S</v>
          </cell>
          <cell r="Q254" t="str">
            <v>Pièces</v>
          </cell>
          <cell r="R254" t="str">
            <v>Pièces Ro Clients</v>
          </cell>
        </row>
        <row r="255">
          <cell r="N255">
            <v>-5938.98</v>
          </cell>
          <cell r="O255" t="str">
            <v>S</v>
          </cell>
          <cell r="Q255" t="str">
            <v>Pièces</v>
          </cell>
          <cell r="R255" t="str">
            <v>Huiles et Graisse</v>
          </cell>
        </row>
        <row r="256">
          <cell r="N256">
            <v>-55735.38</v>
          </cell>
          <cell r="O256" t="str">
            <v>S</v>
          </cell>
          <cell r="Q256" t="str">
            <v>Pièces</v>
          </cell>
          <cell r="R256" t="str">
            <v>Ventes Pneus</v>
          </cell>
        </row>
        <row r="257">
          <cell r="N257">
            <v>456.28</v>
          </cell>
          <cell r="O257" t="str">
            <v>S</v>
          </cell>
          <cell r="Q257" t="str">
            <v>Pièces</v>
          </cell>
          <cell r="R257" t="str">
            <v>Pièces Ro Clients</v>
          </cell>
        </row>
        <row r="258">
          <cell r="N258">
            <v>-3439.39</v>
          </cell>
          <cell r="O258" t="str">
            <v>S</v>
          </cell>
          <cell r="Q258" t="str">
            <v>Carrosserie</v>
          </cell>
          <cell r="R258" t="str">
            <v>M/O Sous-traitement</v>
          </cell>
        </row>
        <row r="259">
          <cell r="N259">
            <v>-3907.46</v>
          </cell>
          <cell r="O259" t="str">
            <v>S</v>
          </cell>
          <cell r="Q259" t="str">
            <v>Carrosserie</v>
          </cell>
          <cell r="R259" t="str">
            <v>M/O Sous-traitement</v>
          </cell>
        </row>
        <row r="260">
          <cell r="N260">
            <v>-3309.41</v>
          </cell>
          <cell r="O260" t="str">
            <v>S</v>
          </cell>
          <cell r="Q260" t="str">
            <v>Carrosserie</v>
          </cell>
          <cell r="R260" t="str">
            <v>M/O Sous-traitement</v>
          </cell>
        </row>
        <row r="261">
          <cell r="N261">
            <v>6523.96</v>
          </cell>
          <cell r="O261" t="str">
            <v>C</v>
          </cell>
          <cell r="Q261" t="str">
            <v>Service</v>
          </cell>
          <cell r="R261" t="str">
            <v>M/O Client</v>
          </cell>
        </row>
        <row r="262">
          <cell r="N262">
            <v>13799.32</v>
          </cell>
          <cell r="O262" t="str">
            <v>C</v>
          </cell>
          <cell r="Q262" t="str">
            <v>Service</v>
          </cell>
          <cell r="R262" t="str">
            <v>M/O Garantie</v>
          </cell>
        </row>
        <row r="263">
          <cell r="N263">
            <v>6990.27</v>
          </cell>
          <cell r="O263" t="str">
            <v>C</v>
          </cell>
          <cell r="Q263" t="str">
            <v>Service</v>
          </cell>
          <cell r="R263" t="str">
            <v>M/O Interne</v>
          </cell>
        </row>
        <row r="264">
          <cell r="N264">
            <v>12069</v>
          </cell>
          <cell r="O264" t="str">
            <v>C</v>
          </cell>
          <cell r="Q264" t="str">
            <v>Service</v>
          </cell>
          <cell r="R264" t="str">
            <v>Sous-traitement</v>
          </cell>
        </row>
        <row r="265">
          <cell r="N265">
            <v>240</v>
          </cell>
          <cell r="O265" t="str">
            <v>C</v>
          </cell>
          <cell r="Q265" t="str">
            <v>Service</v>
          </cell>
          <cell r="R265" t="str">
            <v>Sous-traitement</v>
          </cell>
        </row>
        <row r="266">
          <cell r="N266">
            <v>9627.15</v>
          </cell>
          <cell r="O266" t="str">
            <v>C</v>
          </cell>
          <cell r="Q266" t="str">
            <v>Service</v>
          </cell>
          <cell r="R266" t="str">
            <v>M/O Esthétique</v>
          </cell>
        </row>
        <row r="267">
          <cell r="N267">
            <v>27263.37</v>
          </cell>
          <cell r="O267" t="str">
            <v>C</v>
          </cell>
          <cell r="Q267" t="str">
            <v>Service</v>
          </cell>
          <cell r="R267" t="str">
            <v>M/O Client</v>
          </cell>
        </row>
        <row r="268">
          <cell r="N268">
            <v>52397.95</v>
          </cell>
          <cell r="O268" t="str">
            <v>C</v>
          </cell>
          <cell r="Q268" t="str">
            <v>Service</v>
          </cell>
          <cell r="R268" t="str">
            <v>M/O Garantie</v>
          </cell>
        </row>
        <row r="269">
          <cell r="N269">
            <v>13996.87</v>
          </cell>
          <cell r="O269" t="str">
            <v>C</v>
          </cell>
          <cell r="Q269" t="str">
            <v>Service</v>
          </cell>
          <cell r="R269" t="str">
            <v>M/O Interne</v>
          </cell>
        </row>
        <row r="270">
          <cell r="N270">
            <v>23991.1</v>
          </cell>
          <cell r="O270" t="str">
            <v>C</v>
          </cell>
          <cell r="Q270" t="str">
            <v>Service</v>
          </cell>
          <cell r="R270" t="str">
            <v>Sous-traitement</v>
          </cell>
        </row>
        <row r="271">
          <cell r="N271">
            <v>320</v>
          </cell>
          <cell r="O271" t="str">
            <v>C</v>
          </cell>
          <cell r="Q271" t="str">
            <v>Service</v>
          </cell>
          <cell r="R271" t="str">
            <v>Sous-traitement</v>
          </cell>
        </row>
        <row r="272">
          <cell r="N272">
            <v>24161.05</v>
          </cell>
          <cell r="O272" t="str">
            <v>C</v>
          </cell>
          <cell r="Q272" t="str">
            <v>Service</v>
          </cell>
          <cell r="R272" t="str">
            <v>M/O Esthétique</v>
          </cell>
        </row>
        <row r="273">
          <cell r="N273">
            <v>2201</v>
          </cell>
          <cell r="O273" t="str">
            <v>C</v>
          </cell>
          <cell r="Q273" t="str">
            <v>Service</v>
          </cell>
          <cell r="R273" t="str">
            <v>Sous-traitement</v>
          </cell>
        </row>
        <row r="274">
          <cell r="N274">
            <v>3599.37</v>
          </cell>
          <cell r="O274" t="str">
            <v>C</v>
          </cell>
          <cell r="Q274" t="str">
            <v>Service</v>
          </cell>
          <cell r="R274" t="str">
            <v>Ajustement M/O</v>
          </cell>
        </row>
        <row r="275">
          <cell r="N275">
            <v>7223.46</v>
          </cell>
          <cell r="O275" t="str">
            <v>C</v>
          </cell>
          <cell r="Q275" t="str">
            <v>Service</v>
          </cell>
          <cell r="R275" t="str">
            <v>Ajustement M/O</v>
          </cell>
        </row>
        <row r="276">
          <cell r="N276">
            <v>14258.37</v>
          </cell>
          <cell r="O276" t="str">
            <v>C</v>
          </cell>
          <cell r="Q276" t="str">
            <v>Pièces</v>
          </cell>
          <cell r="R276" t="str">
            <v>Pièces Ro Clients</v>
          </cell>
        </row>
        <row r="277">
          <cell r="N277">
            <v>17.329999999999998</v>
          </cell>
          <cell r="O277" t="str">
            <v>C</v>
          </cell>
          <cell r="Q277" t="str">
            <v>Pièces</v>
          </cell>
          <cell r="R277" t="str">
            <v>Pièces Ro Carrosserie</v>
          </cell>
        </row>
        <row r="278">
          <cell r="N278">
            <v>25234.400000000001</v>
          </cell>
          <cell r="O278" t="str">
            <v>C</v>
          </cell>
          <cell r="Q278" t="str">
            <v>Pièces</v>
          </cell>
          <cell r="R278" t="str">
            <v>P/A Garantie</v>
          </cell>
        </row>
        <row r="279">
          <cell r="N279">
            <v>48761.61</v>
          </cell>
          <cell r="O279" t="str">
            <v>C</v>
          </cell>
          <cell r="Q279" t="str">
            <v>Pièces</v>
          </cell>
          <cell r="R279" t="str">
            <v>Ventes Internes</v>
          </cell>
        </row>
        <row r="280">
          <cell r="N280">
            <v>6697.97</v>
          </cell>
          <cell r="O280" t="str">
            <v>C</v>
          </cell>
          <cell r="Q280" t="str">
            <v>Pièces</v>
          </cell>
          <cell r="R280" t="str">
            <v>Ventes Détails</v>
          </cell>
        </row>
        <row r="281">
          <cell r="N281">
            <v>58008.42</v>
          </cell>
          <cell r="O281" t="str">
            <v>C</v>
          </cell>
          <cell r="Q281" t="str">
            <v>Pièces</v>
          </cell>
          <cell r="R281" t="str">
            <v>Ventes de Gros</v>
          </cell>
        </row>
        <row r="282">
          <cell r="N282">
            <v>80499.95</v>
          </cell>
          <cell r="O282" t="str">
            <v>C</v>
          </cell>
          <cell r="Q282" t="str">
            <v>Pièces</v>
          </cell>
          <cell r="R282" t="str">
            <v>Pièces Ro Clients</v>
          </cell>
        </row>
        <row r="283">
          <cell r="N283">
            <v>50</v>
          </cell>
          <cell r="O283" t="str">
            <v>C</v>
          </cell>
          <cell r="Q283" t="str">
            <v>Pièces</v>
          </cell>
          <cell r="R283" t="str">
            <v>Pièces Ro Carrosserie</v>
          </cell>
        </row>
        <row r="284">
          <cell r="N284">
            <v>192199.28</v>
          </cell>
          <cell r="O284" t="str">
            <v>C</v>
          </cell>
          <cell r="Q284" t="str">
            <v>Pièces</v>
          </cell>
          <cell r="R284" t="str">
            <v>P/A Garantie</v>
          </cell>
        </row>
        <row r="285">
          <cell r="N285">
            <v>42427.97</v>
          </cell>
          <cell r="O285" t="str">
            <v>C</v>
          </cell>
          <cell r="Q285" t="str">
            <v>Pièces</v>
          </cell>
          <cell r="R285" t="str">
            <v>Ventes Internes</v>
          </cell>
        </row>
        <row r="286">
          <cell r="N286">
            <v>16226.62</v>
          </cell>
          <cell r="O286" t="str">
            <v>C</v>
          </cell>
          <cell r="Q286" t="str">
            <v>Pièces</v>
          </cell>
          <cell r="R286" t="str">
            <v>Ventes Détails</v>
          </cell>
        </row>
        <row r="287">
          <cell r="N287">
            <v>218205.53</v>
          </cell>
          <cell r="O287" t="str">
            <v>C</v>
          </cell>
          <cell r="Q287" t="str">
            <v>Pièces</v>
          </cell>
          <cell r="R287" t="str">
            <v>Ventes de Gros</v>
          </cell>
        </row>
        <row r="288">
          <cell r="N288">
            <v>10.99</v>
          </cell>
          <cell r="O288" t="str">
            <v>C</v>
          </cell>
          <cell r="Q288" t="str">
            <v>Pièces</v>
          </cell>
          <cell r="R288" t="str">
            <v>Pièces Ro Clients</v>
          </cell>
        </row>
        <row r="289">
          <cell r="N289">
            <v>5.72</v>
          </cell>
          <cell r="O289" t="str">
            <v>C</v>
          </cell>
          <cell r="Q289" t="str">
            <v>Pièces</v>
          </cell>
          <cell r="R289" t="str">
            <v>Ventes Internes</v>
          </cell>
        </row>
        <row r="290">
          <cell r="N290">
            <v>23952.79</v>
          </cell>
          <cell r="O290" t="str">
            <v>C</v>
          </cell>
          <cell r="Q290" t="str">
            <v>Pièces</v>
          </cell>
          <cell r="R290" t="str">
            <v>Huiles et Graisse</v>
          </cell>
        </row>
        <row r="291">
          <cell r="N291">
            <v>34556.18</v>
          </cell>
          <cell r="O291" t="str">
            <v>C</v>
          </cell>
          <cell r="Q291" t="str">
            <v>Pièces</v>
          </cell>
          <cell r="R291" t="str">
            <v>Ventes Pneus</v>
          </cell>
        </row>
        <row r="292">
          <cell r="N292">
            <v>40</v>
          </cell>
          <cell r="O292" t="str">
            <v>C</v>
          </cell>
          <cell r="Q292" t="str">
            <v>Pièces</v>
          </cell>
          <cell r="R292" t="str">
            <v>Pièces Ro Clients</v>
          </cell>
        </row>
        <row r="293">
          <cell r="N293">
            <v>45219.01</v>
          </cell>
          <cell r="O293" t="str">
            <v>C</v>
          </cell>
          <cell r="Q293" t="str">
            <v>Pièces</v>
          </cell>
          <cell r="R293" t="str">
            <v>Ventes Pneus</v>
          </cell>
        </row>
        <row r="294">
          <cell r="N294">
            <v>-456.28</v>
          </cell>
          <cell r="O294" t="str">
            <v>C</v>
          </cell>
          <cell r="Q294" t="str">
            <v>Pièces</v>
          </cell>
          <cell r="R294" t="str">
            <v>Pièces Ro Clients</v>
          </cell>
        </row>
        <row r="295">
          <cell r="N295">
            <v>1594.71</v>
          </cell>
          <cell r="O295" t="str">
            <v>C</v>
          </cell>
          <cell r="Q295" t="str">
            <v>Pièces</v>
          </cell>
          <cell r="R295" t="str">
            <v>Escomptes</v>
          </cell>
        </row>
        <row r="296">
          <cell r="N296">
            <v>5797.79</v>
          </cell>
          <cell r="O296" t="str">
            <v>C</v>
          </cell>
          <cell r="Q296" t="str">
            <v>Pièces</v>
          </cell>
          <cell r="R296" t="str">
            <v>Escomptes</v>
          </cell>
        </row>
        <row r="297">
          <cell r="N297">
            <v>2101.7800000000002</v>
          </cell>
          <cell r="O297" t="str">
            <v>C</v>
          </cell>
          <cell r="Q297" t="str">
            <v>Carrosserie</v>
          </cell>
          <cell r="R297" t="str">
            <v>M/O Sous-traitement</v>
          </cell>
        </row>
        <row r="298">
          <cell r="N298">
            <v>3256.24</v>
          </cell>
          <cell r="O298" t="str">
            <v>C</v>
          </cell>
          <cell r="Q298" t="str">
            <v>Carrosserie</v>
          </cell>
          <cell r="R298" t="str">
            <v>M/O Sous-traitement</v>
          </cell>
        </row>
        <row r="299">
          <cell r="N299">
            <v>1411.44</v>
          </cell>
          <cell r="O299" t="str">
            <v>C</v>
          </cell>
          <cell r="Q299" t="str">
            <v>Carrosserie</v>
          </cell>
          <cell r="R299" t="str">
            <v>M/O Sous-traitement</v>
          </cell>
        </row>
        <row r="300">
          <cell r="N300">
            <v>-72383</v>
          </cell>
          <cell r="O300" t="str">
            <v>S</v>
          </cell>
          <cell r="Q300" t="str">
            <v>Véhicules usagés</v>
          </cell>
          <cell r="R300" t="str">
            <v>Certifié</v>
          </cell>
        </row>
        <row r="301">
          <cell r="N301">
            <v>-106998</v>
          </cell>
          <cell r="O301" t="str">
            <v>S</v>
          </cell>
          <cell r="Q301" t="str">
            <v>Véhicules usagés</v>
          </cell>
          <cell r="R301" t="str">
            <v>Certifié</v>
          </cell>
        </row>
        <row r="302">
          <cell r="N302">
            <v>-66998</v>
          </cell>
          <cell r="O302" t="str">
            <v>S</v>
          </cell>
          <cell r="Q302" t="str">
            <v>Véhicules usagés</v>
          </cell>
          <cell r="R302" t="str">
            <v>Certifié</v>
          </cell>
        </row>
        <row r="303">
          <cell r="N303">
            <v>-899</v>
          </cell>
          <cell r="O303" t="str">
            <v>S</v>
          </cell>
          <cell r="Q303" t="str">
            <v>Véhicules usagés</v>
          </cell>
          <cell r="R303" t="str">
            <v>Rev. Protections</v>
          </cell>
        </row>
        <row r="304">
          <cell r="N304">
            <v>-2310</v>
          </cell>
          <cell r="O304" t="str">
            <v>S</v>
          </cell>
          <cell r="Q304" t="str">
            <v>Véhicules usagés</v>
          </cell>
          <cell r="R304" t="str">
            <v>Rev. Protections</v>
          </cell>
        </row>
        <row r="305">
          <cell r="N305">
            <v>-648.95000000000005</v>
          </cell>
          <cell r="O305" t="str">
            <v>S</v>
          </cell>
          <cell r="Q305" t="str">
            <v>Véhicules usagés</v>
          </cell>
          <cell r="R305" t="str">
            <v>Rev. Protections</v>
          </cell>
        </row>
        <row r="306">
          <cell r="N306">
            <v>-4834.21</v>
          </cell>
          <cell r="O306" t="str">
            <v>S</v>
          </cell>
          <cell r="Q306" t="str">
            <v>Véhicules usagés</v>
          </cell>
          <cell r="R306" t="str">
            <v>Rev. Protections</v>
          </cell>
        </row>
        <row r="307">
          <cell r="N307">
            <v>-72569.47</v>
          </cell>
          <cell r="O307" t="str">
            <v>S</v>
          </cell>
          <cell r="Q307" t="str">
            <v>Véhicules neufs</v>
          </cell>
          <cell r="R307" t="str">
            <v>Rachat bail</v>
          </cell>
        </row>
        <row r="308">
          <cell r="N308">
            <v>-180855.17</v>
          </cell>
          <cell r="O308" t="str">
            <v>S</v>
          </cell>
          <cell r="Q308" t="str">
            <v>Véhicules usagés</v>
          </cell>
          <cell r="R308" t="str">
            <v>Certifié</v>
          </cell>
        </row>
        <row r="309">
          <cell r="N309">
            <v>-65179.67</v>
          </cell>
          <cell r="O309" t="str">
            <v>S</v>
          </cell>
          <cell r="Q309" t="str">
            <v>Véhicules usagés</v>
          </cell>
          <cell r="R309" t="str">
            <v>Certifié</v>
          </cell>
        </row>
        <row r="310">
          <cell r="N310">
            <v>-472757</v>
          </cell>
          <cell r="O310" t="str">
            <v>S</v>
          </cell>
          <cell r="Q310" t="str">
            <v>Véhicules usagés</v>
          </cell>
          <cell r="R310" t="str">
            <v>Certifié</v>
          </cell>
        </row>
        <row r="311">
          <cell r="N311">
            <v>-254890</v>
          </cell>
          <cell r="O311" t="str">
            <v>S</v>
          </cell>
          <cell r="Q311" t="str">
            <v>Véhicules usagés</v>
          </cell>
          <cell r="R311" t="str">
            <v>Certifié</v>
          </cell>
        </row>
        <row r="312">
          <cell r="N312">
            <v>-64700</v>
          </cell>
          <cell r="O312" t="str">
            <v>S</v>
          </cell>
          <cell r="Q312" t="str">
            <v>Véhicules usagés</v>
          </cell>
          <cell r="R312" t="str">
            <v>Certifié</v>
          </cell>
        </row>
        <row r="313">
          <cell r="N313">
            <v>-15299.52</v>
          </cell>
          <cell r="O313" t="str">
            <v>S</v>
          </cell>
          <cell r="Q313" t="str">
            <v>Véhicules usagés</v>
          </cell>
          <cell r="R313" t="str">
            <v>Rev. Protections</v>
          </cell>
        </row>
        <row r="314">
          <cell r="N314">
            <v>-1348</v>
          </cell>
          <cell r="O314" t="str">
            <v>S</v>
          </cell>
          <cell r="Q314" t="str">
            <v>Véhicules usagés</v>
          </cell>
          <cell r="R314" t="str">
            <v>Rev. Protections</v>
          </cell>
        </row>
        <row r="315">
          <cell r="N315">
            <v>-12802</v>
          </cell>
          <cell r="O315" t="str">
            <v>S</v>
          </cell>
          <cell r="Q315" t="str">
            <v>Véhicules usagés</v>
          </cell>
          <cell r="R315" t="str">
            <v>Rev. Protections</v>
          </cell>
        </row>
        <row r="316">
          <cell r="N316">
            <v>-1298</v>
          </cell>
          <cell r="O316" t="str">
            <v>S</v>
          </cell>
          <cell r="Q316" t="str">
            <v>Véhicules usagés</v>
          </cell>
          <cell r="R316" t="str">
            <v>Rev. Protections</v>
          </cell>
        </row>
        <row r="317">
          <cell r="N317">
            <v>-250</v>
          </cell>
          <cell r="O317" t="str">
            <v>S</v>
          </cell>
          <cell r="Q317" t="str">
            <v>Véhicules usagés</v>
          </cell>
          <cell r="R317" t="str">
            <v>Rev. Autres</v>
          </cell>
        </row>
        <row r="318">
          <cell r="N318">
            <v>-77470</v>
          </cell>
          <cell r="O318" t="str">
            <v>S</v>
          </cell>
          <cell r="Q318" t="str">
            <v>Véhicules usagés</v>
          </cell>
          <cell r="R318" t="str">
            <v>Non Certifié</v>
          </cell>
        </row>
        <row r="319">
          <cell r="N319">
            <v>-24175</v>
          </cell>
          <cell r="O319" t="str">
            <v>S</v>
          </cell>
          <cell r="Q319" t="str">
            <v>Véhicules usagés</v>
          </cell>
          <cell r="R319" t="str">
            <v>Rev. Protections</v>
          </cell>
        </row>
        <row r="320">
          <cell r="N320">
            <v>-900072.3</v>
          </cell>
          <cell r="O320" t="str">
            <v>S</v>
          </cell>
          <cell r="Q320" t="str">
            <v>Véhicules neufs</v>
          </cell>
          <cell r="R320" t="str">
            <v>Rachat bail</v>
          </cell>
        </row>
        <row r="321">
          <cell r="N321">
            <v>-538592.22</v>
          </cell>
          <cell r="O321" t="str">
            <v>S</v>
          </cell>
          <cell r="Q321" t="str">
            <v>Véhicules usagés</v>
          </cell>
          <cell r="R321" t="str">
            <v>Non Certifié</v>
          </cell>
        </row>
        <row r="322">
          <cell r="N322">
            <v>-3945</v>
          </cell>
          <cell r="O322" t="str">
            <v>S</v>
          </cell>
          <cell r="Q322" t="str">
            <v>Véhicules usagés</v>
          </cell>
          <cell r="R322" t="str">
            <v>Rev. Protections</v>
          </cell>
        </row>
        <row r="323">
          <cell r="N323">
            <v>-113103</v>
          </cell>
          <cell r="O323" t="str">
            <v>S</v>
          </cell>
          <cell r="Q323" t="str">
            <v>Véhicules usagés</v>
          </cell>
          <cell r="R323" t="str">
            <v>Ventes au Gros</v>
          </cell>
        </row>
        <row r="324">
          <cell r="N324">
            <v>-881801.65</v>
          </cell>
          <cell r="O324" t="str">
            <v>S</v>
          </cell>
          <cell r="Q324" t="str">
            <v>Véhicules usagés</v>
          </cell>
          <cell r="R324" t="str">
            <v>ventes au gros</v>
          </cell>
        </row>
        <row r="325">
          <cell r="N325">
            <v>-1047143.95</v>
          </cell>
          <cell r="O325" t="str">
            <v>S</v>
          </cell>
          <cell r="Q325" t="str">
            <v>Véhicules usagés</v>
          </cell>
          <cell r="R325" t="str">
            <v>ventes au gros</v>
          </cell>
        </row>
        <row r="326">
          <cell r="N326">
            <v>70037.48</v>
          </cell>
          <cell r="O326" t="str">
            <v>C</v>
          </cell>
          <cell r="Q326" t="str">
            <v>Véhicules usagés</v>
          </cell>
          <cell r="R326" t="str">
            <v>Certifié</v>
          </cell>
        </row>
        <row r="327">
          <cell r="N327">
            <v>99242.74</v>
          </cell>
          <cell r="O327" t="str">
            <v>C</v>
          </cell>
          <cell r="Q327" t="str">
            <v>Véhicules usagés</v>
          </cell>
          <cell r="R327" t="str">
            <v>Certifié</v>
          </cell>
        </row>
        <row r="328">
          <cell r="N328">
            <v>65778.19</v>
          </cell>
          <cell r="O328" t="str">
            <v>C</v>
          </cell>
          <cell r="Q328" t="str">
            <v>Véhicules usagés</v>
          </cell>
          <cell r="R328" t="str">
            <v>Certifié</v>
          </cell>
        </row>
        <row r="329">
          <cell r="N329">
            <v>209.81</v>
          </cell>
          <cell r="O329" t="str">
            <v>C</v>
          </cell>
          <cell r="Q329" t="str">
            <v>Véhicules usagés</v>
          </cell>
          <cell r="R329" t="str">
            <v>Rev. Protections</v>
          </cell>
        </row>
        <row r="330">
          <cell r="N330">
            <v>1335</v>
          </cell>
          <cell r="O330" t="str">
            <v>C</v>
          </cell>
          <cell r="Q330" t="str">
            <v>Véhicules usagés</v>
          </cell>
          <cell r="R330" t="str">
            <v>Rev. Protections</v>
          </cell>
        </row>
        <row r="331">
          <cell r="N331">
            <v>362.5</v>
          </cell>
          <cell r="O331" t="str">
            <v>C</v>
          </cell>
          <cell r="Q331" t="str">
            <v>Véhicules usagés</v>
          </cell>
          <cell r="R331" t="str">
            <v>Rev. Protections</v>
          </cell>
        </row>
        <row r="332">
          <cell r="N332">
            <v>1661.27</v>
          </cell>
          <cell r="O332" t="str">
            <v>C</v>
          </cell>
          <cell r="Q332" t="str">
            <v>Véhicules usagés</v>
          </cell>
          <cell r="R332" t="str">
            <v>Certifié</v>
          </cell>
        </row>
        <row r="333">
          <cell r="N333">
            <v>1981.35</v>
          </cell>
          <cell r="O333" t="str">
            <v>C</v>
          </cell>
          <cell r="Q333" t="str">
            <v>Véhicules usagés</v>
          </cell>
          <cell r="R333" t="str">
            <v>Certifié</v>
          </cell>
        </row>
        <row r="334">
          <cell r="N334">
            <v>1677.44</v>
          </cell>
          <cell r="O334" t="str">
            <v>C</v>
          </cell>
          <cell r="Q334" t="str">
            <v>Véhicules usagés</v>
          </cell>
          <cell r="R334" t="str">
            <v>Certifié</v>
          </cell>
        </row>
        <row r="335">
          <cell r="N335">
            <v>3304.88</v>
          </cell>
          <cell r="O335" t="str">
            <v>C</v>
          </cell>
          <cell r="Q335" t="str">
            <v>Véhicules usagés</v>
          </cell>
          <cell r="R335" t="str">
            <v>Certifié</v>
          </cell>
        </row>
        <row r="336">
          <cell r="N336">
            <v>-1344.16</v>
          </cell>
          <cell r="O336" t="str">
            <v>C</v>
          </cell>
          <cell r="Q336" t="str">
            <v>Véhicules usagés</v>
          </cell>
          <cell r="R336" t="str">
            <v>Rev. Finances</v>
          </cell>
        </row>
        <row r="337">
          <cell r="N337">
            <v>2880.42</v>
          </cell>
          <cell r="O337" t="str">
            <v>C</v>
          </cell>
          <cell r="Q337" t="str">
            <v>Véhicules usagés</v>
          </cell>
          <cell r="R337" t="str">
            <v>Rev. Protections</v>
          </cell>
        </row>
        <row r="338">
          <cell r="N338">
            <v>69523.08</v>
          </cell>
          <cell r="O338" t="str">
            <v>C</v>
          </cell>
          <cell r="Q338" t="str">
            <v>Véhicules neufs</v>
          </cell>
          <cell r="R338" t="str">
            <v>Rachat bail</v>
          </cell>
        </row>
        <row r="339">
          <cell r="N339">
            <v>166673.82</v>
          </cell>
          <cell r="O339" t="str">
            <v>C</v>
          </cell>
          <cell r="Q339" t="str">
            <v>Véhicules usagés</v>
          </cell>
          <cell r="R339" t="str">
            <v>Certifié</v>
          </cell>
        </row>
        <row r="340">
          <cell r="N340">
            <v>67769.02</v>
          </cell>
          <cell r="O340" t="str">
            <v>C</v>
          </cell>
          <cell r="Q340" t="str">
            <v>Véhicules usagés</v>
          </cell>
          <cell r="R340" t="str">
            <v>Certifié</v>
          </cell>
        </row>
        <row r="341">
          <cell r="N341">
            <v>459952.26</v>
          </cell>
          <cell r="O341" t="str">
            <v>C</v>
          </cell>
          <cell r="Q341" t="str">
            <v>Véhicules usagés</v>
          </cell>
          <cell r="R341" t="str">
            <v>Certifié</v>
          </cell>
        </row>
        <row r="342">
          <cell r="N342">
            <v>247745.03</v>
          </cell>
          <cell r="O342" t="str">
            <v>C</v>
          </cell>
          <cell r="Q342" t="str">
            <v>Véhicules usagés</v>
          </cell>
          <cell r="R342" t="str">
            <v>Certifié</v>
          </cell>
        </row>
        <row r="343">
          <cell r="N343">
            <v>61161.75</v>
          </cell>
          <cell r="O343" t="str">
            <v>C</v>
          </cell>
          <cell r="Q343" t="str">
            <v>Véhicules usagés</v>
          </cell>
          <cell r="R343" t="str">
            <v>Certifié</v>
          </cell>
        </row>
        <row r="344">
          <cell r="N344">
            <v>8572.23</v>
          </cell>
          <cell r="O344" t="str">
            <v>C</v>
          </cell>
          <cell r="Q344" t="str">
            <v>Véhicules usagés</v>
          </cell>
          <cell r="R344" t="str">
            <v>Rev. Protections</v>
          </cell>
        </row>
        <row r="345">
          <cell r="N345">
            <v>-501.42</v>
          </cell>
          <cell r="O345" t="str">
            <v>C</v>
          </cell>
          <cell r="Q345" t="str">
            <v>Véhicules usagés</v>
          </cell>
          <cell r="R345" t="str">
            <v>Rev. Protections</v>
          </cell>
        </row>
        <row r="346">
          <cell r="N346">
            <v>360.56</v>
          </cell>
          <cell r="O346" t="str">
            <v>C</v>
          </cell>
          <cell r="Q346" t="str">
            <v>Véhicules usagés</v>
          </cell>
          <cell r="R346" t="str">
            <v>Rev. Protections</v>
          </cell>
        </row>
        <row r="347">
          <cell r="N347">
            <v>5758</v>
          </cell>
          <cell r="O347" t="str">
            <v>C</v>
          </cell>
          <cell r="Q347" t="str">
            <v>Véhicules usagés</v>
          </cell>
          <cell r="R347" t="str">
            <v>Rev. Protections</v>
          </cell>
        </row>
        <row r="348">
          <cell r="N348">
            <v>725</v>
          </cell>
          <cell r="O348" t="str">
            <v>C</v>
          </cell>
          <cell r="Q348" t="str">
            <v>Véhicules usagés</v>
          </cell>
          <cell r="R348" t="str">
            <v>Rev. Protections</v>
          </cell>
        </row>
        <row r="349">
          <cell r="N349">
            <v>100</v>
          </cell>
          <cell r="O349" t="str">
            <v>C</v>
          </cell>
          <cell r="Q349" t="str">
            <v>Véhicules usagés</v>
          </cell>
          <cell r="R349" t="str">
            <v>Rev. Autres</v>
          </cell>
        </row>
        <row r="350">
          <cell r="N350">
            <v>78760.639999999999</v>
          </cell>
          <cell r="O350" t="str">
            <v>C</v>
          </cell>
          <cell r="Q350" t="str">
            <v>Véhicules usagés</v>
          </cell>
          <cell r="R350" t="str">
            <v>Non Certifié</v>
          </cell>
        </row>
        <row r="351">
          <cell r="N351">
            <v>11969.91</v>
          </cell>
          <cell r="O351" t="str">
            <v>C</v>
          </cell>
          <cell r="Q351" t="str">
            <v>Véhicules usagés</v>
          </cell>
          <cell r="R351" t="str">
            <v>Certifié</v>
          </cell>
        </row>
        <row r="352">
          <cell r="N352">
            <v>1034.24</v>
          </cell>
          <cell r="O352" t="str">
            <v>C</v>
          </cell>
          <cell r="Q352" t="str">
            <v>Véhicules usagés</v>
          </cell>
          <cell r="R352" t="str">
            <v>Certifié</v>
          </cell>
        </row>
        <row r="353">
          <cell r="N353">
            <v>20752.71</v>
          </cell>
          <cell r="O353" t="str">
            <v>C</v>
          </cell>
          <cell r="Q353" t="str">
            <v>Véhicules usagés</v>
          </cell>
          <cell r="R353" t="str">
            <v>Certifié</v>
          </cell>
        </row>
        <row r="354">
          <cell r="N354">
            <v>10022.700000000001</v>
          </cell>
          <cell r="O354" t="str">
            <v>C</v>
          </cell>
          <cell r="Q354" t="str">
            <v>Véhicules usagés</v>
          </cell>
          <cell r="R354" t="str">
            <v>Certifié</v>
          </cell>
        </row>
        <row r="355">
          <cell r="N355">
            <v>2374.13</v>
          </cell>
          <cell r="O355" t="str">
            <v>C</v>
          </cell>
          <cell r="Q355" t="str">
            <v>Véhicules usagés</v>
          </cell>
          <cell r="R355" t="str">
            <v>Certifié</v>
          </cell>
        </row>
        <row r="356">
          <cell r="N356">
            <v>1030.47</v>
          </cell>
          <cell r="O356" t="str">
            <v>C</v>
          </cell>
          <cell r="Q356" t="str">
            <v>Véhicules usagés</v>
          </cell>
          <cell r="R356" t="str">
            <v>Non Certifié</v>
          </cell>
        </row>
        <row r="357">
          <cell r="N357">
            <v>-12381.88</v>
          </cell>
          <cell r="O357" t="str">
            <v>C</v>
          </cell>
          <cell r="Q357" t="str">
            <v>Véhicules usagés</v>
          </cell>
          <cell r="R357" t="str">
            <v>Rev. Finances</v>
          </cell>
        </row>
        <row r="358">
          <cell r="N358">
            <v>15344.32</v>
          </cell>
          <cell r="O358" t="str">
            <v>C</v>
          </cell>
          <cell r="Q358" t="str">
            <v>Véhicules usagés</v>
          </cell>
          <cell r="R358" t="str">
            <v>Rev. Protections</v>
          </cell>
        </row>
        <row r="359">
          <cell r="N359">
            <v>886584.45</v>
          </cell>
          <cell r="O359" t="str">
            <v>C</v>
          </cell>
          <cell r="Q359" t="str">
            <v>Véhicules neufs</v>
          </cell>
          <cell r="R359" t="str">
            <v>Rachat bail</v>
          </cell>
        </row>
        <row r="360">
          <cell r="N360">
            <v>511160.33</v>
          </cell>
          <cell r="O360" t="str">
            <v>C</v>
          </cell>
          <cell r="Q360" t="str">
            <v>Véhicules usagés</v>
          </cell>
          <cell r="R360" t="str">
            <v>Non Certifié</v>
          </cell>
        </row>
        <row r="361">
          <cell r="N361">
            <v>9971.3700000000008</v>
          </cell>
          <cell r="O361" t="str">
            <v>C</v>
          </cell>
          <cell r="Q361" t="str">
            <v>Véhicules usagés</v>
          </cell>
          <cell r="R361" t="str">
            <v>Non Certifié</v>
          </cell>
        </row>
        <row r="362">
          <cell r="N362">
            <v>3945</v>
          </cell>
          <cell r="O362" t="str">
            <v>C</v>
          </cell>
          <cell r="Q362" t="str">
            <v>Véhicules usagés</v>
          </cell>
          <cell r="R362" t="str">
            <v>Rev. Protections</v>
          </cell>
        </row>
        <row r="363">
          <cell r="N363">
            <v>1909.12</v>
          </cell>
          <cell r="O363" t="str">
            <v>C</v>
          </cell>
          <cell r="Q363" t="str">
            <v>Véhicules usagés</v>
          </cell>
          <cell r="R363" t="str">
            <v>Non Certifié</v>
          </cell>
        </row>
        <row r="364">
          <cell r="N364">
            <v>115288.51</v>
          </cell>
          <cell r="O364" t="str">
            <v>C</v>
          </cell>
          <cell r="Q364" t="str">
            <v>Véhicules usagés</v>
          </cell>
          <cell r="R364" t="str">
            <v>Ventes au Gros</v>
          </cell>
        </row>
        <row r="365">
          <cell r="N365">
            <v>851186.31</v>
          </cell>
          <cell r="O365" t="str">
            <v>C</v>
          </cell>
          <cell r="Q365" t="str">
            <v>Véhicules usagés</v>
          </cell>
          <cell r="R365" t="str">
            <v>ventes au gros</v>
          </cell>
        </row>
        <row r="366">
          <cell r="N366">
            <v>1051101.6499999999</v>
          </cell>
          <cell r="O366" t="str">
            <v>C</v>
          </cell>
          <cell r="Q366" t="str">
            <v>Véhicules usagés</v>
          </cell>
          <cell r="R366" t="str">
            <v>ventes au gros</v>
          </cell>
        </row>
        <row r="367">
          <cell r="N367">
            <v>-23.75</v>
          </cell>
          <cell r="O367" t="str">
            <v>I</v>
          </cell>
          <cell r="Q367" t="str">
            <v>Autres</v>
          </cell>
          <cell r="R367" t="str">
            <v>Revenus autres</v>
          </cell>
        </row>
        <row r="368">
          <cell r="N368">
            <v>-71.23</v>
          </cell>
          <cell r="O368" t="str">
            <v>I</v>
          </cell>
          <cell r="Q368" t="str">
            <v>Autres</v>
          </cell>
          <cell r="R368" t="str">
            <v>Revenus autres</v>
          </cell>
        </row>
        <row r="369">
          <cell r="N369">
            <v>-95.880000000000095</v>
          </cell>
          <cell r="O369" t="str">
            <v>I</v>
          </cell>
          <cell r="Q369" t="str">
            <v>Autres</v>
          </cell>
          <cell r="R369" t="str">
            <v>Revenus autres</v>
          </cell>
        </row>
        <row r="370">
          <cell r="N370">
            <v>-46713</v>
          </cell>
          <cell r="O370" t="str">
            <v>I</v>
          </cell>
          <cell r="Q370" t="str">
            <v>Autres</v>
          </cell>
          <cell r="R370" t="str">
            <v>Facility  Bonus</v>
          </cell>
        </row>
        <row r="371">
          <cell r="N371">
            <v>-5606</v>
          </cell>
          <cell r="O371" t="str">
            <v>I</v>
          </cell>
          <cell r="Q371" t="str">
            <v>Véhicules usagés</v>
          </cell>
          <cell r="R371" t="str">
            <v>Business Builder usagé</v>
          </cell>
        </row>
        <row r="372">
          <cell r="N372">
            <v>-5606</v>
          </cell>
          <cell r="O372" t="str">
            <v>I</v>
          </cell>
          <cell r="Q372" t="str">
            <v>Véhicules usagés</v>
          </cell>
          <cell r="R372" t="str">
            <v>Business Builder usagé</v>
          </cell>
        </row>
        <row r="373">
          <cell r="N373">
            <v>-5606</v>
          </cell>
          <cell r="O373" t="str">
            <v>I</v>
          </cell>
          <cell r="Q373" t="str">
            <v>Véhicules neufs</v>
          </cell>
          <cell r="R373" t="str">
            <v>Business Builder Neuf</v>
          </cell>
        </row>
        <row r="374">
          <cell r="N374">
            <v>-28357</v>
          </cell>
          <cell r="O374" t="str">
            <v>I</v>
          </cell>
          <cell r="Q374" t="str">
            <v>Véhicules neufs</v>
          </cell>
          <cell r="R374" t="str">
            <v>Business Builder Neuf</v>
          </cell>
        </row>
        <row r="375">
          <cell r="N375">
            <v>-130397</v>
          </cell>
          <cell r="O375" t="str">
            <v>I</v>
          </cell>
          <cell r="Q375" t="str">
            <v>Autres</v>
          </cell>
          <cell r="R375" t="str">
            <v>Facility  Bonus</v>
          </cell>
        </row>
        <row r="376">
          <cell r="N376">
            <v>-15648</v>
          </cell>
          <cell r="O376" t="str">
            <v>I</v>
          </cell>
          <cell r="Q376" t="str">
            <v>Véhicules usagés</v>
          </cell>
          <cell r="R376" t="str">
            <v>Business Builder usagé</v>
          </cell>
        </row>
        <row r="377">
          <cell r="N377">
            <v>-15648</v>
          </cell>
          <cell r="O377" t="str">
            <v>I</v>
          </cell>
          <cell r="Q377" t="str">
            <v>Véhicules usagés</v>
          </cell>
          <cell r="R377" t="str">
            <v>Business Builder usagé</v>
          </cell>
        </row>
        <row r="378">
          <cell r="N378">
            <v>-15648</v>
          </cell>
          <cell r="O378" t="str">
            <v>I</v>
          </cell>
          <cell r="Q378" t="str">
            <v>Véhicules neufs</v>
          </cell>
          <cell r="R378" t="str">
            <v>Business Builder Neuf</v>
          </cell>
        </row>
        <row r="379">
          <cell r="N379">
            <v>-80199</v>
          </cell>
          <cell r="O379" t="str">
            <v>I</v>
          </cell>
          <cell r="Q379" t="str">
            <v>Véhicules neufs</v>
          </cell>
          <cell r="R379" t="str">
            <v>Business Builder Neuf</v>
          </cell>
        </row>
        <row r="380">
          <cell r="N380">
            <v>0</v>
          </cell>
          <cell r="O380" t="str">
            <v>I</v>
          </cell>
          <cell r="Q380">
            <v>0</v>
          </cell>
          <cell r="R380">
            <v>0</v>
          </cell>
        </row>
        <row r="381">
          <cell r="N381">
            <v>-4336.6899999999996</v>
          </cell>
          <cell r="O381" t="str">
            <v>I</v>
          </cell>
          <cell r="Q381" t="str">
            <v>Autres</v>
          </cell>
          <cell r="R381" t="str">
            <v>Revenus autres</v>
          </cell>
        </row>
        <row r="382">
          <cell r="N382">
            <v>-38900</v>
          </cell>
          <cell r="O382" t="str">
            <v>I</v>
          </cell>
          <cell r="Q382" t="str">
            <v>Autres</v>
          </cell>
          <cell r="R382" t="str">
            <v>Revenus autres</v>
          </cell>
        </row>
        <row r="383">
          <cell r="N383">
            <v>-73500</v>
          </cell>
          <cell r="O383" t="str">
            <v>I</v>
          </cell>
          <cell r="Q383" t="str">
            <v>Autres</v>
          </cell>
          <cell r="R383" t="str">
            <v>Revenus autres</v>
          </cell>
        </row>
        <row r="384">
          <cell r="N384">
            <v>40335.839999999997</v>
          </cell>
          <cell r="O384" t="str">
            <v>X</v>
          </cell>
          <cell r="Q384" t="str">
            <v>Autres</v>
          </cell>
          <cell r="R384" t="str">
            <v>Intérêts sur prêt</v>
          </cell>
        </row>
        <row r="385">
          <cell r="N385">
            <v>5219.42</v>
          </cell>
          <cell r="O385" t="str">
            <v>X</v>
          </cell>
          <cell r="Q385" t="str">
            <v>Autres</v>
          </cell>
          <cell r="R385" t="str">
            <v>Intérêts sur prêt</v>
          </cell>
        </row>
        <row r="386">
          <cell r="N386">
            <v>15753</v>
          </cell>
          <cell r="O386" t="str">
            <v>X</v>
          </cell>
          <cell r="Q386" t="str">
            <v>Autres</v>
          </cell>
          <cell r="R386" t="str">
            <v>Intérêts sur marge</v>
          </cell>
        </row>
        <row r="387">
          <cell r="N387">
            <v>121007.49</v>
          </cell>
          <cell r="O387" t="str">
            <v>X</v>
          </cell>
          <cell r="Q387" t="str">
            <v>Autres</v>
          </cell>
          <cell r="R387" t="str">
            <v>Intérêts sur prêt</v>
          </cell>
        </row>
        <row r="388">
          <cell r="N388">
            <v>15658.21</v>
          </cell>
          <cell r="O388" t="str">
            <v>X</v>
          </cell>
          <cell r="Q388" t="str">
            <v>Autres</v>
          </cell>
          <cell r="R388" t="str">
            <v>Intérêts sur prêt</v>
          </cell>
        </row>
        <row r="389">
          <cell r="N389">
            <v>47258.94</v>
          </cell>
          <cell r="O389" t="str">
            <v>X</v>
          </cell>
          <cell r="Q389" t="str">
            <v>Autres</v>
          </cell>
          <cell r="R389" t="str">
            <v>Intérêts sur marge</v>
          </cell>
        </row>
        <row r="390">
          <cell r="N390">
            <v>18782.13</v>
          </cell>
          <cell r="O390" t="str">
            <v>E</v>
          </cell>
          <cell r="Q390" t="str">
            <v>Véhicules neufs</v>
          </cell>
          <cell r="R390" t="str">
            <v>Comm. vendeurs</v>
          </cell>
        </row>
        <row r="391">
          <cell r="N391">
            <v>6890.42</v>
          </cell>
          <cell r="O391" t="str">
            <v>E</v>
          </cell>
          <cell r="Q391" t="str">
            <v>Véhicules usagés</v>
          </cell>
          <cell r="R391" t="str">
            <v>Comm. vendeurs</v>
          </cell>
        </row>
        <row r="392">
          <cell r="N392">
            <v>74534.899999999994</v>
          </cell>
          <cell r="O392" t="str">
            <v>E</v>
          </cell>
          <cell r="Q392" t="str">
            <v>Véhicules neufs</v>
          </cell>
          <cell r="R392" t="str">
            <v>Comm. vendeurs</v>
          </cell>
        </row>
        <row r="393">
          <cell r="N393">
            <v>23603.200000000001</v>
          </cell>
          <cell r="O393" t="str">
            <v>E</v>
          </cell>
          <cell r="Q393" t="str">
            <v>Véhicules usagés</v>
          </cell>
          <cell r="R393" t="str">
            <v>Comm. vendeurs</v>
          </cell>
        </row>
        <row r="394">
          <cell r="N394">
            <v>1236.9000000000001</v>
          </cell>
          <cell r="O394" t="str">
            <v>E</v>
          </cell>
          <cell r="Q394" t="str">
            <v>Véhicules neufs</v>
          </cell>
          <cell r="R394" t="str">
            <v>Comm. vendeurs</v>
          </cell>
        </row>
        <row r="395">
          <cell r="N395">
            <v>1260.7</v>
          </cell>
          <cell r="O395" t="str">
            <v>E</v>
          </cell>
          <cell r="Q395" t="str">
            <v>Véhicules usagés</v>
          </cell>
          <cell r="R395" t="str">
            <v>Comm. vendeurs</v>
          </cell>
        </row>
        <row r="396">
          <cell r="N396">
            <v>7467.75</v>
          </cell>
          <cell r="O396" t="str">
            <v>E</v>
          </cell>
          <cell r="Q396" t="str">
            <v>Véhicules neufs</v>
          </cell>
          <cell r="R396" t="str">
            <v>Comm. F&amp;I</v>
          </cell>
        </row>
        <row r="397">
          <cell r="N397">
            <v>3192.74</v>
          </cell>
          <cell r="O397" t="str">
            <v>E</v>
          </cell>
          <cell r="Q397" t="str">
            <v>Véhicules usagés</v>
          </cell>
          <cell r="R397" t="str">
            <v>Comm. F&amp;I</v>
          </cell>
        </row>
        <row r="398">
          <cell r="N398">
            <v>22672.400000000001</v>
          </cell>
          <cell r="O398" t="str">
            <v>E</v>
          </cell>
          <cell r="Q398" t="str">
            <v>Véhicules neufs</v>
          </cell>
          <cell r="R398" t="str">
            <v>Comm. F&amp;I</v>
          </cell>
        </row>
        <row r="399">
          <cell r="N399">
            <v>13615.39</v>
          </cell>
          <cell r="O399" t="str">
            <v>E</v>
          </cell>
          <cell r="Q399" t="str">
            <v>Véhicules usagés</v>
          </cell>
          <cell r="R399" t="str">
            <v>Comm. F&amp;I</v>
          </cell>
        </row>
        <row r="400">
          <cell r="N400">
            <v>1169.06</v>
          </cell>
          <cell r="O400" t="str">
            <v>E</v>
          </cell>
          <cell r="Q400" t="str">
            <v>Véhicules neufs</v>
          </cell>
          <cell r="R400" t="str">
            <v>Comm. F&amp;I</v>
          </cell>
        </row>
        <row r="401">
          <cell r="N401">
            <v>627.91</v>
          </cell>
          <cell r="O401" t="str">
            <v>E</v>
          </cell>
          <cell r="Q401" t="str">
            <v>Véhicules usagés</v>
          </cell>
          <cell r="R401" t="str">
            <v>Comm. F&amp;I</v>
          </cell>
        </row>
        <row r="402">
          <cell r="N402">
            <v>8143.11</v>
          </cell>
          <cell r="O402" t="str">
            <v>E</v>
          </cell>
          <cell r="Q402" t="str">
            <v>Véhicules neufs</v>
          </cell>
          <cell r="R402" t="str">
            <v>Frais de livraison</v>
          </cell>
        </row>
        <row r="403">
          <cell r="N403">
            <v>2206.0700000000002</v>
          </cell>
          <cell r="O403" t="str">
            <v>E</v>
          </cell>
          <cell r="Q403" t="str">
            <v>Véhicules usagés</v>
          </cell>
          <cell r="R403" t="str">
            <v>Frais de livraison</v>
          </cell>
        </row>
        <row r="404">
          <cell r="N404">
            <v>16683.79</v>
          </cell>
          <cell r="O404" t="str">
            <v>E</v>
          </cell>
          <cell r="Q404" t="str">
            <v>Véhicules neufs</v>
          </cell>
          <cell r="R404" t="str">
            <v>Frais de livraison</v>
          </cell>
        </row>
        <row r="405">
          <cell r="N405">
            <v>4530.01</v>
          </cell>
          <cell r="O405" t="str">
            <v>E</v>
          </cell>
          <cell r="Q405" t="str">
            <v>Véhicules usagés</v>
          </cell>
          <cell r="R405" t="str">
            <v>Frais de livraison</v>
          </cell>
        </row>
        <row r="406">
          <cell r="N406">
            <v>-309.95</v>
          </cell>
          <cell r="O406" t="str">
            <v>E</v>
          </cell>
          <cell r="Q406" t="str">
            <v>Véhicules neufs</v>
          </cell>
          <cell r="R406" t="str">
            <v>Frais de livraison</v>
          </cell>
        </row>
        <row r="407">
          <cell r="N407">
            <v>900</v>
          </cell>
          <cell r="O407" t="str">
            <v>E</v>
          </cell>
          <cell r="Q407" t="str">
            <v>Véhicules neufs</v>
          </cell>
          <cell r="R407" t="str">
            <v>Entretien stock</v>
          </cell>
        </row>
        <row r="408">
          <cell r="N408">
            <v>1758.38</v>
          </cell>
          <cell r="O408" t="str">
            <v>E</v>
          </cell>
          <cell r="Q408" t="str">
            <v>Véhicules usagés</v>
          </cell>
          <cell r="R408" t="str">
            <v>Entretien stock</v>
          </cell>
        </row>
        <row r="409">
          <cell r="N409">
            <v>2700</v>
          </cell>
          <cell r="O409" t="str">
            <v>E</v>
          </cell>
          <cell r="Q409" t="str">
            <v>Véhicules neufs</v>
          </cell>
          <cell r="R409" t="str">
            <v>Entretien stock</v>
          </cell>
        </row>
        <row r="410">
          <cell r="N410">
            <v>5275.12</v>
          </cell>
          <cell r="O410" t="str">
            <v>E</v>
          </cell>
          <cell r="Q410" t="str">
            <v>Véhicules usagés</v>
          </cell>
          <cell r="R410" t="str">
            <v>Entretien stock</v>
          </cell>
        </row>
        <row r="411">
          <cell r="N411">
            <v>61752.83</v>
          </cell>
          <cell r="O411" t="str">
            <v>E</v>
          </cell>
          <cell r="Q411" t="str">
            <v>Véhicules neufs</v>
          </cell>
          <cell r="R411" t="str">
            <v>Intérêt de gros</v>
          </cell>
        </row>
        <row r="412">
          <cell r="N412">
            <v>3083.28</v>
          </cell>
          <cell r="O412" t="str">
            <v>E</v>
          </cell>
          <cell r="Q412" t="str">
            <v>Véhicules usagés</v>
          </cell>
          <cell r="R412" t="str">
            <v>Intérêt de gros</v>
          </cell>
        </row>
        <row r="413">
          <cell r="N413">
            <v>84057.9</v>
          </cell>
          <cell r="O413" t="str">
            <v>E</v>
          </cell>
          <cell r="Q413" t="str">
            <v>Véhicules neufs</v>
          </cell>
          <cell r="R413" t="str">
            <v>Intérêt de gros</v>
          </cell>
        </row>
        <row r="414">
          <cell r="N414">
            <v>3718.03</v>
          </cell>
          <cell r="O414" t="str">
            <v>E</v>
          </cell>
          <cell r="Q414" t="str">
            <v>Véhicules usagés</v>
          </cell>
          <cell r="R414" t="str">
            <v>Intérêt de gros</v>
          </cell>
        </row>
        <row r="415">
          <cell r="N415">
            <v>-2295.65</v>
          </cell>
          <cell r="O415" t="str">
            <v>E</v>
          </cell>
          <cell r="Q415" t="str">
            <v>Véhicules neufs</v>
          </cell>
          <cell r="R415" t="str">
            <v>holdbacks</v>
          </cell>
        </row>
        <row r="416">
          <cell r="N416">
            <v>-3665.41</v>
          </cell>
          <cell r="O416" t="str">
            <v>E</v>
          </cell>
          <cell r="Q416" t="str">
            <v>Véhicules neufs</v>
          </cell>
          <cell r="R416" t="str">
            <v>holdbacks</v>
          </cell>
        </row>
        <row r="417">
          <cell r="N417">
            <v>17697.189999999999</v>
          </cell>
          <cell r="O417" t="str">
            <v>E</v>
          </cell>
          <cell r="Q417" t="str">
            <v>Véhicules neufs</v>
          </cell>
          <cell r="R417" t="str">
            <v>Publicité 1</v>
          </cell>
        </row>
        <row r="418">
          <cell r="N418">
            <v>4226.3599999999997</v>
          </cell>
          <cell r="O418" t="str">
            <v>E</v>
          </cell>
          <cell r="Q418" t="str">
            <v>Véhicules usagés</v>
          </cell>
          <cell r="R418" t="str">
            <v>Publicité 1</v>
          </cell>
        </row>
        <row r="419">
          <cell r="N419">
            <v>4067.22</v>
          </cell>
          <cell r="O419" t="str">
            <v>E</v>
          </cell>
          <cell r="Q419" t="str">
            <v>Service</v>
          </cell>
          <cell r="R419" t="str">
            <v>Publicité 2</v>
          </cell>
        </row>
        <row r="420">
          <cell r="N420">
            <v>2449.08</v>
          </cell>
          <cell r="O420" t="str">
            <v>E</v>
          </cell>
          <cell r="Q420" t="str">
            <v>Pièces</v>
          </cell>
          <cell r="R420" t="str">
            <v>Publicité 2</v>
          </cell>
        </row>
        <row r="421">
          <cell r="N421">
            <v>55172.17</v>
          </cell>
          <cell r="O421" t="str">
            <v>E</v>
          </cell>
          <cell r="Q421" t="str">
            <v>Véhicules neufs</v>
          </cell>
          <cell r="R421" t="str">
            <v>Publicité 1</v>
          </cell>
        </row>
        <row r="422">
          <cell r="N422">
            <v>10159.84</v>
          </cell>
          <cell r="O422" t="str">
            <v>E</v>
          </cell>
          <cell r="Q422" t="str">
            <v>Véhicules usagés</v>
          </cell>
          <cell r="R422" t="str">
            <v>Publicité 1</v>
          </cell>
        </row>
        <row r="423">
          <cell r="N423">
            <v>12201.63</v>
          </cell>
          <cell r="O423" t="str">
            <v>E</v>
          </cell>
          <cell r="Q423" t="str">
            <v>Service</v>
          </cell>
          <cell r="R423" t="str">
            <v>Publicité 2</v>
          </cell>
        </row>
        <row r="424">
          <cell r="N424">
            <v>7280.46</v>
          </cell>
          <cell r="O424" t="str">
            <v>E</v>
          </cell>
          <cell r="Q424" t="str">
            <v>Pièces</v>
          </cell>
          <cell r="R424" t="str">
            <v>Publicité 2</v>
          </cell>
        </row>
        <row r="425">
          <cell r="N425">
            <v>-3200</v>
          </cell>
          <cell r="O425" t="str">
            <v>E</v>
          </cell>
          <cell r="Q425" t="str">
            <v>Véhicules neufs</v>
          </cell>
          <cell r="R425" t="str">
            <v>Publicité 1</v>
          </cell>
        </row>
        <row r="426">
          <cell r="N426">
            <v>-600</v>
          </cell>
          <cell r="O426" t="str">
            <v>E</v>
          </cell>
          <cell r="Q426" t="str">
            <v>Véhicules usagés</v>
          </cell>
          <cell r="R426" t="str">
            <v>Publicité 1</v>
          </cell>
        </row>
        <row r="427">
          <cell r="N427">
            <v>-7400</v>
          </cell>
          <cell r="O427" t="str">
            <v>E</v>
          </cell>
          <cell r="Q427" t="str">
            <v>Véhicules neufs</v>
          </cell>
          <cell r="R427" t="str">
            <v>Publicité 1</v>
          </cell>
        </row>
        <row r="428">
          <cell r="N428">
            <v>-3800</v>
          </cell>
          <cell r="O428" t="str">
            <v>E</v>
          </cell>
          <cell r="Q428" t="str">
            <v>Véhicules usagés</v>
          </cell>
          <cell r="R428" t="str">
            <v>Publicité 1</v>
          </cell>
        </row>
        <row r="429">
          <cell r="N429">
            <v>5293.11</v>
          </cell>
          <cell r="O429" t="str">
            <v>E</v>
          </cell>
          <cell r="Q429" t="str">
            <v>Véhicules neufs</v>
          </cell>
          <cell r="R429" t="str">
            <v>Salaires propriétaire</v>
          </cell>
        </row>
        <row r="430">
          <cell r="N430">
            <v>1971.01</v>
          </cell>
          <cell r="O430" t="str">
            <v>E</v>
          </cell>
          <cell r="Q430" t="str">
            <v>Véhicules usagés</v>
          </cell>
          <cell r="R430" t="str">
            <v>Salaires propriétaire</v>
          </cell>
        </row>
        <row r="431">
          <cell r="N431">
            <v>1752.77</v>
          </cell>
          <cell r="O431" t="str">
            <v>E</v>
          </cell>
          <cell r="Q431" t="str">
            <v>Service</v>
          </cell>
          <cell r="R431" t="str">
            <v>Salaires propriétaire</v>
          </cell>
        </row>
        <row r="432">
          <cell r="N432">
            <v>1527.86</v>
          </cell>
          <cell r="O432" t="str">
            <v>E</v>
          </cell>
          <cell r="Q432" t="str">
            <v>Pièces</v>
          </cell>
          <cell r="R432" t="str">
            <v>Salaires propriétaire</v>
          </cell>
        </row>
        <row r="433">
          <cell r="N433">
            <v>224.9</v>
          </cell>
          <cell r="O433" t="str">
            <v>E</v>
          </cell>
          <cell r="Q433" t="str">
            <v>Carrosserie</v>
          </cell>
          <cell r="R433" t="str">
            <v>Salaires propriétaire</v>
          </cell>
        </row>
        <row r="434">
          <cell r="N434">
            <v>15879.27</v>
          </cell>
          <cell r="O434" t="str">
            <v>E</v>
          </cell>
          <cell r="Q434" t="str">
            <v>Véhicules neufs</v>
          </cell>
          <cell r="R434" t="str">
            <v>Salaires propriétaire</v>
          </cell>
        </row>
        <row r="435">
          <cell r="N435">
            <v>5913.02</v>
          </cell>
          <cell r="O435" t="str">
            <v>E</v>
          </cell>
          <cell r="Q435" t="str">
            <v>Véhicules usagés</v>
          </cell>
          <cell r="R435" t="str">
            <v>Salaires propriétaire</v>
          </cell>
        </row>
        <row r="436">
          <cell r="N436">
            <v>5256.83</v>
          </cell>
          <cell r="O436" t="str">
            <v>E</v>
          </cell>
          <cell r="Q436" t="str">
            <v>Service</v>
          </cell>
          <cell r="R436" t="str">
            <v>Salaires propriétaire</v>
          </cell>
        </row>
        <row r="437">
          <cell r="N437">
            <v>4583.67</v>
          </cell>
          <cell r="O437" t="str">
            <v>E</v>
          </cell>
          <cell r="Q437" t="str">
            <v>Pièces</v>
          </cell>
          <cell r="R437" t="str">
            <v>Salaires propriétaire</v>
          </cell>
        </row>
        <row r="438">
          <cell r="N438">
            <v>673.18</v>
          </cell>
          <cell r="O438" t="str">
            <v>E</v>
          </cell>
          <cell r="Q438" t="str">
            <v>Carrosserie</v>
          </cell>
          <cell r="R438" t="str">
            <v>Salaires propriétaire</v>
          </cell>
        </row>
        <row r="439">
          <cell r="N439">
            <v>10760.54</v>
          </cell>
          <cell r="O439" t="str">
            <v>E</v>
          </cell>
          <cell r="Q439" t="str">
            <v>Véhicules neufs</v>
          </cell>
          <cell r="R439" t="str">
            <v>Salaires cadres</v>
          </cell>
        </row>
        <row r="440">
          <cell r="N440">
            <v>1320.1</v>
          </cell>
          <cell r="O440" t="str">
            <v>E</v>
          </cell>
          <cell r="Q440" t="str">
            <v>Véhicules usagés</v>
          </cell>
          <cell r="R440" t="str">
            <v>Salaires cadres</v>
          </cell>
        </row>
        <row r="441">
          <cell r="N441">
            <v>8598.0300000000007</v>
          </cell>
          <cell r="O441" t="str">
            <v>E</v>
          </cell>
          <cell r="Q441" t="str">
            <v>Service</v>
          </cell>
          <cell r="R441" t="str">
            <v>Salaires cadres</v>
          </cell>
        </row>
        <row r="442">
          <cell r="N442">
            <v>3388.53</v>
          </cell>
          <cell r="O442" t="str">
            <v>E</v>
          </cell>
          <cell r="Q442" t="str">
            <v>Pièces</v>
          </cell>
          <cell r="R442" t="str">
            <v>Salaires cadres</v>
          </cell>
        </row>
        <row r="443">
          <cell r="N443">
            <v>122.39</v>
          </cell>
          <cell r="O443" t="str">
            <v>E</v>
          </cell>
          <cell r="Q443" t="str">
            <v>Carrosserie</v>
          </cell>
          <cell r="R443" t="str">
            <v>Salaires cadres</v>
          </cell>
        </row>
        <row r="444">
          <cell r="N444">
            <v>32281.73</v>
          </cell>
          <cell r="O444" t="str">
            <v>E</v>
          </cell>
          <cell r="Q444" t="str">
            <v>Véhicules neufs</v>
          </cell>
          <cell r="R444" t="str">
            <v>Salaires cadres</v>
          </cell>
        </row>
        <row r="445">
          <cell r="N445">
            <v>3960.24</v>
          </cell>
          <cell r="O445" t="str">
            <v>E</v>
          </cell>
          <cell r="Q445" t="str">
            <v>Véhicules usagés</v>
          </cell>
          <cell r="R445" t="str">
            <v>Salaires cadres</v>
          </cell>
        </row>
        <row r="446">
          <cell r="N446">
            <v>25790.22</v>
          </cell>
          <cell r="O446" t="str">
            <v>E</v>
          </cell>
          <cell r="Q446" t="str">
            <v>Service</v>
          </cell>
          <cell r="R446" t="str">
            <v>Salaires cadres</v>
          </cell>
        </row>
        <row r="447">
          <cell r="N447">
            <v>10165.5</v>
          </cell>
          <cell r="O447" t="str">
            <v>E</v>
          </cell>
          <cell r="Q447" t="str">
            <v>Pièces</v>
          </cell>
          <cell r="R447" t="str">
            <v>Salaires cadres</v>
          </cell>
        </row>
        <row r="448">
          <cell r="N448">
            <v>363.29</v>
          </cell>
          <cell r="O448" t="str">
            <v>E</v>
          </cell>
          <cell r="Q448" t="str">
            <v>Carrosserie</v>
          </cell>
          <cell r="R448" t="str">
            <v>Salaires cadres</v>
          </cell>
        </row>
        <row r="449">
          <cell r="N449">
            <v>11045.43</v>
          </cell>
          <cell r="O449" t="str">
            <v>E</v>
          </cell>
          <cell r="Q449" t="str">
            <v>Service</v>
          </cell>
          <cell r="R449" t="str">
            <v>Salaires spécialistes</v>
          </cell>
        </row>
        <row r="450">
          <cell r="N450">
            <v>33136.239999999998</v>
          </cell>
          <cell r="O450" t="str">
            <v>E</v>
          </cell>
          <cell r="Q450" t="str">
            <v>Service</v>
          </cell>
          <cell r="R450" t="str">
            <v>Salaires spécialistes</v>
          </cell>
        </row>
        <row r="451">
          <cell r="N451">
            <v>4838.91</v>
          </cell>
          <cell r="O451" t="str">
            <v>E</v>
          </cell>
          <cell r="Q451" t="str">
            <v>Véhicules neufs</v>
          </cell>
          <cell r="R451" t="str">
            <v>salaires commis</v>
          </cell>
        </row>
        <row r="452">
          <cell r="N452">
            <v>1244.8</v>
          </cell>
          <cell r="O452" t="str">
            <v>E</v>
          </cell>
          <cell r="Q452" t="str">
            <v>Véhicules usagés</v>
          </cell>
          <cell r="R452" t="str">
            <v>salaires commis</v>
          </cell>
        </row>
        <row r="453">
          <cell r="N453">
            <v>2281.37</v>
          </cell>
          <cell r="O453" t="str">
            <v>E</v>
          </cell>
          <cell r="Q453" t="str">
            <v>Service</v>
          </cell>
          <cell r="R453" t="str">
            <v>salaires commis</v>
          </cell>
        </row>
        <row r="454">
          <cell r="N454">
            <v>1924.84</v>
          </cell>
          <cell r="O454" t="str">
            <v>E</v>
          </cell>
          <cell r="Q454" t="str">
            <v>Pièces</v>
          </cell>
          <cell r="R454" t="str">
            <v>salaires commis</v>
          </cell>
        </row>
        <row r="455">
          <cell r="N455">
            <v>242.5</v>
          </cell>
          <cell r="O455" t="str">
            <v>E</v>
          </cell>
          <cell r="Q455" t="str">
            <v>Carrosserie</v>
          </cell>
          <cell r="R455" t="str">
            <v>Salaires commis</v>
          </cell>
        </row>
        <row r="456">
          <cell r="N456">
            <v>15507.93</v>
          </cell>
          <cell r="O456" t="str">
            <v>E</v>
          </cell>
          <cell r="Q456" t="str">
            <v>Véhicules neufs</v>
          </cell>
          <cell r="R456" t="str">
            <v>salaires commis</v>
          </cell>
        </row>
        <row r="457">
          <cell r="N457">
            <v>3733.5</v>
          </cell>
          <cell r="O457" t="str">
            <v>E</v>
          </cell>
          <cell r="Q457" t="str">
            <v>Véhicules usagés</v>
          </cell>
          <cell r="R457" t="str">
            <v>salaires commis</v>
          </cell>
        </row>
        <row r="458">
          <cell r="N458">
            <v>6494.34</v>
          </cell>
          <cell r="O458" t="str">
            <v>E</v>
          </cell>
          <cell r="Q458" t="str">
            <v>Service</v>
          </cell>
          <cell r="R458" t="str">
            <v>salaires commis</v>
          </cell>
        </row>
        <row r="459">
          <cell r="N459">
            <v>6116.44</v>
          </cell>
          <cell r="O459" t="str">
            <v>E</v>
          </cell>
          <cell r="Q459" t="str">
            <v>Pièces</v>
          </cell>
          <cell r="R459" t="str">
            <v>salaires commis</v>
          </cell>
        </row>
        <row r="460">
          <cell r="N460">
            <v>719.89</v>
          </cell>
          <cell r="O460" t="str">
            <v>E</v>
          </cell>
          <cell r="Q460" t="str">
            <v>Carrosserie</v>
          </cell>
          <cell r="R460" t="str">
            <v>Salaires commis</v>
          </cell>
        </row>
        <row r="461">
          <cell r="N461">
            <v>2896.95</v>
          </cell>
          <cell r="O461" t="str">
            <v>E</v>
          </cell>
          <cell r="Q461" t="str">
            <v>Véhicules neufs</v>
          </cell>
          <cell r="R461" t="str">
            <v>Salaires autres</v>
          </cell>
        </row>
        <row r="462">
          <cell r="N462">
            <v>4587.87</v>
          </cell>
          <cell r="O462" t="str">
            <v>E</v>
          </cell>
          <cell r="Q462" t="str">
            <v>Véhicules usagés</v>
          </cell>
          <cell r="R462" t="str">
            <v>Salaires autres</v>
          </cell>
        </row>
        <row r="463">
          <cell r="N463">
            <v>4045.11</v>
          </cell>
          <cell r="O463" t="str">
            <v>E</v>
          </cell>
          <cell r="Q463" t="str">
            <v>Service</v>
          </cell>
          <cell r="R463" t="str">
            <v>Salaires autres</v>
          </cell>
        </row>
        <row r="464">
          <cell r="N464">
            <v>8626.9500000000007</v>
          </cell>
          <cell r="O464" t="str">
            <v>E</v>
          </cell>
          <cell r="Q464" t="str">
            <v>Pièces</v>
          </cell>
          <cell r="R464" t="str">
            <v>Salaires autres</v>
          </cell>
        </row>
        <row r="465">
          <cell r="N465">
            <v>11.4</v>
          </cell>
          <cell r="O465" t="str">
            <v>E</v>
          </cell>
          <cell r="Q465" t="str">
            <v>Carrosserie</v>
          </cell>
          <cell r="R465" t="str">
            <v>Salaires autres</v>
          </cell>
        </row>
        <row r="466">
          <cell r="N466">
            <v>8690.85</v>
          </cell>
          <cell r="O466" t="str">
            <v>E</v>
          </cell>
          <cell r="Q466" t="str">
            <v>Véhicules neufs</v>
          </cell>
          <cell r="R466" t="str">
            <v>Salaires autres</v>
          </cell>
        </row>
        <row r="467">
          <cell r="N467">
            <v>13234.74</v>
          </cell>
          <cell r="O467" t="str">
            <v>E</v>
          </cell>
          <cell r="Q467" t="str">
            <v>Véhicules usagés</v>
          </cell>
          <cell r="R467" t="str">
            <v>Salaires autres</v>
          </cell>
        </row>
        <row r="468">
          <cell r="N468">
            <v>11635.51</v>
          </cell>
          <cell r="O468" t="str">
            <v>E</v>
          </cell>
          <cell r="Q468" t="str">
            <v>Service</v>
          </cell>
          <cell r="R468" t="str">
            <v>Salaires autres</v>
          </cell>
        </row>
        <row r="469">
          <cell r="N469">
            <v>25952.09</v>
          </cell>
          <cell r="O469" t="str">
            <v>E</v>
          </cell>
          <cell r="Q469" t="str">
            <v>Pièces</v>
          </cell>
          <cell r="R469" t="str">
            <v>Salaires autres</v>
          </cell>
        </row>
        <row r="470">
          <cell r="N470">
            <v>33.82</v>
          </cell>
          <cell r="O470" t="str">
            <v>E</v>
          </cell>
          <cell r="Q470" t="str">
            <v>Carrosserie</v>
          </cell>
          <cell r="R470" t="str">
            <v>Salaires autres</v>
          </cell>
        </row>
        <row r="471">
          <cell r="N471">
            <v>7291.81</v>
          </cell>
          <cell r="O471" t="str">
            <v>E</v>
          </cell>
          <cell r="Q471" t="str">
            <v>Véhicules neufs</v>
          </cell>
          <cell r="R471" t="str">
            <v>Salaires en absences</v>
          </cell>
        </row>
        <row r="472">
          <cell r="N472">
            <v>1604.76</v>
          </cell>
          <cell r="O472" t="str">
            <v>E</v>
          </cell>
          <cell r="Q472" t="str">
            <v>Véhicules usagés</v>
          </cell>
          <cell r="R472" t="str">
            <v>Salaires en absences</v>
          </cell>
        </row>
        <row r="473">
          <cell r="N473">
            <v>8365.7099999999991</v>
          </cell>
          <cell r="O473" t="str">
            <v>E</v>
          </cell>
          <cell r="Q473" t="str">
            <v>Service</v>
          </cell>
          <cell r="R473" t="str">
            <v>Salaires en absences</v>
          </cell>
        </row>
        <row r="474">
          <cell r="N474">
            <v>1556.74</v>
          </cell>
          <cell r="O474" t="str">
            <v>E</v>
          </cell>
          <cell r="Q474" t="str">
            <v>Pièces</v>
          </cell>
          <cell r="R474" t="str">
            <v>Salaires en absences</v>
          </cell>
        </row>
        <row r="475">
          <cell r="N475">
            <v>30.39</v>
          </cell>
          <cell r="O475" t="str">
            <v>E</v>
          </cell>
          <cell r="Q475" t="str">
            <v>Carrosserie</v>
          </cell>
          <cell r="R475" t="str">
            <v>Salaires en absences</v>
          </cell>
        </row>
        <row r="476">
          <cell r="N476">
            <v>16751.32</v>
          </cell>
          <cell r="O476" t="str">
            <v>E</v>
          </cell>
          <cell r="Q476" t="str">
            <v>Véhicules neufs</v>
          </cell>
          <cell r="R476" t="str">
            <v>Salaires en absences</v>
          </cell>
        </row>
        <row r="477">
          <cell r="N477">
            <v>5254.3</v>
          </cell>
          <cell r="O477" t="str">
            <v>E</v>
          </cell>
          <cell r="Q477" t="str">
            <v>Véhicules usagés</v>
          </cell>
          <cell r="R477" t="str">
            <v>Salaires en absences</v>
          </cell>
        </row>
        <row r="478">
          <cell r="N478">
            <v>19267.39</v>
          </cell>
          <cell r="O478" t="str">
            <v>E</v>
          </cell>
          <cell r="Q478" t="str">
            <v>Service</v>
          </cell>
          <cell r="R478" t="str">
            <v>Salaires en absences</v>
          </cell>
        </row>
        <row r="479">
          <cell r="N479">
            <v>4669.21</v>
          </cell>
          <cell r="O479" t="str">
            <v>E</v>
          </cell>
          <cell r="Q479" t="str">
            <v>Pièces</v>
          </cell>
          <cell r="R479" t="str">
            <v>Salaires en absences</v>
          </cell>
        </row>
        <row r="480">
          <cell r="N480">
            <v>92.18</v>
          </cell>
          <cell r="O480" t="str">
            <v>E</v>
          </cell>
          <cell r="Q480" t="str">
            <v>Carrosserie</v>
          </cell>
          <cell r="R480" t="str">
            <v>Salaires en absences</v>
          </cell>
        </row>
        <row r="481">
          <cell r="N481">
            <v>7601.98</v>
          </cell>
          <cell r="O481" t="str">
            <v>E</v>
          </cell>
          <cell r="Q481" t="str">
            <v>Véhicules neufs</v>
          </cell>
          <cell r="R481" t="str">
            <v>Déduction à la source</v>
          </cell>
        </row>
        <row r="482">
          <cell r="N482">
            <v>1823.3</v>
          </cell>
          <cell r="O482" t="str">
            <v>E</v>
          </cell>
          <cell r="Q482" t="str">
            <v>Véhicules usagés</v>
          </cell>
          <cell r="R482" t="str">
            <v>Déduction à la source</v>
          </cell>
        </row>
        <row r="483">
          <cell r="N483">
            <v>8151.49</v>
          </cell>
          <cell r="O483" t="str">
            <v>E</v>
          </cell>
          <cell r="Q483" t="str">
            <v>Service</v>
          </cell>
          <cell r="R483" t="str">
            <v>Déduction à la source</v>
          </cell>
        </row>
        <row r="484">
          <cell r="N484">
            <v>1474.21</v>
          </cell>
          <cell r="O484" t="str">
            <v>E</v>
          </cell>
          <cell r="Q484" t="str">
            <v>Pièces</v>
          </cell>
          <cell r="R484" t="str">
            <v>Déduction à la source</v>
          </cell>
        </row>
        <row r="485">
          <cell r="N485">
            <v>60.59</v>
          </cell>
          <cell r="O485" t="str">
            <v>E</v>
          </cell>
          <cell r="Q485" t="str">
            <v>Carrosserie</v>
          </cell>
          <cell r="R485" t="str">
            <v>Déduction à la source</v>
          </cell>
        </row>
        <row r="486">
          <cell r="N486">
            <v>17872.599999999999</v>
          </cell>
          <cell r="O486" t="str">
            <v>E</v>
          </cell>
          <cell r="Q486" t="str">
            <v>Véhicules neufs</v>
          </cell>
          <cell r="R486" t="str">
            <v>Déduction à la source</v>
          </cell>
        </row>
        <row r="487">
          <cell r="N487">
            <v>5969.98</v>
          </cell>
          <cell r="O487" t="str">
            <v>E</v>
          </cell>
          <cell r="Q487" t="str">
            <v>Véhicules usagés</v>
          </cell>
          <cell r="R487" t="str">
            <v>Déduction à la source</v>
          </cell>
        </row>
        <row r="488">
          <cell r="N488">
            <v>18949.91</v>
          </cell>
          <cell r="O488" t="str">
            <v>E</v>
          </cell>
          <cell r="Q488" t="str">
            <v>Service</v>
          </cell>
          <cell r="R488" t="str">
            <v>Déduction à la source</v>
          </cell>
        </row>
        <row r="489">
          <cell r="N489">
            <v>4421.62</v>
          </cell>
          <cell r="O489" t="str">
            <v>E</v>
          </cell>
          <cell r="Q489" t="str">
            <v>Pièces</v>
          </cell>
          <cell r="R489" t="str">
            <v>Déduction à la source</v>
          </cell>
        </row>
        <row r="490">
          <cell r="N490">
            <v>182.76</v>
          </cell>
          <cell r="O490" t="str">
            <v>E</v>
          </cell>
          <cell r="Q490" t="str">
            <v>Carrosserie</v>
          </cell>
          <cell r="R490" t="str">
            <v>Déduction à la source</v>
          </cell>
        </row>
        <row r="491">
          <cell r="N491">
            <v>4276.17</v>
          </cell>
          <cell r="O491" t="str">
            <v>E</v>
          </cell>
          <cell r="Q491" t="str">
            <v>Véhicules neufs</v>
          </cell>
          <cell r="R491" t="str">
            <v>Bénéfices marginaux</v>
          </cell>
        </row>
        <row r="492">
          <cell r="N492">
            <v>987.4</v>
          </cell>
          <cell r="O492" t="str">
            <v>E</v>
          </cell>
          <cell r="Q492" t="str">
            <v>Véhicules usagés</v>
          </cell>
          <cell r="R492" t="str">
            <v>Bénéfices marginaux</v>
          </cell>
        </row>
        <row r="493">
          <cell r="N493">
            <v>3357.24</v>
          </cell>
          <cell r="O493" t="str">
            <v>E</v>
          </cell>
          <cell r="Q493" t="str">
            <v>Service</v>
          </cell>
          <cell r="R493" t="str">
            <v>Bénéfices marginaux</v>
          </cell>
        </row>
        <row r="494">
          <cell r="N494">
            <v>1365.85</v>
          </cell>
          <cell r="O494" t="str">
            <v>E</v>
          </cell>
          <cell r="Q494" t="str">
            <v>Pièces</v>
          </cell>
          <cell r="R494" t="str">
            <v>Bénéfices marginaux</v>
          </cell>
        </row>
        <row r="495">
          <cell r="N495">
            <v>135.79</v>
          </cell>
          <cell r="O495" t="str">
            <v>E</v>
          </cell>
          <cell r="Q495" t="str">
            <v>Carrosserie</v>
          </cell>
          <cell r="R495" t="str">
            <v>Bénéfices marginaux</v>
          </cell>
        </row>
        <row r="496">
          <cell r="N496">
            <v>11443.25</v>
          </cell>
          <cell r="O496" t="str">
            <v>E</v>
          </cell>
          <cell r="Q496" t="str">
            <v>Véhicules neufs</v>
          </cell>
          <cell r="R496" t="str">
            <v>Bénéfices marginaux</v>
          </cell>
        </row>
        <row r="497">
          <cell r="N497">
            <v>3103.37</v>
          </cell>
          <cell r="O497" t="str">
            <v>E</v>
          </cell>
          <cell r="Q497" t="str">
            <v>Véhicules usagés</v>
          </cell>
          <cell r="R497" t="str">
            <v>Bénéfices marginaux</v>
          </cell>
        </row>
        <row r="498">
          <cell r="N498">
            <v>8529.2000000000007</v>
          </cell>
          <cell r="O498" t="str">
            <v>E</v>
          </cell>
          <cell r="Q498" t="str">
            <v>Service</v>
          </cell>
          <cell r="R498" t="str">
            <v>Bénéfices marginaux</v>
          </cell>
        </row>
        <row r="499">
          <cell r="N499">
            <v>4098.53</v>
          </cell>
          <cell r="O499" t="str">
            <v>E</v>
          </cell>
          <cell r="Q499" t="str">
            <v>Pièces</v>
          </cell>
          <cell r="R499" t="str">
            <v>Bénéfices marginaux</v>
          </cell>
        </row>
        <row r="500">
          <cell r="N500">
            <v>408.37</v>
          </cell>
          <cell r="O500" t="str">
            <v>E</v>
          </cell>
          <cell r="Q500" t="str">
            <v>Carrosserie</v>
          </cell>
          <cell r="R500" t="str">
            <v>Bénéfices marginaux</v>
          </cell>
        </row>
        <row r="501">
          <cell r="N501">
            <v>2057.8200000000002</v>
          </cell>
          <cell r="O501" t="str">
            <v>E</v>
          </cell>
          <cell r="Q501" t="str">
            <v>Véhicules neufs</v>
          </cell>
          <cell r="R501" t="str">
            <v>Csst</v>
          </cell>
        </row>
        <row r="502">
          <cell r="N502">
            <v>456.84</v>
          </cell>
          <cell r="O502" t="str">
            <v>E</v>
          </cell>
          <cell r="Q502" t="str">
            <v>Véhicules usagés</v>
          </cell>
          <cell r="R502" t="str">
            <v>Csst</v>
          </cell>
        </row>
        <row r="503">
          <cell r="N503">
            <v>1028.9000000000001</v>
          </cell>
          <cell r="O503" t="str">
            <v>E</v>
          </cell>
          <cell r="Q503" t="str">
            <v>Service</v>
          </cell>
          <cell r="R503" t="str">
            <v>Csst</v>
          </cell>
        </row>
        <row r="504">
          <cell r="N504">
            <v>914.7</v>
          </cell>
          <cell r="O504" t="str">
            <v>E</v>
          </cell>
          <cell r="Q504" t="str">
            <v>Pièces</v>
          </cell>
          <cell r="R504" t="str">
            <v>Csst</v>
          </cell>
        </row>
        <row r="505">
          <cell r="N505">
            <v>114.22</v>
          </cell>
          <cell r="O505" t="str">
            <v>E</v>
          </cell>
          <cell r="Q505" t="str">
            <v>Carrosserie</v>
          </cell>
          <cell r="R505" t="str">
            <v>Csst</v>
          </cell>
        </row>
        <row r="506">
          <cell r="N506">
            <v>5037.0600000000004</v>
          </cell>
          <cell r="O506" t="str">
            <v>E</v>
          </cell>
          <cell r="Q506" t="str">
            <v>Véhicules neufs</v>
          </cell>
          <cell r="R506" t="str">
            <v>Csst</v>
          </cell>
        </row>
        <row r="507">
          <cell r="N507">
            <v>1119.24</v>
          </cell>
          <cell r="O507" t="str">
            <v>E</v>
          </cell>
          <cell r="Q507" t="str">
            <v>Véhicules usagés</v>
          </cell>
          <cell r="R507" t="str">
            <v>Csst</v>
          </cell>
        </row>
        <row r="508">
          <cell r="N508">
            <v>2519.04</v>
          </cell>
          <cell r="O508" t="str">
            <v>E</v>
          </cell>
          <cell r="Q508" t="str">
            <v>Service</v>
          </cell>
          <cell r="R508" t="str">
            <v>Csst</v>
          </cell>
        </row>
        <row r="509">
          <cell r="N509">
            <v>2238.48</v>
          </cell>
          <cell r="O509" t="str">
            <v>E</v>
          </cell>
          <cell r="Q509" t="str">
            <v>Pièces</v>
          </cell>
          <cell r="R509" t="str">
            <v>Csst</v>
          </cell>
        </row>
        <row r="510">
          <cell r="N510">
            <v>279.56</v>
          </cell>
          <cell r="O510" t="str">
            <v>E</v>
          </cell>
          <cell r="Q510" t="str">
            <v>Carrosserie</v>
          </cell>
          <cell r="R510" t="str">
            <v>Csst</v>
          </cell>
        </row>
        <row r="511">
          <cell r="N511">
            <v>4805.2299999999996</v>
          </cell>
          <cell r="O511" t="str">
            <v>E</v>
          </cell>
          <cell r="Q511" t="str">
            <v>Véhicules neufs</v>
          </cell>
          <cell r="R511" t="str">
            <v>Frais véhicules de cie</v>
          </cell>
        </row>
        <row r="512">
          <cell r="N512">
            <v>461.09</v>
          </cell>
          <cell r="O512" t="str">
            <v>E</v>
          </cell>
          <cell r="Q512" t="str">
            <v>Véhicules usagés</v>
          </cell>
          <cell r="R512" t="str">
            <v>Frais véhicules de cie</v>
          </cell>
        </row>
        <row r="513">
          <cell r="N513">
            <v>811.78</v>
          </cell>
          <cell r="O513" t="str">
            <v>E</v>
          </cell>
          <cell r="Q513" t="str">
            <v>Service</v>
          </cell>
          <cell r="R513" t="str">
            <v>Frais véhicules de cie</v>
          </cell>
        </row>
        <row r="514">
          <cell r="N514">
            <v>922.13</v>
          </cell>
          <cell r="O514" t="str">
            <v>E</v>
          </cell>
          <cell r="Q514" t="str">
            <v>Pièces</v>
          </cell>
          <cell r="R514" t="str">
            <v>Frais véhicules de cie</v>
          </cell>
        </row>
        <row r="515">
          <cell r="N515">
            <v>116.21</v>
          </cell>
          <cell r="O515" t="str">
            <v>E</v>
          </cell>
          <cell r="Q515" t="str">
            <v>Carrosserie</v>
          </cell>
          <cell r="R515" t="str">
            <v>Frais véhicules de cie</v>
          </cell>
        </row>
        <row r="516">
          <cell r="N516">
            <v>14640.59</v>
          </cell>
          <cell r="O516" t="str">
            <v>E</v>
          </cell>
          <cell r="Q516" t="str">
            <v>Véhicules neufs</v>
          </cell>
          <cell r="R516" t="str">
            <v>Frais véhicules de cie</v>
          </cell>
        </row>
        <row r="517">
          <cell r="N517">
            <v>1383.25</v>
          </cell>
          <cell r="O517" t="str">
            <v>E</v>
          </cell>
          <cell r="Q517" t="str">
            <v>Véhicules usagés</v>
          </cell>
          <cell r="R517" t="str">
            <v>Frais véhicules de cie</v>
          </cell>
        </row>
        <row r="518">
          <cell r="N518">
            <v>3079.79</v>
          </cell>
          <cell r="O518" t="str">
            <v>E</v>
          </cell>
          <cell r="Q518" t="str">
            <v>Service</v>
          </cell>
          <cell r="R518" t="str">
            <v>Frais véhicules de cie</v>
          </cell>
        </row>
        <row r="519">
          <cell r="N519">
            <v>2766.45</v>
          </cell>
          <cell r="O519" t="str">
            <v>E</v>
          </cell>
          <cell r="Q519" t="str">
            <v>Pièces</v>
          </cell>
          <cell r="R519" t="str">
            <v>Frais véhicules de cie</v>
          </cell>
        </row>
        <row r="520">
          <cell r="N520">
            <v>344.91</v>
          </cell>
          <cell r="O520" t="str">
            <v>E</v>
          </cell>
          <cell r="Q520" t="str">
            <v>Carrosserie</v>
          </cell>
          <cell r="R520" t="str">
            <v>Frais véhicules de cie</v>
          </cell>
        </row>
        <row r="521">
          <cell r="N521">
            <v>133.07</v>
          </cell>
          <cell r="O521" t="str">
            <v>E</v>
          </cell>
          <cell r="Q521" t="str">
            <v>Véhicules neufs</v>
          </cell>
          <cell r="R521" t="str">
            <v>Frais véhicules de cie</v>
          </cell>
        </row>
        <row r="522">
          <cell r="N522">
            <v>46.55</v>
          </cell>
          <cell r="O522" t="str">
            <v>E</v>
          </cell>
          <cell r="Q522" t="str">
            <v>Véhicules usagés</v>
          </cell>
          <cell r="R522" t="str">
            <v>Frais véhicules de cie</v>
          </cell>
        </row>
        <row r="523">
          <cell r="N523">
            <v>65891.41</v>
          </cell>
          <cell r="O523" t="str">
            <v>E</v>
          </cell>
          <cell r="Q523" t="str">
            <v>Service</v>
          </cell>
          <cell r="R523" t="str">
            <v>Frais véhicules de cie</v>
          </cell>
        </row>
        <row r="524">
          <cell r="N524">
            <v>384.14</v>
          </cell>
          <cell r="O524" t="str">
            <v>E</v>
          </cell>
          <cell r="Q524" t="str">
            <v>Véhicules neufs</v>
          </cell>
          <cell r="R524" t="str">
            <v>Frais véhicules de cie</v>
          </cell>
        </row>
        <row r="525">
          <cell r="N525">
            <v>1723.52</v>
          </cell>
          <cell r="O525" t="str">
            <v>E</v>
          </cell>
          <cell r="Q525" t="str">
            <v>Véhicules usagés</v>
          </cell>
          <cell r="R525" t="str">
            <v>Frais véhicules de cie</v>
          </cell>
        </row>
        <row r="526">
          <cell r="N526">
            <v>127498.38</v>
          </cell>
          <cell r="O526" t="str">
            <v>E</v>
          </cell>
          <cell r="Q526" t="str">
            <v>Service</v>
          </cell>
          <cell r="R526" t="str">
            <v>Frais véhicules de cie</v>
          </cell>
        </row>
        <row r="527">
          <cell r="N527">
            <v>0</v>
          </cell>
          <cell r="O527" t="str">
            <v>E</v>
          </cell>
          <cell r="Q527" t="str">
            <v>Véhicules neufs</v>
          </cell>
          <cell r="R527" t="str">
            <v>Frais véhicules de cie</v>
          </cell>
        </row>
        <row r="528">
          <cell r="N528">
            <v>-40824</v>
          </cell>
          <cell r="O528" t="str">
            <v>E</v>
          </cell>
          <cell r="Q528" t="str">
            <v>Service</v>
          </cell>
          <cell r="R528" t="str">
            <v>Frais véhicules de cie</v>
          </cell>
        </row>
        <row r="529">
          <cell r="N529">
            <v>0</v>
          </cell>
          <cell r="O529" t="str">
            <v>E</v>
          </cell>
          <cell r="Q529" t="str">
            <v>Véhicules neufs</v>
          </cell>
          <cell r="R529" t="str">
            <v>Frais véhicules de cie</v>
          </cell>
        </row>
        <row r="530">
          <cell r="N530">
            <v>-21978</v>
          </cell>
          <cell r="O530" t="str">
            <v>E</v>
          </cell>
          <cell r="Q530" t="str">
            <v>Service</v>
          </cell>
          <cell r="R530" t="str">
            <v>Frais véhicules de cie</v>
          </cell>
        </row>
        <row r="531">
          <cell r="N531">
            <v>45</v>
          </cell>
          <cell r="O531" t="str">
            <v>E</v>
          </cell>
          <cell r="Q531" t="str">
            <v>Véhicules neufs</v>
          </cell>
          <cell r="R531" t="str">
            <v>Uniformes</v>
          </cell>
        </row>
        <row r="532">
          <cell r="N532">
            <v>11.5</v>
          </cell>
          <cell r="O532" t="str">
            <v>E</v>
          </cell>
          <cell r="Q532" t="str">
            <v>Véhicules usagés</v>
          </cell>
          <cell r="R532" t="str">
            <v>Uniformes</v>
          </cell>
        </row>
        <row r="533">
          <cell r="N533">
            <v>450</v>
          </cell>
          <cell r="O533" t="str">
            <v>E</v>
          </cell>
          <cell r="Q533" t="str">
            <v>Service</v>
          </cell>
          <cell r="R533" t="str">
            <v>Uniformes</v>
          </cell>
        </row>
        <row r="534">
          <cell r="N534">
            <v>45</v>
          </cell>
          <cell r="O534" t="str">
            <v>E</v>
          </cell>
          <cell r="Q534" t="str">
            <v>Pièces</v>
          </cell>
          <cell r="R534" t="str">
            <v>Uniformes</v>
          </cell>
        </row>
        <row r="535">
          <cell r="N535">
            <v>135</v>
          </cell>
          <cell r="O535" t="str">
            <v>E</v>
          </cell>
          <cell r="Q535" t="str">
            <v>Véhicules neufs</v>
          </cell>
          <cell r="R535" t="str">
            <v>Uniformes</v>
          </cell>
        </row>
        <row r="536">
          <cell r="N536">
            <v>33.5</v>
          </cell>
          <cell r="O536" t="str">
            <v>E</v>
          </cell>
          <cell r="Q536" t="str">
            <v>Véhicules usagés</v>
          </cell>
          <cell r="R536" t="str">
            <v>Uniformes</v>
          </cell>
        </row>
        <row r="537">
          <cell r="N537">
            <v>1350</v>
          </cell>
          <cell r="O537" t="str">
            <v>E</v>
          </cell>
          <cell r="Q537" t="str">
            <v>Service</v>
          </cell>
          <cell r="R537" t="str">
            <v>Uniformes</v>
          </cell>
        </row>
        <row r="538">
          <cell r="N538">
            <v>135</v>
          </cell>
          <cell r="O538" t="str">
            <v>E</v>
          </cell>
          <cell r="Q538" t="str">
            <v>Pièces</v>
          </cell>
          <cell r="R538" t="str">
            <v>Uniformes</v>
          </cell>
        </row>
        <row r="539">
          <cell r="N539">
            <v>708.75</v>
          </cell>
          <cell r="O539" t="str">
            <v>E</v>
          </cell>
          <cell r="Q539" t="str">
            <v>Véhicules neufs</v>
          </cell>
          <cell r="R539" t="str">
            <v>Papeterie</v>
          </cell>
        </row>
        <row r="540">
          <cell r="N540">
            <v>157.5</v>
          </cell>
          <cell r="O540" t="str">
            <v>E</v>
          </cell>
          <cell r="Q540" t="str">
            <v>Véhicules usagés</v>
          </cell>
          <cell r="R540" t="str">
            <v>Papeterie</v>
          </cell>
        </row>
        <row r="541">
          <cell r="N541">
            <v>354.69</v>
          </cell>
          <cell r="O541" t="str">
            <v>E</v>
          </cell>
          <cell r="Q541" t="str">
            <v>Service</v>
          </cell>
          <cell r="R541" t="str">
            <v>Papeterie</v>
          </cell>
        </row>
        <row r="542">
          <cell r="N542">
            <v>315</v>
          </cell>
          <cell r="O542" t="str">
            <v>E</v>
          </cell>
          <cell r="Q542" t="str">
            <v>Pièces</v>
          </cell>
          <cell r="R542" t="str">
            <v>Papeterie</v>
          </cell>
        </row>
        <row r="543">
          <cell r="N543">
            <v>39.69</v>
          </cell>
          <cell r="O543" t="str">
            <v>E</v>
          </cell>
          <cell r="Q543" t="str">
            <v>Carrosserie</v>
          </cell>
          <cell r="R543" t="str">
            <v>Papeterie</v>
          </cell>
        </row>
        <row r="544">
          <cell r="N544">
            <v>2126.25</v>
          </cell>
          <cell r="O544" t="str">
            <v>E</v>
          </cell>
          <cell r="Q544" t="str">
            <v>Véhicules neufs</v>
          </cell>
          <cell r="R544" t="str">
            <v>Papeterie</v>
          </cell>
        </row>
        <row r="545">
          <cell r="N545">
            <v>1001.23</v>
          </cell>
          <cell r="O545" t="str">
            <v>E</v>
          </cell>
          <cell r="Q545" t="str">
            <v>Véhicules usagés</v>
          </cell>
          <cell r="R545" t="str">
            <v>Papeterie</v>
          </cell>
        </row>
        <row r="546">
          <cell r="N546">
            <v>1062.81</v>
          </cell>
          <cell r="O546" t="str">
            <v>E</v>
          </cell>
          <cell r="Q546" t="str">
            <v>Service</v>
          </cell>
          <cell r="R546" t="str">
            <v>Papeterie</v>
          </cell>
        </row>
        <row r="547">
          <cell r="N547">
            <v>945</v>
          </cell>
          <cell r="O547" t="str">
            <v>E</v>
          </cell>
          <cell r="Q547" t="str">
            <v>Pièces</v>
          </cell>
          <cell r="R547" t="str">
            <v>Papeterie</v>
          </cell>
        </row>
        <row r="548">
          <cell r="N548">
            <v>117.81</v>
          </cell>
          <cell r="O548" t="str">
            <v>E</v>
          </cell>
          <cell r="Q548" t="str">
            <v>Carrosserie</v>
          </cell>
          <cell r="R548" t="str">
            <v>Papeterie</v>
          </cell>
        </row>
        <row r="549">
          <cell r="N549">
            <v>486.61</v>
          </cell>
          <cell r="O549" t="str">
            <v>E</v>
          </cell>
          <cell r="Q549" t="str">
            <v>Véhicules neufs</v>
          </cell>
          <cell r="R549" t="str">
            <v>Fournitures autres</v>
          </cell>
        </row>
        <row r="550">
          <cell r="N550">
            <v>17.25</v>
          </cell>
          <cell r="O550" t="str">
            <v>E</v>
          </cell>
          <cell r="Q550" t="str">
            <v>Véhicules usagés</v>
          </cell>
          <cell r="R550" t="str">
            <v>Fournitures autres</v>
          </cell>
        </row>
        <row r="551">
          <cell r="N551">
            <v>2802.95</v>
          </cell>
          <cell r="O551" t="str">
            <v>E</v>
          </cell>
          <cell r="Q551" t="str">
            <v>Service</v>
          </cell>
          <cell r="R551" t="str">
            <v>Fournitures autres</v>
          </cell>
        </row>
        <row r="552">
          <cell r="N552">
            <v>48.74</v>
          </cell>
          <cell r="O552" t="str">
            <v>E</v>
          </cell>
          <cell r="Q552" t="str">
            <v>Pièces</v>
          </cell>
          <cell r="R552" t="str">
            <v>Fournitures autres</v>
          </cell>
        </row>
        <row r="553">
          <cell r="N553">
            <v>194.07</v>
          </cell>
          <cell r="O553" t="str">
            <v>E</v>
          </cell>
          <cell r="Q553" t="str">
            <v>Carrosserie</v>
          </cell>
          <cell r="R553" t="str">
            <v>Fournitures autres</v>
          </cell>
        </row>
        <row r="554">
          <cell r="N554">
            <v>51.74</v>
          </cell>
          <cell r="O554" t="str">
            <v>E</v>
          </cell>
          <cell r="Q554" t="str">
            <v>Véhicules usagés</v>
          </cell>
          <cell r="R554" t="str">
            <v>Fournitures autres</v>
          </cell>
        </row>
        <row r="555">
          <cell r="N555">
            <v>3640.29</v>
          </cell>
          <cell r="O555" t="str">
            <v>E</v>
          </cell>
          <cell r="Q555" t="str">
            <v>Service</v>
          </cell>
          <cell r="R555" t="str">
            <v>Fournitures autres</v>
          </cell>
        </row>
        <row r="556">
          <cell r="N556">
            <v>26.21</v>
          </cell>
          <cell r="O556" t="str">
            <v>E</v>
          </cell>
          <cell r="Q556" t="str">
            <v>Pièces</v>
          </cell>
          <cell r="R556" t="str">
            <v>Fournitures autres</v>
          </cell>
        </row>
        <row r="557">
          <cell r="N557">
            <v>16.61</v>
          </cell>
          <cell r="O557" t="str">
            <v>E</v>
          </cell>
          <cell r="Q557" t="str">
            <v>Carrosserie</v>
          </cell>
          <cell r="R557" t="str">
            <v>Fournitures autres</v>
          </cell>
        </row>
        <row r="558">
          <cell r="N558">
            <v>2856.02</v>
          </cell>
          <cell r="O558" t="str">
            <v>E</v>
          </cell>
          <cell r="Q558" t="str">
            <v>Service</v>
          </cell>
          <cell r="R558" t="str">
            <v>Service gratuit 2</v>
          </cell>
        </row>
        <row r="559">
          <cell r="N559">
            <v>1337.87</v>
          </cell>
          <cell r="O559" t="str">
            <v>E</v>
          </cell>
          <cell r="Q559" t="str">
            <v>Véhicules usagés</v>
          </cell>
          <cell r="R559" t="str">
            <v>Service gratuit 1</v>
          </cell>
        </row>
        <row r="560">
          <cell r="N560">
            <v>8869.51</v>
          </cell>
          <cell r="O560" t="str">
            <v>E</v>
          </cell>
          <cell r="Q560" t="str">
            <v>Service</v>
          </cell>
          <cell r="R560" t="str">
            <v>Service gratuit 2</v>
          </cell>
        </row>
        <row r="561">
          <cell r="N561">
            <v>-5.15</v>
          </cell>
          <cell r="O561" t="str">
            <v>E</v>
          </cell>
          <cell r="Q561" t="str">
            <v>Service</v>
          </cell>
          <cell r="R561" t="str">
            <v>Service gratuit 2</v>
          </cell>
        </row>
        <row r="562">
          <cell r="N562">
            <v>-38.380000000000003</v>
          </cell>
          <cell r="O562" t="str">
            <v>E</v>
          </cell>
          <cell r="Q562" t="str">
            <v>Service</v>
          </cell>
          <cell r="R562" t="str">
            <v>Service gratuit 2</v>
          </cell>
        </row>
        <row r="563">
          <cell r="N563">
            <v>3379.27</v>
          </cell>
          <cell r="O563" t="str">
            <v>E</v>
          </cell>
          <cell r="Q563" t="str">
            <v>Véhicules neufs</v>
          </cell>
          <cell r="R563" t="str">
            <v>Informatique</v>
          </cell>
        </row>
        <row r="564">
          <cell r="N564">
            <v>771.55</v>
          </cell>
          <cell r="O564" t="str">
            <v>E</v>
          </cell>
          <cell r="Q564" t="str">
            <v>Véhicules usagés</v>
          </cell>
          <cell r="R564" t="str">
            <v>Informatique</v>
          </cell>
        </row>
        <row r="565">
          <cell r="N565">
            <v>1663.62</v>
          </cell>
          <cell r="O565" t="str">
            <v>E</v>
          </cell>
          <cell r="Q565" t="str">
            <v>Service</v>
          </cell>
          <cell r="R565" t="str">
            <v>Informatique</v>
          </cell>
        </row>
        <row r="566">
          <cell r="N566">
            <v>1475.07</v>
          </cell>
          <cell r="O566" t="str">
            <v>E</v>
          </cell>
          <cell r="Q566" t="str">
            <v>Pièces</v>
          </cell>
          <cell r="R566" t="str">
            <v>Informatique</v>
          </cell>
        </row>
        <row r="567">
          <cell r="N567">
            <v>185.8</v>
          </cell>
          <cell r="O567" t="str">
            <v>E</v>
          </cell>
          <cell r="Q567" t="str">
            <v>Carrosserie</v>
          </cell>
          <cell r="R567" t="str">
            <v>Informatique</v>
          </cell>
        </row>
        <row r="568">
          <cell r="N568">
            <v>10137.719999999999</v>
          </cell>
          <cell r="O568" t="str">
            <v>E</v>
          </cell>
          <cell r="Q568" t="str">
            <v>Véhicules neufs</v>
          </cell>
          <cell r="R568" t="str">
            <v>Informatique</v>
          </cell>
        </row>
        <row r="569">
          <cell r="N569">
            <v>2314.5100000000002</v>
          </cell>
          <cell r="O569" t="str">
            <v>E</v>
          </cell>
          <cell r="Q569" t="str">
            <v>Véhicules usagés</v>
          </cell>
          <cell r="R569" t="str">
            <v>Informatique</v>
          </cell>
        </row>
        <row r="570">
          <cell r="N570">
            <v>4985.16</v>
          </cell>
          <cell r="O570" t="str">
            <v>E</v>
          </cell>
          <cell r="Q570" t="str">
            <v>Service</v>
          </cell>
          <cell r="R570" t="str">
            <v>Informatique</v>
          </cell>
        </row>
        <row r="571">
          <cell r="N571">
            <v>4425.17</v>
          </cell>
          <cell r="O571" t="str">
            <v>E</v>
          </cell>
          <cell r="Q571" t="str">
            <v>Pièces</v>
          </cell>
          <cell r="R571" t="str">
            <v>Informatique</v>
          </cell>
        </row>
        <row r="572">
          <cell r="N572">
            <v>551.62</v>
          </cell>
          <cell r="O572" t="str">
            <v>E</v>
          </cell>
          <cell r="Q572" t="str">
            <v>Carrosserie</v>
          </cell>
          <cell r="R572" t="str">
            <v>Informatique</v>
          </cell>
        </row>
        <row r="573">
          <cell r="N573">
            <v>7165.72</v>
          </cell>
          <cell r="O573" t="str">
            <v>E</v>
          </cell>
          <cell r="Q573" t="str">
            <v>Véhicules neufs</v>
          </cell>
          <cell r="R573" t="str">
            <v>services extérieurs</v>
          </cell>
        </row>
        <row r="574">
          <cell r="N574">
            <v>1332.78</v>
          </cell>
          <cell r="O574" t="str">
            <v>E</v>
          </cell>
          <cell r="Q574" t="str">
            <v>Véhicules usagés</v>
          </cell>
          <cell r="R574" t="str">
            <v>services extérieurs</v>
          </cell>
        </row>
        <row r="575">
          <cell r="N575">
            <v>5524.75</v>
          </cell>
          <cell r="O575" t="str">
            <v>E</v>
          </cell>
          <cell r="Q575" t="str">
            <v>Service</v>
          </cell>
          <cell r="R575" t="str">
            <v>services extérieurs</v>
          </cell>
        </row>
        <row r="576">
          <cell r="N576">
            <v>7136.07</v>
          </cell>
          <cell r="O576" t="str">
            <v>E</v>
          </cell>
          <cell r="Q576" t="str">
            <v>Pièces</v>
          </cell>
          <cell r="R576" t="str">
            <v>services extérieurs</v>
          </cell>
        </row>
        <row r="577">
          <cell r="N577">
            <v>335.88</v>
          </cell>
          <cell r="O577" t="str">
            <v>E</v>
          </cell>
          <cell r="Q577" t="str">
            <v>Carrosserie</v>
          </cell>
          <cell r="R577" t="str">
            <v>Services extérieurs</v>
          </cell>
        </row>
        <row r="578">
          <cell r="N578">
            <v>21549.18</v>
          </cell>
          <cell r="O578" t="str">
            <v>E</v>
          </cell>
          <cell r="Q578" t="str">
            <v>Véhicules neufs</v>
          </cell>
          <cell r="R578" t="str">
            <v>services extérieurs</v>
          </cell>
        </row>
        <row r="579">
          <cell r="N579">
            <v>4055.27</v>
          </cell>
          <cell r="O579" t="str">
            <v>E</v>
          </cell>
          <cell r="Q579" t="str">
            <v>Véhicules usagés</v>
          </cell>
          <cell r="R579" t="str">
            <v>services extérieurs</v>
          </cell>
        </row>
        <row r="580">
          <cell r="N580">
            <v>17419.11</v>
          </cell>
          <cell r="O580" t="str">
            <v>E</v>
          </cell>
          <cell r="Q580" t="str">
            <v>Service</v>
          </cell>
          <cell r="R580" t="str">
            <v>services extérieurs</v>
          </cell>
        </row>
        <row r="581">
          <cell r="N581">
            <v>21941.54</v>
          </cell>
          <cell r="O581" t="str">
            <v>E</v>
          </cell>
          <cell r="Q581" t="str">
            <v>Pièces</v>
          </cell>
          <cell r="R581" t="str">
            <v>services extérieurs</v>
          </cell>
        </row>
        <row r="582">
          <cell r="N582">
            <v>996.92</v>
          </cell>
          <cell r="O582" t="str">
            <v>E</v>
          </cell>
          <cell r="Q582" t="str">
            <v>Carrosserie</v>
          </cell>
          <cell r="R582" t="str">
            <v>Services extérieurs</v>
          </cell>
        </row>
        <row r="583">
          <cell r="N583">
            <v>1733.94</v>
          </cell>
          <cell r="O583" t="str">
            <v>E</v>
          </cell>
          <cell r="Q583" t="str">
            <v>Véhicules neufs</v>
          </cell>
          <cell r="R583" t="str">
            <v>Frais de déplacement</v>
          </cell>
        </row>
        <row r="584">
          <cell r="N584">
            <v>384.88</v>
          </cell>
          <cell r="O584" t="str">
            <v>E</v>
          </cell>
          <cell r="Q584" t="str">
            <v>Véhicules usagés</v>
          </cell>
          <cell r="R584" t="str">
            <v>Frais de déplacement</v>
          </cell>
        </row>
        <row r="585">
          <cell r="N585">
            <v>866.96</v>
          </cell>
          <cell r="O585" t="str">
            <v>E</v>
          </cell>
          <cell r="Q585" t="str">
            <v>Service</v>
          </cell>
          <cell r="R585" t="str">
            <v>Frais de déplacement</v>
          </cell>
        </row>
        <row r="586">
          <cell r="N586">
            <v>770.76</v>
          </cell>
          <cell r="O586" t="str">
            <v>E</v>
          </cell>
          <cell r="Q586" t="str">
            <v>Pièces</v>
          </cell>
          <cell r="R586" t="str">
            <v>Frais de déplacement</v>
          </cell>
        </row>
        <row r="587">
          <cell r="N587">
            <v>96.22</v>
          </cell>
          <cell r="O587" t="str">
            <v>E</v>
          </cell>
          <cell r="Q587" t="str">
            <v>Carrosserie</v>
          </cell>
          <cell r="R587" t="str">
            <v>Frais de déplacement</v>
          </cell>
        </row>
        <row r="588">
          <cell r="N588">
            <v>5201.82</v>
          </cell>
          <cell r="O588" t="str">
            <v>E</v>
          </cell>
          <cell r="Q588" t="str">
            <v>Véhicules neufs</v>
          </cell>
          <cell r="R588" t="str">
            <v>Frais de déplacement</v>
          </cell>
        </row>
        <row r="589">
          <cell r="N589">
            <v>1155.6199999999999</v>
          </cell>
          <cell r="O589" t="str">
            <v>E</v>
          </cell>
          <cell r="Q589" t="str">
            <v>Véhicules usagés</v>
          </cell>
          <cell r="R589" t="str">
            <v>Frais de déplacement</v>
          </cell>
        </row>
        <row r="590">
          <cell r="N590">
            <v>2600.9</v>
          </cell>
          <cell r="O590" t="str">
            <v>E</v>
          </cell>
          <cell r="Q590" t="str">
            <v>Service</v>
          </cell>
          <cell r="R590" t="str">
            <v>Frais de déplacement</v>
          </cell>
        </row>
        <row r="591">
          <cell r="N591">
            <v>2312.2600000000002</v>
          </cell>
          <cell r="O591" t="str">
            <v>E</v>
          </cell>
          <cell r="Q591" t="str">
            <v>Pièces</v>
          </cell>
          <cell r="R591" t="str">
            <v>Frais de déplacement</v>
          </cell>
        </row>
        <row r="592">
          <cell r="N592">
            <v>288.66000000000003</v>
          </cell>
          <cell r="O592" t="str">
            <v>E</v>
          </cell>
          <cell r="Q592" t="str">
            <v>Carrosserie</v>
          </cell>
          <cell r="R592" t="str">
            <v>Frais de déplacement</v>
          </cell>
        </row>
        <row r="593">
          <cell r="N593">
            <v>976.05</v>
          </cell>
          <cell r="O593" t="str">
            <v>E</v>
          </cell>
          <cell r="Q593" t="str">
            <v>Véhicules neufs</v>
          </cell>
          <cell r="R593" t="str">
            <v>divers</v>
          </cell>
        </row>
        <row r="594">
          <cell r="N594">
            <v>216.9</v>
          </cell>
          <cell r="O594" t="str">
            <v>E</v>
          </cell>
          <cell r="Q594" t="str">
            <v>Véhicules usagés</v>
          </cell>
          <cell r="R594" t="str">
            <v>divers</v>
          </cell>
        </row>
        <row r="595">
          <cell r="N595">
            <v>488.46</v>
          </cell>
          <cell r="O595" t="str">
            <v>E</v>
          </cell>
          <cell r="Q595" t="str">
            <v>Service</v>
          </cell>
          <cell r="R595" t="str">
            <v>divers</v>
          </cell>
        </row>
        <row r="596">
          <cell r="N596">
            <v>433.8</v>
          </cell>
          <cell r="O596" t="str">
            <v>E</v>
          </cell>
          <cell r="Q596" t="str">
            <v>Pièces</v>
          </cell>
          <cell r="R596" t="str">
            <v>divers</v>
          </cell>
        </row>
        <row r="597">
          <cell r="N597">
            <v>54.66</v>
          </cell>
          <cell r="O597" t="str">
            <v>E</v>
          </cell>
          <cell r="Q597" t="str">
            <v>Carrosserie</v>
          </cell>
          <cell r="R597" t="str">
            <v>Divers</v>
          </cell>
        </row>
        <row r="598">
          <cell r="N598">
            <v>2928.15</v>
          </cell>
          <cell r="O598" t="str">
            <v>E</v>
          </cell>
          <cell r="Q598" t="str">
            <v>Véhicules neufs</v>
          </cell>
          <cell r="R598" t="str">
            <v>divers</v>
          </cell>
        </row>
        <row r="599">
          <cell r="N599">
            <v>650.70000000000005</v>
          </cell>
          <cell r="O599" t="str">
            <v>E</v>
          </cell>
          <cell r="Q599" t="str">
            <v>Véhicules usagés</v>
          </cell>
          <cell r="R599" t="str">
            <v>divers</v>
          </cell>
        </row>
        <row r="600">
          <cell r="N600">
            <v>1463.64</v>
          </cell>
          <cell r="O600" t="str">
            <v>E</v>
          </cell>
          <cell r="Q600" t="str">
            <v>Service</v>
          </cell>
          <cell r="R600" t="str">
            <v>divers</v>
          </cell>
        </row>
        <row r="601">
          <cell r="N601">
            <v>1301.4000000000001</v>
          </cell>
          <cell r="O601" t="str">
            <v>E</v>
          </cell>
          <cell r="Q601" t="str">
            <v>Pièces</v>
          </cell>
          <cell r="R601" t="str">
            <v>divers</v>
          </cell>
        </row>
        <row r="602">
          <cell r="N602">
            <v>162.24</v>
          </cell>
          <cell r="O602" t="str">
            <v>E</v>
          </cell>
          <cell r="Q602" t="str">
            <v>Carrosserie</v>
          </cell>
          <cell r="R602" t="str">
            <v>Divers</v>
          </cell>
        </row>
        <row r="603">
          <cell r="N603">
            <v>3607.98</v>
          </cell>
          <cell r="O603" t="str">
            <v>E</v>
          </cell>
          <cell r="Q603" t="str">
            <v>Véhicules neufs</v>
          </cell>
          <cell r="R603" t="str">
            <v>Honoraires</v>
          </cell>
        </row>
        <row r="604">
          <cell r="N604">
            <v>801.78</v>
          </cell>
          <cell r="O604" t="str">
            <v>E</v>
          </cell>
          <cell r="Q604" t="str">
            <v>Véhicules usagés</v>
          </cell>
          <cell r="R604" t="str">
            <v>Honoraires</v>
          </cell>
        </row>
        <row r="605">
          <cell r="N605">
            <v>1805.58</v>
          </cell>
          <cell r="O605" t="str">
            <v>E</v>
          </cell>
          <cell r="Q605" t="str">
            <v>Service</v>
          </cell>
          <cell r="R605" t="str">
            <v>Honoraires</v>
          </cell>
        </row>
        <row r="606">
          <cell r="N606">
            <v>1603.56</v>
          </cell>
          <cell r="O606" t="str">
            <v>E</v>
          </cell>
          <cell r="Q606" t="str">
            <v>Pièces</v>
          </cell>
          <cell r="R606" t="str">
            <v>Honoraires</v>
          </cell>
        </row>
        <row r="607">
          <cell r="N607">
            <v>202.02</v>
          </cell>
          <cell r="O607" t="str">
            <v>E</v>
          </cell>
          <cell r="Q607" t="str">
            <v>Carrosserie</v>
          </cell>
          <cell r="R607" t="str">
            <v>Honoraires</v>
          </cell>
        </row>
        <row r="608">
          <cell r="N608">
            <v>10823.97</v>
          </cell>
          <cell r="O608" t="str">
            <v>E</v>
          </cell>
          <cell r="Q608" t="str">
            <v>Véhicules neufs</v>
          </cell>
          <cell r="R608" t="str">
            <v>Honoraires</v>
          </cell>
        </row>
        <row r="609">
          <cell r="N609">
            <v>2405.34</v>
          </cell>
          <cell r="O609" t="str">
            <v>E</v>
          </cell>
          <cell r="Q609" t="str">
            <v>Véhicules usagés</v>
          </cell>
          <cell r="R609" t="str">
            <v>Honoraires</v>
          </cell>
        </row>
        <row r="610">
          <cell r="N610">
            <v>5410.38</v>
          </cell>
          <cell r="O610" t="str">
            <v>E</v>
          </cell>
          <cell r="Q610" t="str">
            <v>Service</v>
          </cell>
          <cell r="R610" t="str">
            <v>Honoraires</v>
          </cell>
        </row>
        <row r="611">
          <cell r="N611">
            <v>4810.6499999999996</v>
          </cell>
          <cell r="O611" t="str">
            <v>E</v>
          </cell>
          <cell r="Q611" t="str">
            <v>Pièces</v>
          </cell>
          <cell r="R611" t="str">
            <v>Honoraires</v>
          </cell>
        </row>
        <row r="612">
          <cell r="N612">
            <v>599.73</v>
          </cell>
          <cell r="O612" t="str">
            <v>E</v>
          </cell>
          <cell r="Q612" t="str">
            <v>Carrosserie</v>
          </cell>
          <cell r="R612" t="str">
            <v>Honoraires</v>
          </cell>
        </row>
        <row r="613">
          <cell r="N613">
            <v>280.83</v>
          </cell>
          <cell r="O613" t="str">
            <v>E</v>
          </cell>
          <cell r="Q613" t="str">
            <v>Véhicules neufs</v>
          </cell>
          <cell r="R613" t="str">
            <v>Téléphone</v>
          </cell>
        </row>
        <row r="614">
          <cell r="N614">
            <v>67.98</v>
          </cell>
          <cell r="O614" t="str">
            <v>E</v>
          </cell>
          <cell r="Q614" t="str">
            <v>Véhicules usagés</v>
          </cell>
          <cell r="R614" t="str">
            <v>Téléphone</v>
          </cell>
        </row>
        <row r="615">
          <cell r="N615">
            <v>167.28</v>
          </cell>
          <cell r="O615" t="str">
            <v>E</v>
          </cell>
          <cell r="Q615" t="str">
            <v>Service</v>
          </cell>
          <cell r="R615" t="str">
            <v>Téléphone</v>
          </cell>
        </row>
        <row r="616">
          <cell r="N616">
            <v>125.94</v>
          </cell>
          <cell r="O616" t="str">
            <v>E</v>
          </cell>
          <cell r="Q616" t="str">
            <v>Pièces</v>
          </cell>
          <cell r="R616" t="str">
            <v>Téléphone</v>
          </cell>
        </row>
        <row r="617">
          <cell r="N617">
            <v>14.61</v>
          </cell>
          <cell r="O617" t="str">
            <v>E</v>
          </cell>
          <cell r="Q617" t="str">
            <v>Carrosserie</v>
          </cell>
          <cell r="R617" t="str">
            <v>Téléphone</v>
          </cell>
        </row>
        <row r="618">
          <cell r="N618">
            <v>842.5</v>
          </cell>
          <cell r="O618" t="str">
            <v>E</v>
          </cell>
          <cell r="Q618" t="str">
            <v>Véhicules neufs</v>
          </cell>
          <cell r="R618" t="str">
            <v>Téléphone</v>
          </cell>
        </row>
        <row r="619">
          <cell r="N619">
            <v>203.89</v>
          </cell>
          <cell r="O619" t="str">
            <v>E</v>
          </cell>
          <cell r="Q619" t="str">
            <v>Véhicules usagés</v>
          </cell>
          <cell r="R619" t="str">
            <v>Téléphone</v>
          </cell>
        </row>
        <row r="620">
          <cell r="N620">
            <v>501.37</v>
          </cell>
          <cell r="O620" t="str">
            <v>E</v>
          </cell>
          <cell r="Q620" t="str">
            <v>Service</v>
          </cell>
          <cell r="R620" t="str">
            <v>Téléphone</v>
          </cell>
        </row>
        <row r="621">
          <cell r="N621">
            <v>377.79</v>
          </cell>
          <cell r="O621" t="str">
            <v>E</v>
          </cell>
          <cell r="Q621" t="str">
            <v>Pièces</v>
          </cell>
          <cell r="R621" t="str">
            <v>Téléphone</v>
          </cell>
        </row>
        <row r="622">
          <cell r="N622">
            <v>43.35</v>
          </cell>
          <cell r="O622" t="str">
            <v>E</v>
          </cell>
          <cell r="Q622" t="str">
            <v>Carrosserie</v>
          </cell>
          <cell r="R622" t="str">
            <v>Téléphone</v>
          </cell>
        </row>
        <row r="623">
          <cell r="N623">
            <v>131.75</v>
          </cell>
          <cell r="O623" t="str">
            <v>E</v>
          </cell>
          <cell r="Q623" t="str">
            <v>Véhicules neufs</v>
          </cell>
          <cell r="R623" t="str">
            <v>frais postaux</v>
          </cell>
        </row>
        <row r="624">
          <cell r="N624">
            <v>29.29</v>
          </cell>
          <cell r="O624" t="str">
            <v>E</v>
          </cell>
          <cell r="Q624" t="str">
            <v>Véhicules usagés</v>
          </cell>
          <cell r="R624" t="str">
            <v>frais postaux</v>
          </cell>
        </row>
        <row r="625">
          <cell r="N625">
            <v>-2789.46</v>
          </cell>
          <cell r="O625" t="str">
            <v>E</v>
          </cell>
          <cell r="Q625" t="str">
            <v>Service</v>
          </cell>
          <cell r="R625" t="str">
            <v>frais postaux</v>
          </cell>
        </row>
        <row r="626">
          <cell r="N626">
            <v>538.70000000000005</v>
          </cell>
          <cell r="O626" t="str">
            <v>E</v>
          </cell>
          <cell r="Q626" t="str">
            <v>Pièces</v>
          </cell>
          <cell r="R626" t="str">
            <v>frais postaux</v>
          </cell>
        </row>
        <row r="627">
          <cell r="N627">
            <v>-27.81</v>
          </cell>
          <cell r="O627" t="str">
            <v>E</v>
          </cell>
          <cell r="Q627" t="str">
            <v>Carrosserie</v>
          </cell>
          <cell r="R627" t="str">
            <v>Frais postaux</v>
          </cell>
        </row>
        <row r="628">
          <cell r="N628">
            <v>194.23</v>
          </cell>
          <cell r="O628" t="str">
            <v>E</v>
          </cell>
          <cell r="Q628" t="str">
            <v>Véhicules neufs</v>
          </cell>
          <cell r="R628" t="str">
            <v>frais postaux</v>
          </cell>
        </row>
        <row r="629">
          <cell r="N629">
            <v>87.04</v>
          </cell>
          <cell r="O629" t="str">
            <v>E</v>
          </cell>
          <cell r="Q629" t="str">
            <v>Véhicules usagés</v>
          </cell>
          <cell r="R629" t="str">
            <v>frais postaux</v>
          </cell>
        </row>
        <row r="630">
          <cell r="N630">
            <v>196.15</v>
          </cell>
          <cell r="O630" t="str">
            <v>E</v>
          </cell>
          <cell r="Q630" t="str">
            <v>Service</v>
          </cell>
          <cell r="R630" t="str">
            <v>frais postaux</v>
          </cell>
        </row>
        <row r="631">
          <cell r="N631">
            <v>1316.14</v>
          </cell>
          <cell r="O631" t="str">
            <v>E</v>
          </cell>
          <cell r="Q631" t="str">
            <v>Pièces</v>
          </cell>
          <cell r="R631" t="str">
            <v>frais postaux</v>
          </cell>
        </row>
        <row r="632">
          <cell r="N632">
            <v>21.29</v>
          </cell>
          <cell r="O632" t="str">
            <v>E</v>
          </cell>
          <cell r="Q632" t="str">
            <v>Carrosserie</v>
          </cell>
          <cell r="R632" t="str">
            <v>Frais postaux</v>
          </cell>
        </row>
        <row r="633">
          <cell r="N633">
            <v>2063</v>
          </cell>
          <cell r="O633" t="str">
            <v>E</v>
          </cell>
          <cell r="Q633" t="str">
            <v>Véhicules neufs</v>
          </cell>
          <cell r="R633" t="str">
            <v>formation</v>
          </cell>
        </row>
        <row r="634">
          <cell r="N634">
            <v>231.16</v>
          </cell>
          <cell r="O634" t="str">
            <v>E</v>
          </cell>
          <cell r="Q634" t="str">
            <v>Véhicules usagés</v>
          </cell>
          <cell r="R634" t="str">
            <v>formation</v>
          </cell>
        </row>
        <row r="635">
          <cell r="N635">
            <v>3437.66</v>
          </cell>
          <cell r="O635" t="str">
            <v>E</v>
          </cell>
          <cell r="Q635" t="str">
            <v>Service</v>
          </cell>
          <cell r="R635" t="str">
            <v>formation</v>
          </cell>
        </row>
        <row r="636">
          <cell r="N636">
            <v>113</v>
          </cell>
          <cell r="O636" t="str">
            <v>E</v>
          </cell>
          <cell r="Q636" t="str">
            <v>Pièces</v>
          </cell>
          <cell r="R636" t="str">
            <v>formation</v>
          </cell>
        </row>
        <row r="637">
          <cell r="N637">
            <v>0</v>
          </cell>
          <cell r="O637" t="str">
            <v>E</v>
          </cell>
          <cell r="Q637" t="str">
            <v>Carrosserie</v>
          </cell>
          <cell r="R637" t="str">
            <v>Formation</v>
          </cell>
        </row>
        <row r="638">
          <cell r="N638">
            <v>6188</v>
          </cell>
          <cell r="O638" t="str">
            <v>E</v>
          </cell>
          <cell r="Q638" t="str">
            <v>Véhicules neufs</v>
          </cell>
          <cell r="R638" t="str">
            <v>formation</v>
          </cell>
        </row>
        <row r="639">
          <cell r="N639">
            <v>693.5</v>
          </cell>
          <cell r="O639" t="str">
            <v>E</v>
          </cell>
          <cell r="Q639" t="str">
            <v>Véhicules usagés</v>
          </cell>
          <cell r="R639" t="str">
            <v>formation</v>
          </cell>
        </row>
        <row r="640">
          <cell r="N640">
            <v>10313</v>
          </cell>
          <cell r="O640" t="str">
            <v>E</v>
          </cell>
          <cell r="Q640" t="str">
            <v>Service</v>
          </cell>
          <cell r="R640" t="str">
            <v>formation</v>
          </cell>
        </row>
        <row r="641">
          <cell r="N641">
            <v>338</v>
          </cell>
          <cell r="O641" t="str">
            <v>E</v>
          </cell>
          <cell r="Q641" t="str">
            <v>Pièces</v>
          </cell>
          <cell r="R641" t="str">
            <v>formation</v>
          </cell>
        </row>
        <row r="642">
          <cell r="N642">
            <v>0</v>
          </cell>
          <cell r="O642" t="str">
            <v>E</v>
          </cell>
          <cell r="Q642" t="str">
            <v>Carrosserie</v>
          </cell>
          <cell r="R642" t="str">
            <v>Formation</v>
          </cell>
        </row>
        <row r="643">
          <cell r="N643">
            <v>2217.7199999999998</v>
          </cell>
          <cell r="O643" t="str">
            <v>E</v>
          </cell>
          <cell r="Q643" t="str">
            <v>Véhicules neufs</v>
          </cell>
          <cell r="R643" t="str">
            <v>frais bancaires</v>
          </cell>
        </row>
        <row r="644">
          <cell r="N644">
            <v>492.82</v>
          </cell>
          <cell r="O644" t="str">
            <v>E</v>
          </cell>
          <cell r="Q644" t="str">
            <v>Véhicules usagés</v>
          </cell>
          <cell r="R644" t="str">
            <v>frais bancaires</v>
          </cell>
        </row>
        <row r="645">
          <cell r="N645">
            <v>1109.83</v>
          </cell>
          <cell r="O645" t="str">
            <v>E</v>
          </cell>
          <cell r="Q645" t="str">
            <v>Service</v>
          </cell>
          <cell r="R645" t="str">
            <v>frais bancaires</v>
          </cell>
        </row>
        <row r="646">
          <cell r="N646">
            <v>985.68</v>
          </cell>
          <cell r="O646" t="str">
            <v>E</v>
          </cell>
          <cell r="Q646" t="str">
            <v>Pièces</v>
          </cell>
          <cell r="R646" t="str">
            <v>frais bancaires</v>
          </cell>
        </row>
        <row r="647">
          <cell r="N647">
            <v>124.16</v>
          </cell>
          <cell r="O647" t="str">
            <v>E</v>
          </cell>
          <cell r="Q647" t="str">
            <v>Carrosserie</v>
          </cell>
          <cell r="R647" t="str">
            <v>Frais bancaires</v>
          </cell>
        </row>
        <row r="648">
          <cell r="N648">
            <v>6653.22</v>
          </cell>
          <cell r="O648" t="str">
            <v>E</v>
          </cell>
          <cell r="Q648" t="str">
            <v>Véhicules neufs</v>
          </cell>
          <cell r="R648" t="str">
            <v>frais bancaires</v>
          </cell>
        </row>
        <row r="649">
          <cell r="N649">
            <v>1478.46</v>
          </cell>
          <cell r="O649" t="str">
            <v>E</v>
          </cell>
          <cell r="Q649" t="str">
            <v>Véhicules usagés</v>
          </cell>
          <cell r="R649" t="str">
            <v>frais bancaires</v>
          </cell>
        </row>
        <row r="650">
          <cell r="N650">
            <v>3325.6</v>
          </cell>
          <cell r="O650" t="str">
            <v>E</v>
          </cell>
          <cell r="Q650" t="str">
            <v>Service</v>
          </cell>
          <cell r="R650" t="str">
            <v>frais bancaires</v>
          </cell>
        </row>
        <row r="651">
          <cell r="N651">
            <v>2956.98</v>
          </cell>
          <cell r="O651" t="str">
            <v>E</v>
          </cell>
          <cell r="Q651" t="str">
            <v>Pièces</v>
          </cell>
          <cell r="R651" t="str">
            <v>frais bancaires</v>
          </cell>
        </row>
        <row r="652">
          <cell r="N652">
            <v>368.62</v>
          </cell>
          <cell r="O652" t="str">
            <v>E</v>
          </cell>
          <cell r="Q652" t="str">
            <v>Carrosserie</v>
          </cell>
          <cell r="R652" t="str">
            <v>Frais bancaires</v>
          </cell>
        </row>
        <row r="653">
          <cell r="N653">
            <v>1487.68</v>
          </cell>
          <cell r="O653" t="str">
            <v>E</v>
          </cell>
          <cell r="Q653" t="str">
            <v>Véhicules neufs</v>
          </cell>
          <cell r="R653" t="str">
            <v>Service gratuit 1</v>
          </cell>
        </row>
        <row r="654">
          <cell r="N654">
            <v>-0.09</v>
          </cell>
          <cell r="O654" t="str">
            <v>E</v>
          </cell>
          <cell r="Q654" t="str">
            <v>Véhicules usagés</v>
          </cell>
          <cell r="R654" t="str">
            <v>Service gratuit 1</v>
          </cell>
        </row>
        <row r="655">
          <cell r="N655">
            <v>1321.29</v>
          </cell>
          <cell r="O655" t="str">
            <v>E</v>
          </cell>
          <cell r="Q655" t="str">
            <v>Service</v>
          </cell>
          <cell r="R655" t="str">
            <v>Service gratuit 2</v>
          </cell>
        </row>
        <row r="656">
          <cell r="N656">
            <v>1007.67</v>
          </cell>
          <cell r="O656" t="str">
            <v>E</v>
          </cell>
          <cell r="Q656" t="str">
            <v>Pièces</v>
          </cell>
          <cell r="R656" t="str">
            <v>Service gratuit 2</v>
          </cell>
        </row>
        <row r="657">
          <cell r="N657">
            <v>2148.7199999999998</v>
          </cell>
          <cell r="O657" t="str">
            <v>E</v>
          </cell>
          <cell r="Q657" t="str">
            <v>Véhicules neufs</v>
          </cell>
          <cell r="R657" t="str">
            <v>Service gratuit 1</v>
          </cell>
        </row>
        <row r="658">
          <cell r="N658">
            <v>5203.1400000000003</v>
          </cell>
          <cell r="O658" t="str">
            <v>E</v>
          </cell>
          <cell r="Q658" t="str">
            <v>Véhicules usagés</v>
          </cell>
          <cell r="R658" t="str">
            <v>Service gratuit 1</v>
          </cell>
        </row>
        <row r="659">
          <cell r="N659">
            <v>4367.59</v>
          </cell>
          <cell r="O659" t="str">
            <v>E</v>
          </cell>
          <cell r="Q659" t="str">
            <v>Service</v>
          </cell>
          <cell r="R659" t="str">
            <v>Service gratuit 2</v>
          </cell>
        </row>
        <row r="660">
          <cell r="N660">
            <v>877.02</v>
          </cell>
          <cell r="O660" t="str">
            <v>E</v>
          </cell>
          <cell r="Q660" t="str">
            <v>Pièces</v>
          </cell>
          <cell r="R660" t="str">
            <v>Service gratuit 2</v>
          </cell>
        </row>
        <row r="661">
          <cell r="N661">
            <v>464.07</v>
          </cell>
          <cell r="O661" t="str">
            <v>E</v>
          </cell>
          <cell r="Q661" t="str">
            <v>Véhicules neufs</v>
          </cell>
          <cell r="R661" t="str">
            <v>divers</v>
          </cell>
        </row>
        <row r="662">
          <cell r="N662">
            <v>103.14</v>
          </cell>
          <cell r="O662" t="str">
            <v>E</v>
          </cell>
          <cell r="Q662" t="str">
            <v>Véhicules usagés</v>
          </cell>
          <cell r="R662" t="str">
            <v>divers</v>
          </cell>
        </row>
        <row r="663">
          <cell r="N663">
            <v>232.26</v>
          </cell>
          <cell r="O663" t="str">
            <v>E</v>
          </cell>
          <cell r="Q663" t="str">
            <v>Service</v>
          </cell>
          <cell r="R663" t="str">
            <v>divers</v>
          </cell>
        </row>
        <row r="664">
          <cell r="N664">
            <v>206.25</v>
          </cell>
          <cell r="O664" t="str">
            <v>E</v>
          </cell>
          <cell r="Q664" t="str">
            <v>Pièces</v>
          </cell>
          <cell r="R664" t="str">
            <v>divers</v>
          </cell>
        </row>
        <row r="665">
          <cell r="N665">
            <v>26.01</v>
          </cell>
          <cell r="O665" t="str">
            <v>E</v>
          </cell>
          <cell r="Q665" t="str">
            <v>Carrosserie</v>
          </cell>
          <cell r="R665" t="str">
            <v>Divers</v>
          </cell>
        </row>
        <row r="666">
          <cell r="N666">
            <v>1392.06</v>
          </cell>
          <cell r="O666" t="str">
            <v>E</v>
          </cell>
          <cell r="Q666" t="str">
            <v>Véhicules neufs</v>
          </cell>
          <cell r="R666" t="str">
            <v>divers</v>
          </cell>
        </row>
        <row r="667">
          <cell r="N667">
            <v>309.39</v>
          </cell>
          <cell r="O667" t="str">
            <v>E</v>
          </cell>
          <cell r="Q667" t="str">
            <v>Véhicules usagés</v>
          </cell>
          <cell r="R667" t="str">
            <v>divers</v>
          </cell>
        </row>
        <row r="668">
          <cell r="N668">
            <v>695.91</v>
          </cell>
          <cell r="O668" t="str">
            <v>E</v>
          </cell>
          <cell r="Q668" t="str">
            <v>Service</v>
          </cell>
          <cell r="R668" t="str">
            <v>divers</v>
          </cell>
        </row>
        <row r="669">
          <cell r="N669">
            <v>618.75</v>
          </cell>
          <cell r="O669" t="str">
            <v>E</v>
          </cell>
          <cell r="Q669" t="str">
            <v>Pièces</v>
          </cell>
          <cell r="R669" t="str">
            <v>divers</v>
          </cell>
        </row>
        <row r="670">
          <cell r="N670">
            <v>77.16</v>
          </cell>
          <cell r="O670" t="str">
            <v>E</v>
          </cell>
          <cell r="Q670" t="str">
            <v>Carrosserie</v>
          </cell>
          <cell r="R670" t="str">
            <v>Divers</v>
          </cell>
        </row>
        <row r="671">
          <cell r="N671">
            <v>15187.5</v>
          </cell>
          <cell r="O671" t="str">
            <v>E</v>
          </cell>
          <cell r="Q671" t="str">
            <v>Véhicules neufs</v>
          </cell>
          <cell r="R671" t="str">
            <v>Loyer</v>
          </cell>
        </row>
        <row r="672">
          <cell r="N672">
            <v>3375</v>
          </cell>
          <cell r="O672" t="str">
            <v>E</v>
          </cell>
          <cell r="Q672" t="str">
            <v>Véhicules usagés</v>
          </cell>
          <cell r="R672" t="str">
            <v>Loyer</v>
          </cell>
        </row>
        <row r="673">
          <cell r="N673">
            <v>7600.5</v>
          </cell>
          <cell r="O673" t="str">
            <v>E</v>
          </cell>
          <cell r="Q673" t="str">
            <v>Service</v>
          </cell>
          <cell r="R673" t="str">
            <v>Loyer</v>
          </cell>
        </row>
        <row r="674">
          <cell r="N674">
            <v>6750</v>
          </cell>
          <cell r="O674" t="str">
            <v>E</v>
          </cell>
          <cell r="Q674" t="str">
            <v>Pièces</v>
          </cell>
          <cell r="R674" t="str">
            <v>Loyer</v>
          </cell>
        </row>
        <row r="675">
          <cell r="N675">
            <v>850.5</v>
          </cell>
          <cell r="O675" t="str">
            <v>E</v>
          </cell>
          <cell r="Q675" t="str">
            <v>Carrosserie</v>
          </cell>
          <cell r="R675" t="str">
            <v>Loyer</v>
          </cell>
        </row>
        <row r="676">
          <cell r="N676">
            <v>45562.5</v>
          </cell>
          <cell r="O676" t="str">
            <v>E</v>
          </cell>
          <cell r="Q676" t="str">
            <v>Véhicules neufs</v>
          </cell>
          <cell r="R676" t="str">
            <v>Loyer</v>
          </cell>
        </row>
        <row r="677">
          <cell r="N677">
            <v>10125</v>
          </cell>
          <cell r="O677" t="str">
            <v>E</v>
          </cell>
          <cell r="Q677" t="str">
            <v>Véhicules usagés</v>
          </cell>
          <cell r="R677" t="str">
            <v>Loyer</v>
          </cell>
        </row>
        <row r="678">
          <cell r="N678">
            <v>22774.5</v>
          </cell>
          <cell r="O678" t="str">
            <v>E</v>
          </cell>
          <cell r="Q678" t="str">
            <v>Service</v>
          </cell>
          <cell r="R678" t="str">
            <v>Loyer</v>
          </cell>
        </row>
        <row r="679">
          <cell r="N679">
            <v>20250</v>
          </cell>
          <cell r="O679" t="str">
            <v>E</v>
          </cell>
          <cell r="Q679" t="str">
            <v>Pièces</v>
          </cell>
          <cell r="R679" t="str">
            <v>Loyer</v>
          </cell>
        </row>
        <row r="680">
          <cell r="N680">
            <v>2524.5</v>
          </cell>
          <cell r="O680" t="str">
            <v>E</v>
          </cell>
          <cell r="Q680" t="str">
            <v>Carrosserie</v>
          </cell>
          <cell r="R680" t="str">
            <v>Loyer</v>
          </cell>
        </row>
        <row r="681">
          <cell r="N681">
            <v>675</v>
          </cell>
          <cell r="O681" t="str">
            <v>E</v>
          </cell>
          <cell r="Q681" t="str">
            <v>Véhicules neufs</v>
          </cell>
          <cell r="R681" t="str">
            <v>amortissement</v>
          </cell>
        </row>
        <row r="682">
          <cell r="N682">
            <v>150</v>
          </cell>
          <cell r="O682" t="str">
            <v>E</v>
          </cell>
          <cell r="Q682" t="str">
            <v>Véhicules usagés</v>
          </cell>
          <cell r="R682" t="str">
            <v>amortissement</v>
          </cell>
        </row>
        <row r="683">
          <cell r="N683">
            <v>337.8</v>
          </cell>
          <cell r="O683" t="str">
            <v>E</v>
          </cell>
          <cell r="Q683" t="str">
            <v>Service</v>
          </cell>
          <cell r="R683" t="str">
            <v>amortissement</v>
          </cell>
        </row>
        <row r="684">
          <cell r="N684">
            <v>300</v>
          </cell>
          <cell r="O684" t="str">
            <v>E</v>
          </cell>
          <cell r="Q684" t="str">
            <v>Pièces</v>
          </cell>
          <cell r="R684" t="str">
            <v>amortissement</v>
          </cell>
        </row>
        <row r="685">
          <cell r="N685">
            <v>37.799999999999997</v>
          </cell>
          <cell r="O685" t="str">
            <v>E</v>
          </cell>
          <cell r="Q685" t="str">
            <v>Carrosserie</v>
          </cell>
          <cell r="R685" t="str">
            <v>Amortissement</v>
          </cell>
        </row>
        <row r="686">
          <cell r="N686">
            <v>2025</v>
          </cell>
          <cell r="O686" t="str">
            <v>E</v>
          </cell>
          <cell r="Q686" t="str">
            <v>Véhicules neufs</v>
          </cell>
          <cell r="R686" t="str">
            <v>amortissement</v>
          </cell>
        </row>
        <row r="687">
          <cell r="N687">
            <v>450</v>
          </cell>
          <cell r="O687" t="str">
            <v>E</v>
          </cell>
          <cell r="Q687" t="str">
            <v>Véhicules usagés</v>
          </cell>
          <cell r="R687" t="str">
            <v>amortissement</v>
          </cell>
        </row>
        <row r="688">
          <cell r="N688">
            <v>1012.2</v>
          </cell>
          <cell r="O688" t="str">
            <v>E</v>
          </cell>
          <cell r="Q688" t="str">
            <v>Service</v>
          </cell>
          <cell r="R688" t="str">
            <v>amortissement</v>
          </cell>
        </row>
        <row r="689">
          <cell r="N689">
            <v>900</v>
          </cell>
          <cell r="O689" t="str">
            <v>E</v>
          </cell>
          <cell r="Q689" t="str">
            <v>Pièces</v>
          </cell>
          <cell r="R689" t="str">
            <v>amortissement</v>
          </cell>
        </row>
        <row r="690">
          <cell r="N690">
            <v>112.2</v>
          </cell>
          <cell r="O690" t="str">
            <v>E</v>
          </cell>
          <cell r="Q690" t="str">
            <v>Carrosserie</v>
          </cell>
          <cell r="R690" t="str">
            <v>Amortissement</v>
          </cell>
        </row>
        <row r="691">
          <cell r="N691">
            <v>668.49</v>
          </cell>
          <cell r="O691" t="str">
            <v>E</v>
          </cell>
          <cell r="Q691" t="str">
            <v>Véhicules neufs</v>
          </cell>
          <cell r="R691" t="str">
            <v>Services extérieurs</v>
          </cell>
        </row>
        <row r="692">
          <cell r="N692">
            <v>83.04</v>
          </cell>
          <cell r="O692" t="str">
            <v>E</v>
          </cell>
          <cell r="Q692" t="str">
            <v>Véhicules usagés</v>
          </cell>
          <cell r="R692" t="str">
            <v>Services extérieurs</v>
          </cell>
        </row>
        <row r="693">
          <cell r="N693">
            <v>202.16</v>
          </cell>
          <cell r="O693" t="str">
            <v>E</v>
          </cell>
          <cell r="Q693" t="str">
            <v>Service</v>
          </cell>
          <cell r="R693" t="str">
            <v>Services extérieurs</v>
          </cell>
        </row>
        <row r="694">
          <cell r="N694">
            <v>166.24</v>
          </cell>
          <cell r="O694" t="str">
            <v>E</v>
          </cell>
          <cell r="Q694" t="str">
            <v>Pièces</v>
          </cell>
          <cell r="R694" t="str">
            <v>Services extérieurs</v>
          </cell>
        </row>
        <row r="695">
          <cell r="N695">
            <v>5.6</v>
          </cell>
          <cell r="O695" t="str">
            <v>E</v>
          </cell>
          <cell r="Q695" t="str">
            <v>Carrosserie</v>
          </cell>
          <cell r="R695" t="str">
            <v>Services extérieurs</v>
          </cell>
        </row>
        <row r="696">
          <cell r="N696">
            <v>1436.92</v>
          </cell>
          <cell r="O696" t="str">
            <v>E</v>
          </cell>
          <cell r="Q696" t="str">
            <v>Véhicules neufs</v>
          </cell>
          <cell r="R696" t="str">
            <v>Services extérieurs</v>
          </cell>
        </row>
        <row r="697">
          <cell r="N697">
            <v>188.28</v>
          </cell>
          <cell r="O697" t="str">
            <v>E</v>
          </cell>
          <cell r="Q697" t="str">
            <v>Véhicules usagés</v>
          </cell>
          <cell r="R697" t="str">
            <v>Services extérieurs</v>
          </cell>
        </row>
        <row r="698">
          <cell r="N698">
            <v>454.15</v>
          </cell>
          <cell r="O698" t="str">
            <v>E</v>
          </cell>
          <cell r="Q698" t="str">
            <v>Service</v>
          </cell>
          <cell r="R698" t="str">
            <v>Services extérieurs</v>
          </cell>
        </row>
        <row r="699">
          <cell r="N699">
            <v>377.09</v>
          </cell>
          <cell r="O699" t="str">
            <v>E</v>
          </cell>
          <cell r="Q699" t="str">
            <v>Pièces</v>
          </cell>
          <cell r="R699" t="str">
            <v>Services extérieurs</v>
          </cell>
        </row>
        <row r="700">
          <cell r="N700">
            <v>1925.34</v>
          </cell>
          <cell r="O700" t="str">
            <v>E</v>
          </cell>
          <cell r="Q700" t="str">
            <v>Véhicules neufs</v>
          </cell>
          <cell r="R700" t="str">
            <v>Taxes foncières</v>
          </cell>
        </row>
        <row r="701">
          <cell r="N701">
            <v>427.86</v>
          </cell>
          <cell r="O701" t="str">
            <v>E</v>
          </cell>
          <cell r="Q701" t="str">
            <v>Véhicules usagés</v>
          </cell>
          <cell r="R701" t="str">
            <v>Taxes foncières</v>
          </cell>
        </row>
        <row r="702">
          <cell r="N702">
            <v>963.54</v>
          </cell>
          <cell r="O702" t="str">
            <v>E</v>
          </cell>
          <cell r="Q702" t="str">
            <v>Service</v>
          </cell>
          <cell r="R702" t="str">
            <v>Taxes foncières</v>
          </cell>
        </row>
        <row r="703">
          <cell r="N703">
            <v>855.72</v>
          </cell>
          <cell r="O703" t="str">
            <v>E</v>
          </cell>
          <cell r="Q703" t="str">
            <v>Pièces</v>
          </cell>
          <cell r="R703" t="str">
            <v>Taxes foncières</v>
          </cell>
        </row>
        <row r="704">
          <cell r="N704">
            <v>107.82</v>
          </cell>
          <cell r="O704" t="str">
            <v>E</v>
          </cell>
          <cell r="Q704" t="str">
            <v>Carrosserie</v>
          </cell>
          <cell r="R704" t="str">
            <v>Taxes foncières</v>
          </cell>
        </row>
        <row r="705">
          <cell r="N705">
            <v>5776.05</v>
          </cell>
          <cell r="O705" t="str">
            <v>E</v>
          </cell>
          <cell r="Q705" t="str">
            <v>Véhicules neufs</v>
          </cell>
          <cell r="R705" t="str">
            <v>Taxes foncières</v>
          </cell>
        </row>
        <row r="706">
          <cell r="N706">
            <v>1283.58</v>
          </cell>
          <cell r="O706" t="str">
            <v>E</v>
          </cell>
          <cell r="Q706" t="str">
            <v>Véhicules usagés</v>
          </cell>
          <cell r="R706" t="str">
            <v>Taxes foncières</v>
          </cell>
        </row>
        <row r="707">
          <cell r="N707">
            <v>2887.17</v>
          </cell>
          <cell r="O707" t="str">
            <v>E</v>
          </cell>
          <cell r="Q707" t="str">
            <v>Service</v>
          </cell>
          <cell r="R707" t="str">
            <v>Taxes foncières</v>
          </cell>
        </row>
        <row r="708">
          <cell r="N708">
            <v>2567.13</v>
          </cell>
          <cell r="O708" t="str">
            <v>E</v>
          </cell>
          <cell r="Q708" t="str">
            <v>Pièces</v>
          </cell>
          <cell r="R708" t="str">
            <v>Taxes foncières</v>
          </cell>
        </row>
        <row r="709">
          <cell r="N709">
            <v>320.04000000000002</v>
          </cell>
          <cell r="O709" t="str">
            <v>E</v>
          </cell>
          <cell r="Q709" t="str">
            <v>Carrosserie</v>
          </cell>
          <cell r="R709" t="str">
            <v>Taxes foncières</v>
          </cell>
        </row>
        <row r="710">
          <cell r="N710">
            <v>1078.32</v>
          </cell>
          <cell r="O710" t="str">
            <v>E</v>
          </cell>
          <cell r="Q710" t="str">
            <v>Véhicules neufs</v>
          </cell>
          <cell r="R710" t="str">
            <v>Assurances</v>
          </cell>
        </row>
        <row r="711">
          <cell r="N711">
            <v>239.64</v>
          </cell>
          <cell r="O711" t="str">
            <v>E</v>
          </cell>
          <cell r="Q711" t="str">
            <v>Véhicules usagés</v>
          </cell>
          <cell r="R711" t="str">
            <v>Assurances</v>
          </cell>
        </row>
        <row r="712">
          <cell r="N712">
            <v>539.64</v>
          </cell>
          <cell r="O712" t="str">
            <v>E</v>
          </cell>
          <cell r="Q712" t="str">
            <v>Service</v>
          </cell>
          <cell r="R712" t="str">
            <v>Assurances</v>
          </cell>
        </row>
        <row r="713">
          <cell r="N713">
            <v>479.25</v>
          </cell>
          <cell r="O713" t="str">
            <v>E</v>
          </cell>
          <cell r="Q713" t="str">
            <v>Pièces</v>
          </cell>
          <cell r="R713" t="str">
            <v>Assurances</v>
          </cell>
        </row>
        <row r="714">
          <cell r="N714">
            <v>60.39</v>
          </cell>
          <cell r="O714" t="str">
            <v>E</v>
          </cell>
          <cell r="Q714" t="str">
            <v>Carrosserie</v>
          </cell>
          <cell r="R714" t="str">
            <v>Assurances</v>
          </cell>
        </row>
        <row r="715">
          <cell r="N715">
            <v>3234.87</v>
          </cell>
          <cell r="O715" t="str">
            <v>E</v>
          </cell>
          <cell r="Q715" t="str">
            <v>Véhicules neufs</v>
          </cell>
          <cell r="R715" t="str">
            <v>Assurances</v>
          </cell>
        </row>
        <row r="716">
          <cell r="N716">
            <v>718.89</v>
          </cell>
          <cell r="O716" t="str">
            <v>E</v>
          </cell>
          <cell r="Q716" t="str">
            <v>Véhicules usagés</v>
          </cell>
          <cell r="R716" t="str">
            <v>Assurances</v>
          </cell>
        </row>
        <row r="717">
          <cell r="N717">
            <v>1617</v>
          </cell>
          <cell r="O717" t="str">
            <v>E</v>
          </cell>
          <cell r="Q717" t="str">
            <v>Service</v>
          </cell>
          <cell r="R717" t="str">
            <v>Assurances</v>
          </cell>
        </row>
        <row r="718">
          <cell r="N718">
            <v>1437.75</v>
          </cell>
          <cell r="O718" t="str">
            <v>E</v>
          </cell>
          <cell r="Q718" t="str">
            <v>Pièces</v>
          </cell>
          <cell r="R718" t="str">
            <v>Assurances</v>
          </cell>
        </row>
        <row r="719">
          <cell r="N719">
            <v>179.25</v>
          </cell>
          <cell r="O719" t="str">
            <v>E</v>
          </cell>
          <cell r="Q719" t="str">
            <v>Carrosserie</v>
          </cell>
          <cell r="R719" t="str">
            <v>Assurances</v>
          </cell>
        </row>
        <row r="720">
          <cell r="N720">
            <v>1350</v>
          </cell>
          <cell r="O720" t="str">
            <v>E</v>
          </cell>
          <cell r="Q720" t="str">
            <v>Véhicules neufs</v>
          </cell>
          <cell r="R720" t="str">
            <v>Chauffage, éclairage</v>
          </cell>
        </row>
        <row r="721">
          <cell r="N721">
            <v>300</v>
          </cell>
          <cell r="O721" t="str">
            <v>E</v>
          </cell>
          <cell r="Q721" t="str">
            <v>Véhicules usagés</v>
          </cell>
          <cell r="R721" t="str">
            <v>Chauffage, éclairage</v>
          </cell>
        </row>
        <row r="722">
          <cell r="N722">
            <v>675.6</v>
          </cell>
          <cell r="O722" t="str">
            <v>E</v>
          </cell>
          <cell r="Q722" t="str">
            <v>Service</v>
          </cell>
          <cell r="R722" t="str">
            <v>Chauffage, éclairage</v>
          </cell>
        </row>
        <row r="723">
          <cell r="N723">
            <v>600</v>
          </cell>
          <cell r="O723" t="str">
            <v>E</v>
          </cell>
          <cell r="Q723" t="str">
            <v>Pièces</v>
          </cell>
          <cell r="R723" t="str">
            <v>Chauffage, éclairage</v>
          </cell>
        </row>
        <row r="724">
          <cell r="N724">
            <v>75.599999999999994</v>
          </cell>
          <cell r="O724" t="str">
            <v>E</v>
          </cell>
          <cell r="Q724" t="str">
            <v>Carrosserie</v>
          </cell>
          <cell r="R724" t="str">
            <v>Chauffage, éclairage</v>
          </cell>
        </row>
        <row r="725">
          <cell r="N725">
            <v>4050</v>
          </cell>
          <cell r="O725" t="str">
            <v>E</v>
          </cell>
          <cell r="Q725" t="str">
            <v>Véhicules neufs</v>
          </cell>
          <cell r="R725" t="str">
            <v>Chauffage, éclairage</v>
          </cell>
        </row>
        <row r="726">
          <cell r="N726">
            <v>900</v>
          </cell>
          <cell r="O726" t="str">
            <v>E</v>
          </cell>
          <cell r="Q726" t="str">
            <v>Véhicules usagés</v>
          </cell>
          <cell r="R726" t="str">
            <v>Chauffage, éclairage</v>
          </cell>
        </row>
        <row r="727">
          <cell r="N727">
            <v>2024.4</v>
          </cell>
          <cell r="O727" t="str">
            <v>E</v>
          </cell>
          <cell r="Q727" t="str">
            <v>Service</v>
          </cell>
          <cell r="R727" t="str">
            <v>Chauffage, éclairage</v>
          </cell>
        </row>
        <row r="728">
          <cell r="N728">
            <v>1800</v>
          </cell>
          <cell r="O728" t="str">
            <v>E</v>
          </cell>
          <cell r="Q728" t="str">
            <v>Pièces</v>
          </cell>
          <cell r="R728" t="str">
            <v>Chauffage, éclairage</v>
          </cell>
        </row>
        <row r="729">
          <cell r="N729">
            <v>224.4</v>
          </cell>
          <cell r="O729" t="str">
            <v>E</v>
          </cell>
          <cell r="Q729" t="str">
            <v>Carrosserie</v>
          </cell>
          <cell r="R729" t="str">
            <v>Chauffage, éclairage</v>
          </cell>
        </row>
        <row r="730">
          <cell r="N730">
            <v>825.15</v>
          </cell>
          <cell r="O730" t="str">
            <v>E</v>
          </cell>
          <cell r="Q730" t="str">
            <v>Véhicules neufs</v>
          </cell>
          <cell r="R730" t="str">
            <v>Taxes d`affaires</v>
          </cell>
        </row>
        <row r="731">
          <cell r="N731">
            <v>183.36</v>
          </cell>
          <cell r="O731" t="str">
            <v>E</v>
          </cell>
          <cell r="Q731" t="str">
            <v>Véhicules usagés</v>
          </cell>
          <cell r="R731" t="str">
            <v>Taxes d`affaires</v>
          </cell>
        </row>
        <row r="732">
          <cell r="N732">
            <v>412.95</v>
          </cell>
          <cell r="O732" t="str">
            <v>E</v>
          </cell>
          <cell r="Q732" t="str">
            <v>Service</v>
          </cell>
          <cell r="R732" t="str">
            <v>Taxes d`affaires</v>
          </cell>
        </row>
        <row r="733">
          <cell r="N733">
            <v>366.72</v>
          </cell>
          <cell r="O733" t="str">
            <v>E</v>
          </cell>
          <cell r="Q733" t="str">
            <v>Pièces</v>
          </cell>
          <cell r="R733" t="str">
            <v>Taxes d`affaires</v>
          </cell>
        </row>
        <row r="734">
          <cell r="N734">
            <v>46.2</v>
          </cell>
          <cell r="O734" t="str">
            <v>E</v>
          </cell>
          <cell r="Q734" t="str">
            <v>Carrosserie</v>
          </cell>
          <cell r="R734" t="str">
            <v>Taxes d`affaires</v>
          </cell>
        </row>
        <row r="735">
          <cell r="N735">
            <v>2475.48</v>
          </cell>
          <cell r="O735" t="str">
            <v>E</v>
          </cell>
          <cell r="Q735" t="str">
            <v>Véhicules neufs</v>
          </cell>
          <cell r="R735" t="str">
            <v>Taxes d`affaires</v>
          </cell>
        </row>
        <row r="736">
          <cell r="N736">
            <v>550.11</v>
          </cell>
          <cell r="O736" t="str">
            <v>E</v>
          </cell>
          <cell r="Q736" t="str">
            <v>Véhicules usagés</v>
          </cell>
          <cell r="R736" t="str">
            <v>Taxes d`affaires</v>
          </cell>
        </row>
        <row r="737">
          <cell r="N737">
            <v>1237.3499999999999</v>
          </cell>
          <cell r="O737" t="str">
            <v>E</v>
          </cell>
          <cell r="Q737" t="str">
            <v>Service</v>
          </cell>
          <cell r="R737" t="str">
            <v>Taxes d`affaires</v>
          </cell>
        </row>
        <row r="738">
          <cell r="N738">
            <v>1100.19</v>
          </cell>
          <cell r="O738" t="str">
            <v>E</v>
          </cell>
          <cell r="Q738" t="str">
            <v>Pièces</v>
          </cell>
          <cell r="R738" t="str">
            <v>Taxes d`affaires</v>
          </cell>
        </row>
        <row r="739">
          <cell r="N739">
            <v>137.16</v>
          </cell>
          <cell r="O739" t="str">
            <v>E</v>
          </cell>
          <cell r="Q739" t="str">
            <v>Carrosserie</v>
          </cell>
          <cell r="R739" t="str">
            <v>Taxes d`affaires</v>
          </cell>
        </row>
        <row r="740">
          <cell r="N740">
            <v>1374.99</v>
          </cell>
          <cell r="O740" t="str">
            <v>E</v>
          </cell>
          <cell r="Q740" t="str">
            <v>Service</v>
          </cell>
          <cell r="R740" t="str">
            <v>Réparation équipement</v>
          </cell>
        </row>
        <row r="741">
          <cell r="N741">
            <v>4125</v>
          </cell>
          <cell r="O741" t="str">
            <v>E</v>
          </cell>
          <cell r="Q741" t="str">
            <v>Service</v>
          </cell>
          <cell r="R741" t="str">
            <v>Réparation équipement</v>
          </cell>
        </row>
        <row r="742">
          <cell r="N742">
            <v>3262.5</v>
          </cell>
          <cell r="O742" t="str">
            <v>E</v>
          </cell>
          <cell r="Q742" t="str">
            <v>Véhicules neufs</v>
          </cell>
          <cell r="R742" t="str">
            <v>amortissement</v>
          </cell>
        </row>
        <row r="743">
          <cell r="N743">
            <v>725.01</v>
          </cell>
          <cell r="O743" t="str">
            <v>E</v>
          </cell>
          <cell r="Q743" t="str">
            <v>Véhicules usagés</v>
          </cell>
          <cell r="R743" t="str">
            <v>amortissement</v>
          </cell>
        </row>
        <row r="744">
          <cell r="N744">
            <v>6945.18</v>
          </cell>
          <cell r="O744" t="str">
            <v>E</v>
          </cell>
          <cell r="Q744" t="str">
            <v>Service</v>
          </cell>
          <cell r="R744" t="str">
            <v>amortissement</v>
          </cell>
        </row>
        <row r="745">
          <cell r="N745">
            <v>1449.99</v>
          </cell>
          <cell r="O745" t="str">
            <v>E</v>
          </cell>
          <cell r="Q745" t="str">
            <v>Pièces</v>
          </cell>
          <cell r="R745" t="str">
            <v>amortissement</v>
          </cell>
        </row>
        <row r="746">
          <cell r="N746">
            <v>182.7</v>
          </cell>
          <cell r="O746" t="str">
            <v>E</v>
          </cell>
          <cell r="Q746" t="str">
            <v>Carrosserie</v>
          </cell>
          <cell r="R746" t="str">
            <v>Amortissement</v>
          </cell>
        </row>
        <row r="747">
          <cell r="N747">
            <v>9787.44</v>
          </cell>
          <cell r="O747" t="str">
            <v>E</v>
          </cell>
          <cell r="Q747" t="str">
            <v>Véhicules neufs</v>
          </cell>
          <cell r="R747" t="str">
            <v>amortissement</v>
          </cell>
        </row>
        <row r="748">
          <cell r="N748">
            <v>2175</v>
          </cell>
          <cell r="O748" t="str">
            <v>E</v>
          </cell>
          <cell r="Q748" t="str">
            <v>Véhicules usagés</v>
          </cell>
          <cell r="R748" t="str">
            <v>amortissement</v>
          </cell>
        </row>
        <row r="749">
          <cell r="N749">
            <v>20829.78</v>
          </cell>
          <cell r="O749" t="str">
            <v>E</v>
          </cell>
          <cell r="Q749" t="str">
            <v>Service</v>
          </cell>
          <cell r="R749" t="str">
            <v>amortissement</v>
          </cell>
        </row>
        <row r="750">
          <cell r="N750">
            <v>4350</v>
          </cell>
          <cell r="O750" t="str">
            <v>E</v>
          </cell>
          <cell r="Q750" t="str">
            <v>Pièces</v>
          </cell>
          <cell r="R750" t="str">
            <v>amortissement</v>
          </cell>
        </row>
        <row r="751">
          <cell r="N751">
            <v>542.30999999999995</v>
          </cell>
          <cell r="O751" t="str">
            <v>E</v>
          </cell>
          <cell r="Q751" t="str">
            <v>Carrosserie</v>
          </cell>
          <cell r="R751" t="str">
            <v>Amortissement</v>
          </cell>
        </row>
        <row r="752">
          <cell r="N752">
            <v>223.51</v>
          </cell>
          <cell r="O752" t="str">
            <v>E</v>
          </cell>
          <cell r="Q752" t="str">
            <v>Véhicules neufs</v>
          </cell>
          <cell r="R752" t="str">
            <v>Location équipement</v>
          </cell>
        </row>
        <row r="753">
          <cell r="N753">
            <v>49.69</v>
          </cell>
          <cell r="O753" t="str">
            <v>E</v>
          </cell>
          <cell r="Q753" t="str">
            <v>Véhicules usagés</v>
          </cell>
          <cell r="R753" t="str">
            <v>Location équipement</v>
          </cell>
        </row>
        <row r="754">
          <cell r="N754">
            <v>111.86</v>
          </cell>
          <cell r="O754" t="str">
            <v>E</v>
          </cell>
          <cell r="Q754" t="str">
            <v>Service</v>
          </cell>
          <cell r="R754" t="str">
            <v>Location équipement</v>
          </cell>
        </row>
        <row r="755">
          <cell r="N755">
            <v>99.34</v>
          </cell>
          <cell r="O755" t="str">
            <v>E</v>
          </cell>
          <cell r="Q755" t="str">
            <v>Pièces</v>
          </cell>
          <cell r="R755" t="str">
            <v>Location équipement</v>
          </cell>
        </row>
        <row r="756">
          <cell r="N756">
            <v>12.52</v>
          </cell>
          <cell r="O756" t="str">
            <v>E</v>
          </cell>
          <cell r="Q756" t="str">
            <v>Carrosserie</v>
          </cell>
          <cell r="R756" t="str">
            <v>Location équipement</v>
          </cell>
        </row>
        <row r="757">
          <cell r="N757">
            <v>670.43</v>
          </cell>
          <cell r="O757" t="str">
            <v>E</v>
          </cell>
          <cell r="Q757" t="str">
            <v>Véhicules neufs</v>
          </cell>
          <cell r="R757" t="str">
            <v>Location équipement</v>
          </cell>
        </row>
        <row r="758">
          <cell r="N758">
            <v>149.02000000000001</v>
          </cell>
          <cell r="O758" t="str">
            <v>E</v>
          </cell>
          <cell r="Q758" t="str">
            <v>Véhicules usagés</v>
          </cell>
          <cell r="R758" t="str">
            <v>Location équipement</v>
          </cell>
        </row>
        <row r="759">
          <cell r="N759">
            <v>335.16</v>
          </cell>
          <cell r="O759" t="str">
            <v>E</v>
          </cell>
          <cell r="Q759" t="str">
            <v>Service</v>
          </cell>
          <cell r="R759" t="str">
            <v>Location équipement</v>
          </cell>
        </row>
        <row r="760">
          <cell r="N760">
            <v>298.01</v>
          </cell>
          <cell r="O760" t="str">
            <v>E</v>
          </cell>
          <cell r="Q760" t="str">
            <v>Pièces</v>
          </cell>
          <cell r="R760" t="str">
            <v>Location équipement</v>
          </cell>
        </row>
        <row r="761">
          <cell r="N761">
            <v>37.159999999999997</v>
          </cell>
          <cell r="O761" t="str">
            <v>E</v>
          </cell>
          <cell r="Q761" t="str">
            <v>Carrosserie</v>
          </cell>
          <cell r="R761" t="str">
            <v>Location équipement</v>
          </cell>
        </row>
        <row r="762">
          <cell r="N762">
            <v>80</v>
          </cell>
          <cell r="O762" t="str">
            <v>E</v>
          </cell>
          <cell r="Q762" t="str">
            <v>Service</v>
          </cell>
          <cell r="R762" t="str">
            <v>Publicité 2</v>
          </cell>
        </row>
        <row r="763">
          <cell r="N763">
            <v>240</v>
          </cell>
          <cell r="O763" t="str">
            <v>E</v>
          </cell>
          <cell r="Q763" t="str">
            <v>Service</v>
          </cell>
          <cell r="R763" t="str">
            <v>Publicité 2</v>
          </cell>
        </row>
        <row r="764">
          <cell r="N764">
            <v>0</v>
          </cell>
          <cell r="O764" t="str">
            <v>E</v>
          </cell>
          <cell r="Q764" t="str">
            <v>autres</v>
          </cell>
          <cell r="R764" t="str">
            <v>revenus autres</v>
          </cell>
        </row>
        <row r="765">
          <cell r="N765">
            <v>-18753</v>
          </cell>
          <cell r="O765" t="str">
            <v>I</v>
          </cell>
          <cell r="Q765" t="str">
            <v>Véhicules neufs</v>
          </cell>
          <cell r="R765" t="str">
            <v>Frais administration</v>
          </cell>
        </row>
        <row r="766">
          <cell r="N766">
            <v>-798</v>
          </cell>
          <cell r="O766" t="str">
            <v>I</v>
          </cell>
          <cell r="Q766" t="str">
            <v>Véhicules usagés</v>
          </cell>
          <cell r="R766" t="str">
            <v>Frais administration</v>
          </cell>
        </row>
        <row r="767">
          <cell r="N767">
            <v>-36708</v>
          </cell>
          <cell r="O767" t="str">
            <v>I</v>
          </cell>
          <cell r="Q767" t="str">
            <v>Véhicules neufs</v>
          </cell>
          <cell r="R767" t="str">
            <v>Frais administration</v>
          </cell>
        </row>
        <row r="768">
          <cell r="N768">
            <v>-13167</v>
          </cell>
          <cell r="O768" t="str">
            <v>I</v>
          </cell>
          <cell r="Q768" t="str">
            <v>Véhicules usagés</v>
          </cell>
          <cell r="R768" t="str">
            <v>Frais administration</v>
          </cell>
        </row>
        <row r="769">
          <cell r="N769">
            <v>0</v>
          </cell>
          <cell r="O769" t="str">
            <v>A</v>
          </cell>
          <cell r="Q769" t="str">
            <v>Bilan</v>
          </cell>
          <cell r="R769" t="str">
            <v>Recevables Pièces et Service</v>
          </cell>
        </row>
        <row r="770">
          <cell r="N770">
            <v>0</v>
          </cell>
          <cell r="O770">
            <v>0</v>
          </cell>
          <cell r="Q770" t="e">
            <v>#N/A</v>
          </cell>
          <cell r="R770" t="e">
            <v>#N/A</v>
          </cell>
        </row>
        <row r="771">
          <cell r="N771">
            <v>0</v>
          </cell>
          <cell r="O771">
            <v>0</v>
          </cell>
          <cell r="Q771" t="e">
            <v>#N/A</v>
          </cell>
          <cell r="R771" t="e">
            <v>#N/A</v>
          </cell>
        </row>
        <row r="772">
          <cell r="N772">
            <v>0</v>
          </cell>
          <cell r="O772">
            <v>0</v>
          </cell>
          <cell r="Q772" t="e">
            <v>#N/A</v>
          </cell>
          <cell r="R772" t="e">
            <v>#N/A</v>
          </cell>
        </row>
        <row r="773">
          <cell r="N773">
            <v>0</v>
          </cell>
          <cell r="O773">
            <v>0</v>
          </cell>
          <cell r="Q773" t="e">
            <v>#N/A</v>
          </cell>
          <cell r="R773" t="e">
            <v>#N/A</v>
          </cell>
        </row>
        <row r="774">
          <cell r="N774">
            <v>0</v>
          </cell>
          <cell r="O774">
            <v>0</v>
          </cell>
          <cell r="Q774" t="e">
            <v>#N/A</v>
          </cell>
          <cell r="R774" t="e">
            <v>#N/A</v>
          </cell>
        </row>
        <row r="775">
          <cell r="N775">
            <v>0</v>
          </cell>
          <cell r="O775">
            <v>0</v>
          </cell>
          <cell r="Q775" t="e">
            <v>#N/A</v>
          </cell>
          <cell r="R775" t="e">
            <v>#N/A</v>
          </cell>
        </row>
        <row r="776">
          <cell r="N776">
            <v>0</v>
          </cell>
          <cell r="O776">
            <v>0</v>
          </cell>
          <cell r="Q776" t="e">
            <v>#N/A</v>
          </cell>
          <cell r="R776" t="e">
            <v>#N/A</v>
          </cell>
        </row>
        <row r="777">
          <cell r="N777">
            <v>0</v>
          </cell>
          <cell r="O777">
            <v>0</v>
          </cell>
          <cell r="Q777" t="e">
            <v>#N/A</v>
          </cell>
          <cell r="R777" t="e">
            <v>#N/A</v>
          </cell>
        </row>
        <row r="778">
          <cell r="N778">
            <v>0</v>
          </cell>
          <cell r="O778">
            <v>0</v>
          </cell>
          <cell r="Q778" t="e">
            <v>#N/A</v>
          </cell>
          <cell r="R778" t="e">
            <v>#N/A</v>
          </cell>
        </row>
        <row r="779">
          <cell r="N779">
            <v>0</v>
          </cell>
          <cell r="O779">
            <v>0</v>
          </cell>
          <cell r="Q779" t="e">
            <v>#N/A</v>
          </cell>
          <cell r="R779" t="e">
            <v>#N/A</v>
          </cell>
        </row>
        <row r="780">
          <cell r="N780">
            <v>0</v>
          </cell>
          <cell r="O780">
            <v>0</v>
          </cell>
          <cell r="Q780" t="e">
            <v>#N/A</v>
          </cell>
          <cell r="R780" t="e">
            <v>#N/A</v>
          </cell>
        </row>
        <row r="781">
          <cell r="N781">
            <v>0</v>
          </cell>
          <cell r="O781">
            <v>0</v>
          </cell>
          <cell r="Q781" t="e">
            <v>#N/A</v>
          </cell>
          <cell r="R781" t="e">
            <v>#N/A</v>
          </cell>
        </row>
        <row r="782">
          <cell r="N782">
            <v>0</v>
          </cell>
          <cell r="O782">
            <v>0</v>
          </cell>
          <cell r="Q782" t="e">
            <v>#N/A</v>
          </cell>
          <cell r="R782" t="e">
            <v>#N/A</v>
          </cell>
        </row>
        <row r="783">
          <cell r="N783">
            <v>0</v>
          </cell>
          <cell r="O783">
            <v>0</v>
          </cell>
          <cell r="Q783" t="e">
            <v>#N/A</v>
          </cell>
          <cell r="R783" t="e">
            <v>#N/A</v>
          </cell>
        </row>
        <row r="784">
          <cell r="N784">
            <v>0</v>
          </cell>
          <cell r="O784">
            <v>0</v>
          </cell>
          <cell r="Q784" t="e">
            <v>#N/A</v>
          </cell>
          <cell r="R784" t="e">
            <v>#N/A</v>
          </cell>
        </row>
        <row r="785">
          <cell r="N785">
            <v>0</v>
          </cell>
          <cell r="O785">
            <v>0</v>
          </cell>
          <cell r="Q785" t="e">
            <v>#N/A</v>
          </cell>
          <cell r="R785" t="e">
            <v>#N/A</v>
          </cell>
        </row>
        <row r="786">
          <cell r="N786">
            <v>0</v>
          </cell>
          <cell r="O786">
            <v>0</v>
          </cell>
          <cell r="Q786" t="e">
            <v>#N/A</v>
          </cell>
          <cell r="R786" t="e">
            <v>#N/A</v>
          </cell>
        </row>
        <row r="787">
          <cell r="N787">
            <v>0</v>
          </cell>
          <cell r="O787">
            <v>0</v>
          </cell>
          <cell r="Q787" t="e">
            <v>#N/A</v>
          </cell>
          <cell r="R787" t="e">
            <v>#N/A</v>
          </cell>
        </row>
        <row r="788">
          <cell r="N788">
            <v>0</v>
          </cell>
          <cell r="O788">
            <v>0</v>
          </cell>
          <cell r="Q788" t="e">
            <v>#N/A</v>
          </cell>
          <cell r="R788" t="e">
            <v>#N/A</v>
          </cell>
        </row>
        <row r="789">
          <cell r="N789">
            <v>0</v>
          </cell>
          <cell r="O789">
            <v>0</v>
          </cell>
          <cell r="Q789" t="e">
            <v>#N/A</v>
          </cell>
          <cell r="R789" t="e">
            <v>#N/A</v>
          </cell>
        </row>
        <row r="790">
          <cell r="N790">
            <v>0</v>
          </cell>
          <cell r="O790">
            <v>0</v>
          </cell>
          <cell r="Q790" t="e">
            <v>#N/A</v>
          </cell>
          <cell r="R790" t="e">
            <v>#N/A</v>
          </cell>
        </row>
        <row r="791">
          <cell r="N791">
            <v>0</v>
          </cell>
          <cell r="O791">
            <v>0</v>
          </cell>
          <cell r="Q791" t="e">
            <v>#N/A</v>
          </cell>
          <cell r="R791" t="e">
            <v>#N/A</v>
          </cell>
        </row>
        <row r="792">
          <cell r="N792">
            <v>0</v>
          </cell>
          <cell r="O792">
            <v>0</v>
          </cell>
          <cell r="Q792" t="e">
            <v>#N/A</v>
          </cell>
          <cell r="R792" t="e">
            <v>#N/A</v>
          </cell>
        </row>
        <row r="793">
          <cell r="N793">
            <v>0</v>
          </cell>
          <cell r="O793">
            <v>0</v>
          </cell>
          <cell r="Q793" t="e">
            <v>#N/A</v>
          </cell>
          <cell r="R793" t="e">
            <v>#N/A</v>
          </cell>
        </row>
        <row r="794">
          <cell r="N794">
            <v>0</v>
          </cell>
          <cell r="O794">
            <v>0</v>
          </cell>
          <cell r="Q794" t="e">
            <v>#N/A</v>
          </cell>
          <cell r="R794" t="e">
            <v>#N/A</v>
          </cell>
        </row>
        <row r="795">
          <cell r="N795">
            <v>0</v>
          </cell>
          <cell r="O795">
            <v>0</v>
          </cell>
          <cell r="Q795" t="e">
            <v>#N/A</v>
          </cell>
          <cell r="R795" t="e">
            <v>#N/A</v>
          </cell>
        </row>
        <row r="796">
          <cell r="N796">
            <v>0</v>
          </cell>
          <cell r="O796">
            <v>0</v>
          </cell>
          <cell r="Q796" t="e">
            <v>#N/A</v>
          </cell>
          <cell r="R796" t="e">
            <v>#N/A</v>
          </cell>
        </row>
        <row r="797">
          <cell r="N797">
            <v>0</v>
          </cell>
          <cell r="O797">
            <v>0</v>
          </cell>
          <cell r="Q797" t="e">
            <v>#N/A</v>
          </cell>
          <cell r="R797" t="e">
            <v>#N/A</v>
          </cell>
        </row>
        <row r="798">
          <cell r="N798">
            <v>0</v>
          </cell>
          <cell r="O798">
            <v>0</v>
          </cell>
          <cell r="Q798" t="e">
            <v>#N/A</v>
          </cell>
          <cell r="R798" t="e">
            <v>#N/A</v>
          </cell>
        </row>
        <row r="799">
          <cell r="N799">
            <v>0</v>
          </cell>
          <cell r="O799">
            <v>0</v>
          </cell>
          <cell r="Q799" t="e">
            <v>#N/A</v>
          </cell>
          <cell r="R799" t="e">
            <v>#N/A</v>
          </cell>
        </row>
        <row r="800">
          <cell r="N800">
            <v>0</v>
          </cell>
          <cell r="O800">
            <v>0</v>
          </cell>
          <cell r="Q800" t="e">
            <v>#N/A</v>
          </cell>
          <cell r="R800" t="e">
            <v>#N/A</v>
          </cell>
        </row>
        <row r="801">
          <cell r="N801">
            <v>0</v>
          </cell>
          <cell r="O801">
            <v>0</v>
          </cell>
          <cell r="Q801" t="e">
            <v>#N/A</v>
          </cell>
          <cell r="R801" t="e">
            <v>#N/A</v>
          </cell>
        </row>
        <row r="802">
          <cell r="N802">
            <v>0</v>
          </cell>
          <cell r="O802">
            <v>0</v>
          </cell>
          <cell r="Q802" t="e">
            <v>#N/A</v>
          </cell>
          <cell r="R802" t="e">
            <v>#N/A</v>
          </cell>
        </row>
        <row r="803">
          <cell r="N803">
            <v>0</v>
          </cell>
          <cell r="O803">
            <v>0</v>
          </cell>
          <cell r="Q803" t="e">
            <v>#N/A</v>
          </cell>
          <cell r="R803" t="e">
            <v>#N/A</v>
          </cell>
        </row>
        <row r="804">
          <cell r="N804">
            <v>0</v>
          </cell>
          <cell r="O804">
            <v>0</v>
          </cell>
          <cell r="Q804" t="e">
            <v>#N/A</v>
          </cell>
          <cell r="R804" t="e">
            <v>#N/A</v>
          </cell>
        </row>
        <row r="805">
          <cell r="N805">
            <v>0</v>
          </cell>
          <cell r="O805">
            <v>0</v>
          </cell>
          <cell r="Q805" t="e">
            <v>#N/A</v>
          </cell>
          <cell r="R805" t="e">
            <v>#N/A</v>
          </cell>
        </row>
        <row r="806">
          <cell r="N806">
            <v>0</v>
          </cell>
          <cell r="O806">
            <v>0</v>
          </cell>
          <cell r="Q806" t="e">
            <v>#N/A</v>
          </cell>
          <cell r="R806" t="e">
            <v>#N/A</v>
          </cell>
        </row>
        <row r="807">
          <cell r="N807">
            <v>0</v>
          </cell>
          <cell r="O807">
            <v>0</v>
          </cell>
          <cell r="Q807" t="e">
            <v>#N/A</v>
          </cell>
          <cell r="R807" t="e">
            <v>#N/A</v>
          </cell>
        </row>
        <row r="808">
          <cell r="N808">
            <v>0</v>
          </cell>
          <cell r="O808">
            <v>0</v>
          </cell>
          <cell r="Q808" t="e">
            <v>#N/A</v>
          </cell>
          <cell r="R808" t="e">
            <v>#N/A</v>
          </cell>
        </row>
        <row r="809">
          <cell r="N809">
            <v>0</v>
          </cell>
          <cell r="O809">
            <v>0</v>
          </cell>
          <cell r="Q809" t="e">
            <v>#N/A</v>
          </cell>
          <cell r="R809" t="e">
            <v>#N/A</v>
          </cell>
        </row>
        <row r="810">
          <cell r="N810">
            <v>0</v>
          </cell>
          <cell r="O810">
            <v>0</v>
          </cell>
          <cell r="Q810" t="e">
            <v>#N/A</v>
          </cell>
          <cell r="R810" t="e">
            <v>#N/A</v>
          </cell>
        </row>
        <row r="811">
          <cell r="N811">
            <v>0</v>
          </cell>
          <cell r="O811">
            <v>0</v>
          </cell>
          <cell r="Q811" t="e">
            <v>#N/A</v>
          </cell>
          <cell r="R811" t="e">
            <v>#N/A</v>
          </cell>
        </row>
        <row r="812">
          <cell r="N812">
            <v>0</v>
          </cell>
          <cell r="O812">
            <v>0</v>
          </cell>
          <cell r="Q812" t="e">
            <v>#N/A</v>
          </cell>
          <cell r="R812" t="e">
            <v>#N/A</v>
          </cell>
        </row>
        <row r="813">
          <cell r="N813">
            <v>0</v>
          </cell>
          <cell r="O813">
            <v>0</v>
          </cell>
          <cell r="Q813" t="e">
            <v>#N/A</v>
          </cell>
          <cell r="R813" t="e">
            <v>#N/A</v>
          </cell>
        </row>
        <row r="814">
          <cell r="N814">
            <v>0</v>
          </cell>
          <cell r="O814">
            <v>0</v>
          </cell>
          <cell r="Q814" t="e">
            <v>#N/A</v>
          </cell>
          <cell r="R814" t="e">
            <v>#N/A</v>
          </cell>
        </row>
        <row r="815">
          <cell r="N815">
            <v>0</v>
          </cell>
          <cell r="O815">
            <v>0</v>
          </cell>
          <cell r="Q815" t="e">
            <v>#N/A</v>
          </cell>
          <cell r="R815" t="e">
            <v>#N/A</v>
          </cell>
        </row>
        <row r="816">
          <cell r="N816">
            <v>0</v>
          </cell>
          <cell r="O816">
            <v>0</v>
          </cell>
          <cell r="Q816" t="e">
            <v>#N/A</v>
          </cell>
          <cell r="R816" t="e">
            <v>#N/A</v>
          </cell>
        </row>
        <row r="817">
          <cell r="N817">
            <v>0</v>
          </cell>
          <cell r="O817">
            <v>0</v>
          </cell>
          <cell r="Q817" t="e">
            <v>#N/A</v>
          </cell>
          <cell r="R817" t="e">
            <v>#N/A</v>
          </cell>
        </row>
        <row r="818">
          <cell r="N818">
            <v>0</v>
          </cell>
          <cell r="O818">
            <v>0</v>
          </cell>
          <cell r="Q818" t="e">
            <v>#N/A</v>
          </cell>
          <cell r="R818" t="e">
            <v>#N/A</v>
          </cell>
        </row>
        <row r="819">
          <cell r="N819">
            <v>0</v>
          </cell>
          <cell r="O819">
            <v>0</v>
          </cell>
          <cell r="Q819" t="e">
            <v>#N/A</v>
          </cell>
          <cell r="R819" t="e">
            <v>#N/A</v>
          </cell>
        </row>
        <row r="820">
          <cell r="N820">
            <v>0</v>
          </cell>
          <cell r="O820">
            <v>0</v>
          </cell>
          <cell r="Q820" t="e">
            <v>#N/A</v>
          </cell>
          <cell r="R820" t="e">
            <v>#N/A</v>
          </cell>
        </row>
        <row r="821">
          <cell r="N821">
            <v>0</v>
          </cell>
          <cell r="O821">
            <v>0</v>
          </cell>
          <cell r="Q821" t="e">
            <v>#N/A</v>
          </cell>
          <cell r="R821" t="e">
            <v>#N/A</v>
          </cell>
        </row>
        <row r="822">
          <cell r="N822">
            <v>0</v>
          </cell>
          <cell r="O822">
            <v>0</v>
          </cell>
          <cell r="Q822" t="e">
            <v>#N/A</v>
          </cell>
          <cell r="R822" t="e">
            <v>#N/A</v>
          </cell>
        </row>
        <row r="823">
          <cell r="N823">
            <v>0</v>
          </cell>
          <cell r="O823">
            <v>0</v>
          </cell>
          <cell r="Q823" t="e">
            <v>#N/A</v>
          </cell>
          <cell r="R823" t="e">
            <v>#N/A</v>
          </cell>
        </row>
        <row r="824">
          <cell r="N824">
            <v>0</v>
          </cell>
          <cell r="O824">
            <v>0</v>
          </cell>
          <cell r="Q824" t="e">
            <v>#N/A</v>
          </cell>
          <cell r="R824" t="e">
            <v>#N/A</v>
          </cell>
        </row>
        <row r="825">
          <cell r="N825">
            <v>0</v>
          </cell>
          <cell r="O825">
            <v>0</v>
          </cell>
          <cell r="Q825" t="e">
            <v>#N/A</v>
          </cell>
          <cell r="R825" t="e">
            <v>#N/A</v>
          </cell>
        </row>
        <row r="826">
          <cell r="N826">
            <v>0</v>
          </cell>
          <cell r="O826">
            <v>0</v>
          </cell>
          <cell r="Q826" t="e">
            <v>#N/A</v>
          </cell>
          <cell r="R826" t="e">
            <v>#N/A</v>
          </cell>
        </row>
        <row r="827">
          <cell r="N827">
            <v>0</v>
          </cell>
          <cell r="O827">
            <v>0</v>
          </cell>
          <cell r="Q827" t="e">
            <v>#N/A</v>
          </cell>
          <cell r="R827" t="e">
            <v>#N/A</v>
          </cell>
        </row>
        <row r="828">
          <cell r="N828">
            <v>0</v>
          </cell>
          <cell r="O828">
            <v>0</v>
          </cell>
          <cell r="Q828" t="e">
            <v>#N/A</v>
          </cell>
          <cell r="R828" t="e">
            <v>#N/A</v>
          </cell>
        </row>
        <row r="829">
          <cell r="N829">
            <v>0</v>
          </cell>
          <cell r="O829">
            <v>0</v>
          </cell>
          <cell r="Q829" t="e">
            <v>#N/A</v>
          </cell>
          <cell r="R829" t="e">
            <v>#N/A</v>
          </cell>
        </row>
        <row r="830">
          <cell r="N830">
            <v>0</v>
          </cell>
          <cell r="O830">
            <v>0</v>
          </cell>
          <cell r="Q830" t="e">
            <v>#N/A</v>
          </cell>
          <cell r="R830" t="e">
            <v>#N/A</v>
          </cell>
        </row>
        <row r="831">
          <cell r="N831">
            <v>0</v>
          </cell>
          <cell r="O831">
            <v>0</v>
          </cell>
          <cell r="Q831" t="e">
            <v>#N/A</v>
          </cell>
          <cell r="R831" t="e">
            <v>#N/A</v>
          </cell>
        </row>
        <row r="832">
          <cell r="N832">
            <v>0</v>
          </cell>
          <cell r="O832">
            <v>0</v>
          </cell>
          <cell r="Q832" t="e">
            <v>#N/A</v>
          </cell>
          <cell r="R832" t="e">
            <v>#N/A</v>
          </cell>
        </row>
        <row r="833">
          <cell r="N833">
            <v>0</v>
          </cell>
          <cell r="O833">
            <v>0</v>
          </cell>
          <cell r="Q833" t="e">
            <v>#N/A</v>
          </cell>
          <cell r="R833" t="e">
            <v>#N/A</v>
          </cell>
        </row>
        <row r="834">
          <cell r="N834">
            <v>0</v>
          </cell>
          <cell r="O834">
            <v>0</v>
          </cell>
          <cell r="Q834" t="e">
            <v>#N/A</v>
          </cell>
          <cell r="R834" t="e">
            <v>#N/A</v>
          </cell>
        </row>
        <row r="835">
          <cell r="N835">
            <v>0</v>
          </cell>
          <cell r="O835">
            <v>0</v>
          </cell>
          <cell r="Q835" t="e">
            <v>#N/A</v>
          </cell>
          <cell r="R835" t="e">
            <v>#N/A</v>
          </cell>
        </row>
        <row r="836">
          <cell r="N836">
            <v>0</v>
          </cell>
          <cell r="O836">
            <v>0</v>
          </cell>
          <cell r="Q836" t="e">
            <v>#N/A</v>
          </cell>
          <cell r="R836" t="e">
            <v>#N/A</v>
          </cell>
        </row>
        <row r="837">
          <cell r="N837">
            <v>0</v>
          </cell>
          <cell r="O837">
            <v>0</v>
          </cell>
          <cell r="Q837" t="e">
            <v>#N/A</v>
          </cell>
          <cell r="R837" t="e">
            <v>#N/A</v>
          </cell>
        </row>
        <row r="838">
          <cell r="N838">
            <v>0</v>
          </cell>
          <cell r="O838">
            <v>0</v>
          </cell>
          <cell r="Q838" t="e">
            <v>#N/A</v>
          </cell>
          <cell r="R838" t="e">
            <v>#N/A</v>
          </cell>
        </row>
        <row r="839">
          <cell r="N839">
            <v>0</v>
          </cell>
          <cell r="O839">
            <v>0</v>
          </cell>
          <cell r="Q839" t="e">
            <v>#N/A</v>
          </cell>
          <cell r="R839" t="e">
            <v>#N/A</v>
          </cell>
        </row>
        <row r="840">
          <cell r="N840">
            <v>0</v>
          </cell>
          <cell r="O840">
            <v>0</v>
          </cell>
          <cell r="Q840" t="e">
            <v>#N/A</v>
          </cell>
          <cell r="R840" t="e">
            <v>#N/A</v>
          </cell>
        </row>
        <row r="841">
          <cell r="N841">
            <v>0</v>
          </cell>
          <cell r="O841">
            <v>0</v>
          </cell>
          <cell r="Q841" t="e">
            <v>#N/A</v>
          </cell>
          <cell r="R841" t="e">
            <v>#N/A</v>
          </cell>
        </row>
        <row r="842">
          <cell r="N842">
            <v>0</v>
          </cell>
          <cell r="O842">
            <v>0</v>
          </cell>
          <cell r="Q842" t="e">
            <v>#N/A</v>
          </cell>
          <cell r="R842" t="e">
            <v>#N/A</v>
          </cell>
        </row>
        <row r="843">
          <cell r="N843">
            <v>0</v>
          </cell>
          <cell r="O843">
            <v>0</v>
          </cell>
          <cell r="Q843" t="e">
            <v>#N/A</v>
          </cell>
          <cell r="R843" t="e">
            <v>#N/A</v>
          </cell>
        </row>
        <row r="844">
          <cell r="N844">
            <v>0</v>
          </cell>
          <cell r="O844">
            <v>0</v>
          </cell>
          <cell r="Q844" t="e">
            <v>#N/A</v>
          </cell>
          <cell r="R844" t="e">
            <v>#N/A</v>
          </cell>
        </row>
        <row r="845">
          <cell r="N845">
            <v>0</v>
          </cell>
          <cell r="O845">
            <v>0</v>
          </cell>
          <cell r="Q845" t="e">
            <v>#N/A</v>
          </cell>
          <cell r="R845" t="e">
            <v>#N/A</v>
          </cell>
        </row>
        <row r="846">
          <cell r="N846">
            <v>0</v>
          </cell>
          <cell r="O846">
            <v>0</v>
          </cell>
          <cell r="Q846" t="e">
            <v>#N/A</v>
          </cell>
          <cell r="R846" t="e">
            <v>#N/A</v>
          </cell>
        </row>
        <row r="847">
          <cell r="N847">
            <v>0</v>
          </cell>
          <cell r="O847">
            <v>0</v>
          </cell>
          <cell r="Q847" t="e">
            <v>#N/A</v>
          </cell>
          <cell r="R847" t="e">
            <v>#N/A</v>
          </cell>
        </row>
        <row r="848">
          <cell r="N848">
            <v>0</v>
          </cell>
          <cell r="O848">
            <v>0</v>
          </cell>
          <cell r="Q848" t="e">
            <v>#N/A</v>
          </cell>
          <cell r="R848" t="e">
            <v>#N/A</v>
          </cell>
        </row>
        <row r="849">
          <cell r="N849">
            <v>0</v>
          </cell>
          <cell r="O849">
            <v>0</v>
          </cell>
          <cell r="Q849" t="e">
            <v>#N/A</v>
          </cell>
          <cell r="R849" t="e">
            <v>#N/A</v>
          </cell>
        </row>
        <row r="850">
          <cell r="N850">
            <v>0</v>
          </cell>
          <cell r="O850">
            <v>0</v>
          </cell>
          <cell r="Q850" t="e">
            <v>#N/A</v>
          </cell>
          <cell r="R850" t="e">
            <v>#N/A</v>
          </cell>
        </row>
        <row r="851">
          <cell r="N851">
            <v>0</v>
          </cell>
          <cell r="O851">
            <v>0</v>
          </cell>
          <cell r="Q851" t="e">
            <v>#N/A</v>
          </cell>
          <cell r="R851" t="e">
            <v>#N/A</v>
          </cell>
        </row>
        <row r="852">
          <cell r="N852">
            <v>0</v>
          </cell>
          <cell r="O852">
            <v>0</v>
          </cell>
          <cell r="Q852" t="e">
            <v>#N/A</v>
          </cell>
          <cell r="R852" t="e">
            <v>#N/A</v>
          </cell>
        </row>
        <row r="853">
          <cell r="N853">
            <v>0</v>
          </cell>
          <cell r="O853">
            <v>0</v>
          </cell>
          <cell r="Q853" t="e">
            <v>#N/A</v>
          </cell>
          <cell r="R853" t="e">
            <v>#N/A</v>
          </cell>
        </row>
        <row r="854">
          <cell r="N854">
            <v>0</v>
          </cell>
          <cell r="O854">
            <v>0</v>
          </cell>
          <cell r="Q854" t="e">
            <v>#N/A</v>
          </cell>
          <cell r="R854" t="e">
            <v>#N/A</v>
          </cell>
        </row>
        <row r="855">
          <cell r="N855">
            <v>0</v>
          </cell>
          <cell r="O855">
            <v>0</v>
          </cell>
          <cell r="Q855" t="e">
            <v>#N/A</v>
          </cell>
          <cell r="R855" t="e">
            <v>#N/A</v>
          </cell>
        </row>
        <row r="856">
          <cell r="N856">
            <v>0</v>
          </cell>
          <cell r="O856">
            <v>0</v>
          </cell>
          <cell r="Q856" t="e">
            <v>#N/A</v>
          </cell>
          <cell r="R856" t="e">
            <v>#N/A</v>
          </cell>
        </row>
        <row r="857">
          <cell r="N857">
            <v>0</v>
          </cell>
          <cell r="O857">
            <v>0</v>
          </cell>
          <cell r="Q857" t="e">
            <v>#N/A</v>
          </cell>
          <cell r="R857" t="e">
            <v>#N/A</v>
          </cell>
        </row>
        <row r="858">
          <cell r="N858">
            <v>0</v>
          </cell>
          <cell r="O858">
            <v>0</v>
          </cell>
          <cell r="Q858" t="e">
            <v>#N/A</v>
          </cell>
          <cell r="R858" t="e">
            <v>#N/A</v>
          </cell>
        </row>
        <row r="859">
          <cell r="N859">
            <v>0</v>
          </cell>
          <cell r="O859">
            <v>0</v>
          </cell>
          <cell r="Q859" t="e">
            <v>#N/A</v>
          </cell>
          <cell r="R859" t="e">
            <v>#N/A</v>
          </cell>
        </row>
        <row r="860">
          <cell r="N860">
            <v>0</v>
          </cell>
          <cell r="O860">
            <v>0</v>
          </cell>
          <cell r="Q860" t="e">
            <v>#N/A</v>
          </cell>
          <cell r="R860" t="e">
            <v>#N/A</v>
          </cell>
        </row>
        <row r="861">
          <cell r="N861">
            <v>0</v>
          </cell>
          <cell r="O861">
            <v>0</v>
          </cell>
          <cell r="Q861" t="e">
            <v>#N/A</v>
          </cell>
          <cell r="R861" t="e">
            <v>#N/A</v>
          </cell>
        </row>
        <row r="862">
          <cell r="N862">
            <v>0</v>
          </cell>
          <cell r="O862">
            <v>0</v>
          </cell>
          <cell r="Q862" t="e">
            <v>#N/A</v>
          </cell>
          <cell r="R862" t="e">
            <v>#N/A</v>
          </cell>
        </row>
        <row r="863">
          <cell r="N863">
            <v>0</v>
          </cell>
          <cell r="O863">
            <v>0</v>
          </cell>
          <cell r="Q863" t="e">
            <v>#N/A</v>
          </cell>
          <cell r="R863" t="e">
            <v>#N/A</v>
          </cell>
        </row>
        <row r="864">
          <cell r="N864">
            <v>0</v>
          </cell>
          <cell r="O864">
            <v>0</v>
          </cell>
          <cell r="Q864" t="e">
            <v>#N/A</v>
          </cell>
          <cell r="R864" t="e">
            <v>#N/A</v>
          </cell>
        </row>
        <row r="865">
          <cell r="N865">
            <v>0</v>
          </cell>
          <cell r="O865">
            <v>0</v>
          </cell>
          <cell r="Q865" t="e">
            <v>#N/A</v>
          </cell>
          <cell r="R865" t="e">
            <v>#N/A</v>
          </cell>
        </row>
        <row r="866">
          <cell r="N866">
            <v>0</v>
          </cell>
          <cell r="O866">
            <v>0</v>
          </cell>
          <cell r="Q866" t="e">
            <v>#N/A</v>
          </cell>
          <cell r="R866" t="e">
            <v>#N/A</v>
          </cell>
        </row>
        <row r="867">
          <cell r="N867">
            <v>0</v>
          </cell>
          <cell r="O867">
            <v>0</v>
          </cell>
          <cell r="Q867" t="e">
            <v>#N/A</v>
          </cell>
          <cell r="R867" t="e">
            <v>#N/A</v>
          </cell>
        </row>
        <row r="868">
          <cell r="N868">
            <v>0</v>
          </cell>
          <cell r="O868">
            <v>0</v>
          </cell>
          <cell r="Q868" t="e">
            <v>#N/A</v>
          </cell>
          <cell r="R868" t="e">
            <v>#N/A</v>
          </cell>
        </row>
        <row r="869">
          <cell r="N869">
            <v>0</v>
          </cell>
          <cell r="O869">
            <v>0</v>
          </cell>
          <cell r="Q869" t="e">
            <v>#N/A</v>
          </cell>
          <cell r="R869" t="e">
            <v>#N/A</v>
          </cell>
        </row>
        <row r="870">
          <cell r="N870">
            <v>0</v>
          </cell>
          <cell r="O870">
            <v>0</v>
          </cell>
          <cell r="Q870" t="e">
            <v>#N/A</v>
          </cell>
          <cell r="R870" t="e">
            <v>#N/A</v>
          </cell>
        </row>
        <row r="871">
          <cell r="N871">
            <v>0</v>
          </cell>
          <cell r="O871">
            <v>0</v>
          </cell>
          <cell r="Q871" t="e">
            <v>#N/A</v>
          </cell>
          <cell r="R871" t="e">
            <v>#N/A</v>
          </cell>
        </row>
        <row r="872">
          <cell r="N872">
            <v>0</v>
          </cell>
          <cell r="O872">
            <v>0</v>
          </cell>
          <cell r="Q872" t="e">
            <v>#N/A</v>
          </cell>
          <cell r="R872" t="e">
            <v>#N/A</v>
          </cell>
        </row>
        <row r="873">
          <cell r="N873">
            <v>0</v>
          </cell>
          <cell r="O873">
            <v>0</v>
          </cell>
          <cell r="Q873" t="e">
            <v>#N/A</v>
          </cell>
          <cell r="R873" t="e">
            <v>#N/A</v>
          </cell>
        </row>
        <row r="874">
          <cell r="N874">
            <v>0</v>
          </cell>
          <cell r="O874">
            <v>0</v>
          </cell>
          <cell r="Q874" t="e">
            <v>#N/A</v>
          </cell>
          <cell r="R874" t="e">
            <v>#N/A</v>
          </cell>
        </row>
        <row r="875">
          <cell r="N875">
            <v>0</v>
          </cell>
          <cell r="O875">
            <v>0</v>
          </cell>
          <cell r="Q875" t="e">
            <v>#N/A</v>
          </cell>
          <cell r="R875" t="e">
            <v>#N/A</v>
          </cell>
        </row>
        <row r="876">
          <cell r="N876">
            <v>0</v>
          </cell>
          <cell r="O876">
            <v>0</v>
          </cell>
          <cell r="Q876" t="e">
            <v>#N/A</v>
          </cell>
          <cell r="R876" t="e">
            <v>#N/A</v>
          </cell>
        </row>
        <row r="877">
          <cell r="N877">
            <v>0</v>
          </cell>
          <cell r="O877">
            <v>0</v>
          </cell>
          <cell r="Q877" t="e">
            <v>#N/A</v>
          </cell>
          <cell r="R877" t="e">
            <v>#N/A</v>
          </cell>
        </row>
        <row r="878">
          <cell r="N878">
            <v>0</v>
          </cell>
          <cell r="O878">
            <v>0</v>
          </cell>
          <cell r="Q878" t="e">
            <v>#N/A</v>
          </cell>
          <cell r="R878" t="e">
            <v>#N/A</v>
          </cell>
        </row>
        <row r="879">
          <cell r="N879">
            <v>0</v>
          </cell>
          <cell r="O879">
            <v>0</v>
          </cell>
          <cell r="Q879" t="e">
            <v>#N/A</v>
          </cell>
          <cell r="R879" t="e">
            <v>#N/A</v>
          </cell>
        </row>
        <row r="880">
          <cell r="N880">
            <v>0</v>
          </cell>
          <cell r="O880">
            <v>0</v>
          </cell>
          <cell r="Q880" t="e">
            <v>#N/A</v>
          </cell>
          <cell r="R880" t="e">
            <v>#N/A</v>
          </cell>
        </row>
        <row r="881">
          <cell r="N881">
            <v>0</v>
          </cell>
          <cell r="O881">
            <v>0</v>
          </cell>
          <cell r="Q881" t="e">
            <v>#N/A</v>
          </cell>
          <cell r="R881" t="e">
            <v>#N/A</v>
          </cell>
        </row>
        <row r="882">
          <cell r="N882">
            <v>0</v>
          </cell>
          <cell r="O882">
            <v>0</v>
          </cell>
          <cell r="Q882" t="e">
            <v>#N/A</v>
          </cell>
          <cell r="R882" t="e">
            <v>#N/A</v>
          </cell>
        </row>
        <row r="883">
          <cell r="N883">
            <v>0</v>
          </cell>
          <cell r="O883">
            <v>0</v>
          </cell>
          <cell r="Q883" t="e">
            <v>#N/A</v>
          </cell>
          <cell r="R883" t="e">
            <v>#N/A</v>
          </cell>
        </row>
        <row r="884">
          <cell r="N884">
            <v>0</v>
          </cell>
          <cell r="O884">
            <v>0</v>
          </cell>
          <cell r="Q884" t="e">
            <v>#N/A</v>
          </cell>
          <cell r="R884" t="e">
            <v>#N/A</v>
          </cell>
        </row>
        <row r="885">
          <cell r="N885">
            <v>0</v>
          </cell>
          <cell r="O885">
            <v>0</v>
          </cell>
          <cell r="Q885" t="e">
            <v>#N/A</v>
          </cell>
          <cell r="R885" t="e">
            <v>#N/A</v>
          </cell>
        </row>
        <row r="886">
          <cell r="N886">
            <v>0</v>
          </cell>
          <cell r="O886">
            <v>0</v>
          </cell>
          <cell r="Q886" t="e">
            <v>#N/A</v>
          </cell>
          <cell r="R886" t="e">
            <v>#N/A</v>
          </cell>
        </row>
        <row r="887">
          <cell r="N887">
            <v>0</v>
          </cell>
          <cell r="O887">
            <v>0</v>
          </cell>
          <cell r="Q887" t="e">
            <v>#N/A</v>
          </cell>
          <cell r="R887" t="e">
            <v>#N/A</v>
          </cell>
        </row>
        <row r="888">
          <cell r="N888">
            <v>0</v>
          </cell>
          <cell r="O888">
            <v>0</v>
          </cell>
          <cell r="Q888" t="e">
            <v>#N/A</v>
          </cell>
          <cell r="R888" t="e">
            <v>#N/A</v>
          </cell>
        </row>
        <row r="889">
          <cell r="N889">
            <v>0</v>
          </cell>
          <cell r="O889">
            <v>0</v>
          </cell>
          <cell r="Q889" t="e">
            <v>#N/A</v>
          </cell>
          <cell r="R889" t="e">
            <v>#N/A</v>
          </cell>
        </row>
        <row r="890">
          <cell r="N890">
            <v>0</v>
          </cell>
          <cell r="O890">
            <v>0</v>
          </cell>
          <cell r="Q890" t="e">
            <v>#N/A</v>
          </cell>
          <cell r="R890" t="e">
            <v>#N/A</v>
          </cell>
        </row>
        <row r="891">
          <cell r="N891">
            <v>0</v>
          </cell>
          <cell r="O891">
            <v>0</v>
          </cell>
          <cell r="Q891" t="e">
            <v>#N/A</v>
          </cell>
          <cell r="R891" t="e">
            <v>#N/A</v>
          </cell>
        </row>
        <row r="892">
          <cell r="N892">
            <v>0</v>
          </cell>
          <cell r="O892">
            <v>0</v>
          </cell>
          <cell r="Q892" t="e">
            <v>#N/A</v>
          </cell>
          <cell r="R892" t="e">
            <v>#N/A</v>
          </cell>
        </row>
        <row r="893">
          <cell r="N893">
            <v>0</v>
          </cell>
          <cell r="O893">
            <v>0</v>
          </cell>
          <cell r="Q893" t="e">
            <v>#N/A</v>
          </cell>
          <cell r="R893" t="e">
            <v>#N/A</v>
          </cell>
        </row>
        <row r="894">
          <cell r="N894">
            <v>0</v>
          </cell>
          <cell r="O894">
            <v>0</v>
          </cell>
          <cell r="Q894" t="e">
            <v>#N/A</v>
          </cell>
          <cell r="R894" t="e">
            <v>#N/A</v>
          </cell>
        </row>
        <row r="895">
          <cell r="N895">
            <v>0</v>
          </cell>
          <cell r="O895">
            <v>0</v>
          </cell>
          <cell r="Q895" t="e">
            <v>#N/A</v>
          </cell>
          <cell r="R895" t="e">
            <v>#N/A</v>
          </cell>
        </row>
        <row r="896">
          <cell r="N896">
            <v>0</v>
          </cell>
          <cell r="O896">
            <v>0</v>
          </cell>
          <cell r="Q896" t="e">
            <v>#N/A</v>
          </cell>
          <cell r="R896" t="e">
            <v>#N/A</v>
          </cell>
        </row>
        <row r="897">
          <cell r="N897">
            <v>0</v>
          </cell>
          <cell r="O897">
            <v>0</v>
          </cell>
          <cell r="Q897" t="e">
            <v>#N/A</v>
          </cell>
          <cell r="R897" t="e">
            <v>#N/A</v>
          </cell>
        </row>
        <row r="898">
          <cell r="N898">
            <v>0</v>
          </cell>
          <cell r="O898">
            <v>0</v>
          </cell>
          <cell r="Q898" t="e">
            <v>#N/A</v>
          </cell>
          <cell r="R898" t="e">
            <v>#N/A</v>
          </cell>
        </row>
        <row r="899">
          <cell r="N899">
            <v>0</v>
          </cell>
          <cell r="O899">
            <v>0</v>
          </cell>
          <cell r="Q899" t="e">
            <v>#N/A</v>
          </cell>
          <cell r="R899" t="e">
            <v>#N/A</v>
          </cell>
        </row>
        <row r="900">
          <cell r="N900">
            <v>0</v>
          </cell>
          <cell r="O900">
            <v>0</v>
          </cell>
          <cell r="Q900" t="e">
            <v>#N/A</v>
          </cell>
          <cell r="R900" t="e">
            <v>#N/A</v>
          </cell>
        </row>
        <row r="901">
          <cell r="N901">
            <v>0</v>
          </cell>
          <cell r="O901">
            <v>0</v>
          </cell>
          <cell r="Q901" t="e">
            <v>#N/A</v>
          </cell>
          <cell r="R901" t="e">
            <v>#N/A</v>
          </cell>
        </row>
        <row r="902">
          <cell r="N902">
            <v>0</v>
          </cell>
          <cell r="O902">
            <v>0</v>
          </cell>
          <cell r="Q902" t="e">
            <v>#N/A</v>
          </cell>
          <cell r="R902" t="e">
            <v>#N/A</v>
          </cell>
        </row>
        <row r="903">
          <cell r="N903">
            <v>0</v>
          </cell>
          <cell r="O903">
            <v>0</v>
          </cell>
          <cell r="Q903" t="e">
            <v>#N/A</v>
          </cell>
          <cell r="R903" t="e">
            <v>#N/A</v>
          </cell>
        </row>
        <row r="904">
          <cell r="N904">
            <v>0</v>
          </cell>
          <cell r="O904">
            <v>0</v>
          </cell>
          <cell r="Q904" t="e">
            <v>#N/A</v>
          </cell>
          <cell r="R904" t="e">
            <v>#N/A</v>
          </cell>
        </row>
        <row r="905">
          <cell r="N905">
            <v>0</v>
          </cell>
          <cell r="O905">
            <v>0</v>
          </cell>
          <cell r="Q905" t="e">
            <v>#N/A</v>
          </cell>
          <cell r="R905" t="e">
            <v>#N/A</v>
          </cell>
        </row>
        <row r="906">
          <cell r="N906">
            <v>0</v>
          </cell>
          <cell r="O906">
            <v>0</v>
          </cell>
          <cell r="Q906" t="e">
            <v>#N/A</v>
          </cell>
          <cell r="R906" t="e">
            <v>#N/A</v>
          </cell>
        </row>
        <row r="907">
          <cell r="N907">
            <v>0</v>
          </cell>
          <cell r="O907">
            <v>0</v>
          </cell>
          <cell r="Q907" t="e">
            <v>#N/A</v>
          </cell>
          <cell r="R907" t="e">
            <v>#N/A</v>
          </cell>
        </row>
        <row r="908">
          <cell r="N908">
            <v>0</v>
          </cell>
          <cell r="O908">
            <v>0</v>
          </cell>
          <cell r="Q908" t="e">
            <v>#N/A</v>
          </cell>
          <cell r="R908" t="e">
            <v>#N/A</v>
          </cell>
        </row>
        <row r="909">
          <cell r="N909">
            <v>0</v>
          </cell>
          <cell r="O909">
            <v>0</v>
          </cell>
          <cell r="Q909" t="e">
            <v>#N/A</v>
          </cell>
          <cell r="R909" t="e">
            <v>#N/A</v>
          </cell>
        </row>
        <row r="910">
          <cell r="N910">
            <v>0</v>
          </cell>
          <cell r="O910">
            <v>0</v>
          </cell>
          <cell r="Q910" t="e">
            <v>#N/A</v>
          </cell>
          <cell r="R910" t="e">
            <v>#N/A</v>
          </cell>
        </row>
        <row r="911">
          <cell r="N911">
            <v>0</v>
          </cell>
          <cell r="O911">
            <v>0</v>
          </cell>
          <cell r="Q911" t="e">
            <v>#N/A</v>
          </cell>
          <cell r="R911" t="e">
            <v>#N/A</v>
          </cell>
        </row>
        <row r="912">
          <cell r="N912">
            <v>0</v>
          </cell>
          <cell r="O912">
            <v>0</v>
          </cell>
          <cell r="Q912" t="e">
            <v>#N/A</v>
          </cell>
          <cell r="R912" t="e">
            <v>#N/A</v>
          </cell>
        </row>
        <row r="913">
          <cell r="N913">
            <v>0</v>
          </cell>
          <cell r="O913">
            <v>0</v>
          </cell>
          <cell r="Q913" t="e">
            <v>#N/A</v>
          </cell>
          <cell r="R913" t="e">
            <v>#N/A</v>
          </cell>
        </row>
        <row r="914">
          <cell r="N914">
            <v>0</v>
          </cell>
          <cell r="O914">
            <v>0</v>
          </cell>
          <cell r="Q914" t="e">
            <v>#N/A</v>
          </cell>
          <cell r="R914" t="e">
            <v>#N/A</v>
          </cell>
        </row>
        <row r="915">
          <cell r="N915">
            <v>0</v>
          </cell>
          <cell r="O915">
            <v>0</v>
          </cell>
          <cell r="Q915" t="e">
            <v>#N/A</v>
          </cell>
          <cell r="R915" t="e">
            <v>#N/A</v>
          </cell>
        </row>
        <row r="916">
          <cell r="N916">
            <v>0</v>
          </cell>
          <cell r="O916">
            <v>0</v>
          </cell>
          <cell r="Q916" t="e">
            <v>#N/A</v>
          </cell>
          <cell r="R916" t="e">
            <v>#N/A</v>
          </cell>
        </row>
        <row r="917">
          <cell r="N917">
            <v>0</v>
          </cell>
          <cell r="O917">
            <v>0</v>
          </cell>
          <cell r="Q917" t="e">
            <v>#N/A</v>
          </cell>
          <cell r="R917" t="e">
            <v>#N/A</v>
          </cell>
        </row>
        <row r="918">
          <cell r="N918">
            <v>0</v>
          </cell>
          <cell r="O918">
            <v>0</v>
          </cell>
          <cell r="Q918" t="e">
            <v>#N/A</v>
          </cell>
          <cell r="R918" t="e">
            <v>#N/A</v>
          </cell>
        </row>
        <row r="919">
          <cell r="N919">
            <v>0</v>
          </cell>
          <cell r="O919">
            <v>0</v>
          </cell>
          <cell r="Q919" t="e">
            <v>#N/A</v>
          </cell>
          <cell r="R919" t="e">
            <v>#N/A</v>
          </cell>
        </row>
        <row r="920">
          <cell r="N920">
            <v>0</v>
          </cell>
          <cell r="O920">
            <v>0</v>
          </cell>
          <cell r="Q920" t="e">
            <v>#N/A</v>
          </cell>
          <cell r="R920" t="e">
            <v>#N/A</v>
          </cell>
        </row>
        <row r="921">
          <cell r="N921">
            <v>0</v>
          </cell>
          <cell r="O921">
            <v>0</v>
          </cell>
          <cell r="Q921" t="e">
            <v>#N/A</v>
          </cell>
          <cell r="R921" t="e">
            <v>#N/A</v>
          </cell>
        </row>
        <row r="922">
          <cell r="N922">
            <v>0</v>
          </cell>
          <cell r="O922">
            <v>0</v>
          </cell>
          <cell r="Q922" t="e">
            <v>#N/A</v>
          </cell>
          <cell r="R922" t="e">
            <v>#N/A</v>
          </cell>
        </row>
        <row r="923">
          <cell r="N923">
            <v>0</v>
          </cell>
          <cell r="O923">
            <v>0</v>
          </cell>
          <cell r="Q923" t="e">
            <v>#N/A</v>
          </cell>
          <cell r="R923" t="e">
            <v>#N/A</v>
          </cell>
        </row>
        <row r="924">
          <cell r="N924">
            <v>0</v>
          </cell>
          <cell r="O924">
            <v>0</v>
          </cell>
          <cell r="Q924" t="e">
            <v>#N/A</v>
          </cell>
          <cell r="R924" t="e">
            <v>#N/A</v>
          </cell>
        </row>
        <row r="925">
          <cell r="N925">
            <v>0</v>
          </cell>
          <cell r="O925">
            <v>0</v>
          </cell>
          <cell r="Q925" t="e">
            <v>#N/A</v>
          </cell>
          <cell r="R925" t="e">
            <v>#N/A</v>
          </cell>
        </row>
        <row r="926">
          <cell r="N926">
            <v>0</v>
          </cell>
          <cell r="O926">
            <v>0</v>
          </cell>
          <cell r="Q926" t="e">
            <v>#N/A</v>
          </cell>
          <cell r="R926" t="e">
            <v>#N/A</v>
          </cell>
        </row>
        <row r="927">
          <cell r="N927">
            <v>0</v>
          </cell>
          <cell r="O927">
            <v>0</v>
          </cell>
          <cell r="Q927" t="e">
            <v>#N/A</v>
          </cell>
          <cell r="R927" t="e">
            <v>#N/A</v>
          </cell>
        </row>
        <row r="928">
          <cell r="N928">
            <v>0</v>
          </cell>
          <cell r="O928">
            <v>0</v>
          </cell>
          <cell r="Q928" t="e">
            <v>#N/A</v>
          </cell>
          <cell r="R928" t="e">
            <v>#N/A</v>
          </cell>
        </row>
        <row r="929">
          <cell r="N929">
            <v>0</v>
          </cell>
          <cell r="O929">
            <v>0</v>
          </cell>
          <cell r="Q929" t="e">
            <v>#N/A</v>
          </cell>
          <cell r="R929" t="e">
            <v>#N/A</v>
          </cell>
        </row>
        <row r="930">
          <cell r="N930">
            <v>0</v>
          </cell>
          <cell r="O930">
            <v>0</v>
          </cell>
          <cell r="Q930" t="e">
            <v>#N/A</v>
          </cell>
          <cell r="R930" t="e">
            <v>#N/A</v>
          </cell>
        </row>
        <row r="931">
          <cell r="N931">
            <v>0</v>
          </cell>
          <cell r="O931">
            <v>0</v>
          </cell>
          <cell r="Q931" t="e">
            <v>#N/A</v>
          </cell>
          <cell r="R931" t="e">
            <v>#N/A</v>
          </cell>
        </row>
        <row r="932">
          <cell r="N932">
            <v>0</v>
          </cell>
          <cell r="O932">
            <v>0</v>
          </cell>
          <cell r="Q932" t="e">
            <v>#N/A</v>
          </cell>
          <cell r="R932" t="e">
            <v>#N/A</v>
          </cell>
        </row>
        <row r="933">
          <cell r="N933">
            <v>0</v>
          </cell>
          <cell r="O933">
            <v>0</v>
          </cell>
          <cell r="Q933" t="e">
            <v>#N/A</v>
          </cell>
          <cell r="R933" t="e">
            <v>#N/A</v>
          </cell>
        </row>
        <row r="934">
          <cell r="N934">
            <v>0</v>
          </cell>
          <cell r="O934">
            <v>0</v>
          </cell>
          <cell r="Q934" t="e">
            <v>#N/A</v>
          </cell>
          <cell r="R934" t="e">
            <v>#N/A</v>
          </cell>
        </row>
        <row r="935">
          <cell r="N935">
            <v>0</v>
          </cell>
          <cell r="O935">
            <v>0</v>
          </cell>
          <cell r="Q935" t="e">
            <v>#N/A</v>
          </cell>
          <cell r="R935" t="e">
            <v>#N/A</v>
          </cell>
        </row>
        <row r="936">
          <cell r="N936">
            <v>0</v>
          </cell>
          <cell r="O936">
            <v>0</v>
          </cell>
          <cell r="Q936" t="e">
            <v>#N/A</v>
          </cell>
          <cell r="R936" t="e">
            <v>#N/A</v>
          </cell>
        </row>
        <row r="937">
          <cell r="N937">
            <v>0</v>
          </cell>
          <cell r="O937">
            <v>0</v>
          </cell>
          <cell r="Q937" t="e">
            <v>#N/A</v>
          </cell>
          <cell r="R937" t="e">
            <v>#N/A</v>
          </cell>
        </row>
        <row r="938">
          <cell r="N938">
            <v>0</v>
          </cell>
          <cell r="O938">
            <v>0</v>
          </cell>
          <cell r="Q938" t="e">
            <v>#N/A</v>
          </cell>
          <cell r="R938" t="e">
            <v>#N/A</v>
          </cell>
        </row>
        <row r="939">
          <cell r="N939">
            <v>0</v>
          </cell>
          <cell r="O939">
            <v>0</v>
          </cell>
          <cell r="Q939" t="e">
            <v>#N/A</v>
          </cell>
          <cell r="R939" t="e">
            <v>#N/A</v>
          </cell>
        </row>
        <row r="940">
          <cell r="N940">
            <v>0</v>
          </cell>
          <cell r="O940">
            <v>0</v>
          </cell>
          <cell r="Q940" t="e">
            <v>#N/A</v>
          </cell>
          <cell r="R940" t="e">
            <v>#N/A</v>
          </cell>
        </row>
        <row r="941">
          <cell r="N941">
            <v>0</v>
          </cell>
          <cell r="O941">
            <v>0</v>
          </cell>
          <cell r="Q941" t="e">
            <v>#N/A</v>
          </cell>
          <cell r="R941" t="e">
            <v>#N/A</v>
          </cell>
        </row>
        <row r="942">
          <cell r="N942">
            <v>0</v>
          </cell>
          <cell r="O942">
            <v>0</v>
          </cell>
          <cell r="Q942" t="e">
            <v>#N/A</v>
          </cell>
          <cell r="R942" t="e">
            <v>#N/A</v>
          </cell>
        </row>
        <row r="943">
          <cell r="N943">
            <v>0</v>
          </cell>
          <cell r="O943">
            <v>0</v>
          </cell>
          <cell r="Q943" t="e">
            <v>#N/A</v>
          </cell>
          <cell r="R943" t="e">
            <v>#N/A</v>
          </cell>
        </row>
        <row r="944">
          <cell r="N944">
            <v>0</v>
          </cell>
          <cell r="O944">
            <v>0</v>
          </cell>
          <cell r="Q944" t="e">
            <v>#N/A</v>
          </cell>
          <cell r="R944" t="e">
            <v>#N/A</v>
          </cell>
        </row>
        <row r="945">
          <cell r="N945">
            <v>0</v>
          </cell>
          <cell r="O945">
            <v>0</v>
          </cell>
          <cell r="Q945" t="e">
            <v>#N/A</v>
          </cell>
          <cell r="R945" t="e">
            <v>#N/A</v>
          </cell>
        </row>
        <row r="946">
          <cell r="N946">
            <v>0</v>
          </cell>
          <cell r="O946">
            <v>0</v>
          </cell>
          <cell r="Q946" t="e">
            <v>#N/A</v>
          </cell>
          <cell r="R946" t="e">
            <v>#N/A</v>
          </cell>
        </row>
        <row r="947">
          <cell r="N947">
            <v>0</v>
          </cell>
          <cell r="O947">
            <v>0</v>
          </cell>
          <cell r="Q947" t="e">
            <v>#N/A</v>
          </cell>
          <cell r="R947" t="e">
            <v>#N/A</v>
          </cell>
        </row>
        <row r="948">
          <cell r="N948">
            <v>0</v>
          </cell>
          <cell r="O948">
            <v>0</v>
          </cell>
          <cell r="Q948" t="e">
            <v>#N/A</v>
          </cell>
          <cell r="R948" t="e">
            <v>#N/A</v>
          </cell>
        </row>
        <row r="949">
          <cell r="N949">
            <v>0</v>
          </cell>
          <cell r="O949">
            <v>0</v>
          </cell>
          <cell r="Q949" t="e">
            <v>#N/A</v>
          </cell>
          <cell r="R949" t="e">
            <v>#N/A</v>
          </cell>
        </row>
        <row r="950">
          <cell r="N950">
            <v>0</v>
          </cell>
          <cell r="O950">
            <v>0</v>
          </cell>
          <cell r="Q950" t="e">
            <v>#N/A</v>
          </cell>
          <cell r="R950" t="e">
            <v>#N/A</v>
          </cell>
        </row>
        <row r="951">
          <cell r="N951">
            <v>0</v>
          </cell>
          <cell r="O951">
            <v>0</v>
          </cell>
          <cell r="Q951" t="e">
            <v>#N/A</v>
          </cell>
          <cell r="R951" t="e">
            <v>#N/A</v>
          </cell>
        </row>
        <row r="952">
          <cell r="N952">
            <v>0</v>
          </cell>
          <cell r="O952">
            <v>0</v>
          </cell>
          <cell r="Q952" t="e">
            <v>#N/A</v>
          </cell>
          <cell r="R952" t="e">
            <v>#N/A</v>
          </cell>
        </row>
        <row r="953">
          <cell r="N953">
            <v>0</v>
          </cell>
          <cell r="O953">
            <v>0</v>
          </cell>
          <cell r="Q953" t="e">
            <v>#N/A</v>
          </cell>
          <cell r="R953" t="e">
            <v>#N/A</v>
          </cell>
        </row>
        <row r="954">
          <cell r="N954">
            <v>0</v>
          </cell>
          <cell r="O954">
            <v>0</v>
          </cell>
          <cell r="Q954" t="e">
            <v>#N/A</v>
          </cell>
          <cell r="R954" t="e">
            <v>#N/A</v>
          </cell>
        </row>
        <row r="955">
          <cell r="N955">
            <v>0</v>
          </cell>
          <cell r="O955">
            <v>0</v>
          </cell>
          <cell r="Q955" t="e">
            <v>#N/A</v>
          </cell>
          <cell r="R955" t="e">
            <v>#N/A</v>
          </cell>
        </row>
        <row r="956">
          <cell r="N956">
            <v>0</v>
          </cell>
          <cell r="O956">
            <v>0</v>
          </cell>
          <cell r="Q956" t="e">
            <v>#N/A</v>
          </cell>
          <cell r="R956" t="e">
            <v>#N/A</v>
          </cell>
        </row>
        <row r="957">
          <cell r="N957">
            <v>0</v>
          </cell>
          <cell r="O957">
            <v>0</v>
          </cell>
          <cell r="Q957" t="e">
            <v>#N/A</v>
          </cell>
          <cell r="R957" t="e">
            <v>#N/A</v>
          </cell>
        </row>
        <row r="958">
          <cell r="N958">
            <v>0</v>
          </cell>
          <cell r="O958">
            <v>0</v>
          </cell>
          <cell r="Q958" t="e">
            <v>#N/A</v>
          </cell>
          <cell r="R958" t="e">
            <v>#N/A</v>
          </cell>
        </row>
        <row r="959">
          <cell r="N959">
            <v>0</v>
          </cell>
          <cell r="O959">
            <v>0</v>
          </cell>
          <cell r="Q959" t="e">
            <v>#N/A</v>
          </cell>
          <cell r="R959" t="e">
            <v>#N/A</v>
          </cell>
        </row>
        <row r="960">
          <cell r="N960">
            <v>0</v>
          </cell>
          <cell r="O960">
            <v>0</v>
          </cell>
          <cell r="Q960" t="e">
            <v>#N/A</v>
          </cell>
          <cell r="R960" t="e">
            <v>#N/A</v>
          </cell>
        </row>
        <row r="961">
          <cell r="N961">
            <v>0</v>
          </cell>
          <cell r="O961">
            <v>0</v>
          </cell>
          <cell r="Q961" t="e">
            <v>#N/A</v>
          </cell>
          <cell r="R961" t="e">
            <v>#N/A</v>
          </cell>
        </row>
        <row r="962">
          <cell r="N962">
            <v>0</v>
          </cell>
          <cell r="O962">
            <v>0</v>
          </cell>
          <cell r="Q962" t="e">
            <v>#N/A</v>
          </cell>
          <cell r="R962" t="e">
            <v>#N/A</v>
          </cell>
        </row>
        <row r="963">
          <cell r="N963">
            <v>0</v>
          </cell>
          <cell r="O963">
            <v>0</v>
          </cell>
          <cell r="Q963" t="e">
            <v>#N/A</v>
          </cell>
          <cell r="R963" t="e">
            <v>#N/A</v>
          </cell>
        </row>
        <row r="964">
          <cell r="N964">
            <v>0</v>
          </cell>
          <cell r="O964">
            <v>0</v>
          </cell>
          <cell r="Q964" t="e">
            <v>#N/A</v>
          </cell>
          <cell r="R964" t="e">
            <v>#N/A</v>
          </cell>
        </row>
        <row r="965">
          <cell r="N965">
            <v>0</v>
          </cell>
          <cell r="O965">
            <v>0</v>
          </cell>
          <cell r="Q965" t="e">
            <v>#N/A</v>
          </cell>
          <cell r="R965" t="e">
            <v>#N/A</v>
          </cell>
        </row>
        <row r="966">
          <cell r="N966">
            <v>0</v>
          </cell>
          <cell r="O966">
            <v>0</v>
          </cell>
          <cell r="Q966" t="e">
            <v>#N/A</v>
          </cell>
          <cell r="R966" t="e">
            <v>#N/A</v>
          </cell>
        </row>
        <row r="967">
          <cell r="N967">
            <v>0</v>
          </cell>
          <cell r="O967">
            <v>0</v>
          </cell>
          <cell r="Q967" t="e">
            <v>#N/A</v>
          </cell>
          <cell r="R967" t="e">
            <v>#N/A</v>
          </cell>
        </row>
        <row r="968">
          <cell r="N968">
            <v>0</v>
          </cell>
          <cell r="O968">
            <v>0</v>
          </cell>
          <cell r="Q968" t="e">
            <v>#N/A</v>
          </cell>
          <cell r="R968" t="e">
            <v>#N/A</v>
          </cell>
        </row>
        <row r="969">
          <cell r="N969">
            <v>0</v>
          </cell>
          <cell r="O969">
            <v>0</v>
          </cell>
          <cell r="Q969" t="e">
            <v>#N/A</v>
          </cell>
          <cell r="R969" t="e">
            <v>#N/A</v>
          </cell>
        </row>
        <row r="970">
          <cell r="N970">
            <v>0</v>
          </cell>
          <cell r="O970">
            <v>0</v>
          </cell>
          <cell r="Q970" t="e">
            <v>#N/A</v>
          </cell>
          <cell r="R970" t="e">
            <v>#N/A</v>
          </cell>
        </row>
        <row r="971">
          <cell r="N971">
            <v>0</v>
          </cell>
          <cell r="O971">
            <v>0</v>
          </cell>
          <cell r="Q971" t="e">
            <v>#N/A</v>
          </cell>
          <cell r="R971" t="e">
            <v>#N/A</v>
          </cell>
        </row>
        <row r="972">
          <cell r="N972">
            <v>0</v>
          </cell>
          <cell r="O972">
            <v>0</v>
          </cell>
          <cell r="Q972" t="e">
            <v>#N/A</v>
          </cell>
          <cell r="R972" t="e">
            <v>#N/A</v>
          </cell>
        </row>
        <row r="973">
          <cell r="N973">
            <v>0</v>
          </cell>
          <cell r="O973">
            <v>0</v>
          </cell>
          <cell r="Q973" t="e">
            <v>#N/A</v>
          </cell>
          <cell r="R973" t="e">
            <v>#N/A</v>
          </cell>
        </row>
        <row r="974">
          <cell r="N974">
            <v>0</v>
          </cell>
          <cell r="O974">
            <v>0</v>
          </cell>
          <cell r="Q974" t="e">
            <v>#N/A</v>
          </cell>
          <cell r="R974" t="e">
            <v>#N/A</v>
          </cell>
        </row>
        <row r="975">
          <cell r="N975">
            <v>0</v>
          </cell>
          <cell r="O975">
            <v>0</v>
          </cell>
          <cell r="Q975" t="e">
            <v>#N/A</v>
          </cell>
          <cell r="R975" t="e">
            <v>#N/A</v>
          </cell>
        </row>
        <row r="976">
          <cell r="N976">
            <v>0</v>
          </cell>
          <cell r="O976">
            <v>0</v>
          </cell>
          <cell r="Q976" t="e">
            <v>#N/A</v>
          </cell>
          <cell r="R976" t="e">
            <v>#N/A</v>
          </cell>
        </row>
        <row r="977">
          <cell r="N977">
            <v>0</v>
          </cell>
          <cell r="O977">
            <v>0</v>
          </cell>
          <cell r="Q977" t="e">
            <v>#N/A</v>
          </cell>
          <cell r="R977" t="e">
            <v>#N/A</v>
          </cell>
        </row>
        <row r="978">
          <cell r="N978">
            <v>0</v>
          </cell>
          <cell r="O978">
            <v>0</v>
          </cell>
          <cell r="Q978" t="e">
            <v>#N/A</v>
          </cell>
          <cell r="R978" t="e">
            <v>#N/A</v>
          </cell>
        </row>
        <row r="979">
          <cell r="N979">
            <v>0</v>
          </cell>
          <cell r="O979">
            <v>0</v>
          </cell>
          <cell r="Q979" t="e">
            <v>#N/A</v>
          </cell>
          <cell r="R979" t="e">
            <v>#N/A</v>
          </cell>
        </row>
        <row r="980">
          <cell r="N980">
            <v>0</v>
          </cell>
          <cell r="O980">
            <v>0</v>
          </cell>
          <cell r="Q980" t="e">
            <v>#N/A</v>
          </cell>
          <cell r="R980" t="e">
            <v>#N/A</v>
          </cell>
        </row>
        <row r="981">
          <cell r="N981">
            <v>0</v>
          </cell>
          <cell r="O981">
            <v>0</v>
          </cell>
          <cell r="Q981" t="e">
            <v>#N/A</v>
          </cell>
          <cell r="R981" t="e">
            <v>#N/A</v>
          </cell>
        </row>
        <row r="982">
          <cell r="N982">
            <v>0</v>
          </cell>
          <cell r="O982">
            <v>0</v>
          </cell>
          <cell r="Q982" t="e">
            <v>#N/A</v>
          </cell>
          <cell r="R982" t="e">
            <v>#N/A</v>
          </cell>
        </row>
        <row r="983">
          <cell r="N983">
            <v>0</v>
          </cell>
          <cell r="O983">
            <v>0</v>
          </cell>
          <cell r="Q983" t="e">
            <v>#N/A</v>
          </cell>
          <cell r="R983" t="e">
            <v>#N/A</v>
          </cell>
        </row>
        <row r="984">
          <cell r="N984">
            <v>0</v>
          </cell>
          <cell r="O984">
            <v>0</v>
          </cell>
          <cell r="Q984" t="e">
            <v>#N/A</v>
          </cell>
          <cell r="R984" t="e">
            <v>#N/A</v>
          </cell>
        </row>
        <row r="985">
          <cell r="N985">
            <v>0</v>
          </cell>
          <cell r="O985">
            <v>0</v>
          </cell>
          <cell r="Q985" t="e">
            <v>#N/A</v>
          </cell>
          <cell r="R985" t="e">
            <v>#N/A</v>
          </cell>
        </row>
        <row r="986">
          <cell r="N986">
            <v>0</v>
          </cell>
          <cell r="O986">
            <v>0</v>
          </cell>
          <cell r="Q986" t="e">
            <v>#N/A</v>
          </cell>
          <cell r="R986" t="e">
            <v>#N/A</v>
          </cell>
        </row>
        <row r="987">
          <cell r="N987">
            <v>0</v>
          </cell>
          <cell r="O987">
            <v>0</v>
          </cell>
          <cell r="Q987" t="e">
            <v>#N/A</v>
          </cell>
          <cell r="R987" t="e">
            <v>#N/A</v>
          </cell>
        </row>
        <row r="988">
          <cell r="N988">
            <v>0</v>
          </cell>
          <cell r="O988">
            <v>0</v>
          </cell>
          <cell r="Q988" t="e">
            <v>#N/A</v>
          </cell>
          <cell r="R988" t="e">
            <v>#N/A</v>
          </cell>
        </row>
        <row r="989">
          <cell r="N989">
            <v>0</v>
          </cell>
          <cell r="O989">
            <v>0</v>
          </cell>
          <cell r="Q989" t="e">
            <v>#N/A</v>
          </cell>
          <cell r="R989" t="e">
            <v>#N/A</v>
          </cell>
        </row>
        <row r="990">
          <cell r="N990">
            <v>0</v>
          </cell>
          <cell r="O990">
            <v>0</v>
          </cell>
          <cell r="Q990" t="e">
            <v>#N/A</v>
          </cell>
          <cell r="R990" t="e">
            <v>#N/A</v>
          </cell>
        </row>
        <row r="991">
          <cell r="N991">
            <v>0</v>
          </cell>
          <cell r="O991">
            <v>0</v>
          </cell>
          <cell r="Q991" t="e">
            <v>#N/A</v>
          </cell>
          <cell r="R991" t="e">
            <v>#N/A</v>
          </cell>
        </row>
        <row r="992">
          <cell r="N992">
            <v>0</v>
          </cell>
          <cell r="O992">
            <v>0</v>
          </cell>
          <cell r="Q992" t="e">
            <v>#N/A</v>
          </cell>
          <cell r="R992" t="e">
            <v>#N/A</v>
          </cell>
        </row>
        <row r="993">
          <cell r="N993">
            <v>0</v>
          </cell>
          <cell r="O993">
            <v>0</v>
          </cell>
          <cell r="Q993" t="e">
            <v>#N/A</v>
          </cell>
          <cell r="R993" t="e">
            <v>#N/A</v>
          </cell>
        </row>
        <row r="994">
          <cell r="N994">
            <v>0</v>
          </cell>
          <cell r="O994">
            <v>0</v>
          </cell>
          <cell r="Q994" t="e">
            <v>#N/A</v>
          </cell>
          <cell r="R994" t="e">
            <v>#N/A</v>
          </cell>
        </row>
        <row r="995">
          <cell r="N995">
            <v>0</v>
          </cell>
          <cell r="O995">
            <v>0</v>
          </cell>
          <cell r="Q995" t="e">
            <v>#N/A</v>
          </cell>
          <cell r="R995" t="e">
            <v>#N/A</v>
          </cell>
        </row>
        <row r="996">
          <cell r="N996">
            <v>0</v>
          </cell>
          <cell r="O996">
            <v>0</v>
          </cell>
          <cell r="Q996" t="e">
            <v>#N/A</v>
          </cell>
          <cell r="R996" t="e">
            <v>#N/A</v>
          </cell>
        </row>
        <row r="997">
          <cell r="N997">
            <v>0</v>
          </cell>
          <cell r="O997">
            <v>0</v>
          </cell>
          <cell r="Q997" t="e">
            <v>#N/A</v>
          </cell>
          <cell r="R997" t="e">
            <v>#N/A</v>
          </cell>
        </row>
        <row r="998">
          <cell r="N998">
            <v>0</v>
          </cell>
          <cell r="O998">
            <v>0</v>
          </cell>
          <cell r="Q998" t="e">
            <v>#N/A</v>
          </cell>
          <cell r="R998" t="e">
            <v>#N/A</v>
          </cell>
        </row>
        <row r="999">
          <cell r="N999">
            <v>0</v>
          </cell>
          <cell r="O999">
            <v>0</v>
          </cell>
          <cell r="Q999" t="e">
            <v>#N/A</v>
          </cell>
          <cell r="R999" t="e">
            <v>#N/A</v>
          </cell>
        </row>
        <row r="1000">
          <cell r="N1000">
            <v>0</v>
          </cell>
          <cell r="O1000">
            <v>0</v>
          </cell>
          <cell r="Q1000" t="e">
            <v>#N/A</v>
          </cell>
          <cell r="R1000" t="e">
            <v>#N/A</v>
          </cell>
        </row>
        <row r="1001">
          <cell r="N1001">
            <v>0</v>
          </cell>
          <cell r="O1001">
            <v>0</v>
          </cell>
          <cell r="Q1001" t="e">
            <v>#N/A</v>
          </cell>
          <cell r="R1001" t="e">
            <v>#N/A</v>
          </cell>
        </row>
        <row r="1002">
          <cell r="N1002">
            <v>0</v>
          </cell>
          <cell r="O1002">
            <v>0</v>
          </cell>
          <cell r="Q1002" t="e">
            <v>#N/A</v>
          </cell>
          <cell r="R1002" t="e">
            <v>#N/A</v>
          </cell>
        </row>
        <row r="1003">
          <cell r="N1003">
            <v>0</v>
          </cell>
          <cell r="O1003">
            <v>0</v>
          </cell>
          <cell r="Q1003" t="e">
            <v>#N/A</v>
          </cell>
          <cell r="R1003" t="e">
            <v>#N/A</v>
          </cell>
        </row>
        <row r="1004">
          <cell r="N1004">
            <v>0</v>
          </cell>
          <cell r="O1004">
            <v>0</v>
          </cell>
          <cell r="Q1004" t="e">
            <v>#N/A</v>
          </cell>
          <cell r="R1004" t="e">
            <v>#N/A</v>
          </cell>
        </row>
        <row r="1005">
          <cell r="N1005">
            <v>0</v>
          </cell>
          <cell r="O1005">
            <v>0</v>
          </cell>
          <cell r="Q1005" t="e">
            <v>#N/A</v>
          </cell>
          <cell r="R1005" t="e">
            <v>#N/A</v>
          </cell>
        </row>
        <row r="1006">
          <cell r="N1006">
            <v>0</v>
          </cell>
          <cell r="O1006">
            <v>0</v>
          </cell>
          <cell r="Q1006" t="e">
            <v>#N/A</v>
          </cell>
          <cell r="R1006" t="e">
            <v>#N/A</v>
          </cell>
        </row>
        <row r="1007">
          <cell r="N1007">
            <v>0</v>
          </cell>
          <cell r="O1007">
            <v>0</v>
          </cell>
          <cell r="Q1007" t="e">
            <v>#N/A</v>
          </cell>
          <cell r="R1007" t="e">
            <v>#N/A</v>
          </cell>
        </row>
        <row r="1008">
          <cell r="N1008">
            <v>0</v>
          </cell>
          <cell r="O1008">
            <v>0</v>
          </cell>
          <cell r="Q1008" t="e">
            <v>#N/A</v>
          </cell>
          <cell r="R1008" t="e">
            <v>#N/A</v>
          </cell>
        </row>
        <row r="1009">
          <cell r="N1009">
            <v>0</v>
          </cell>
          <cell r="O1009">
            <v>0</v>
          </cell>
          <cell r="Q1009" t="e">
            <v>#N/A</v>
          </cell>
          <cell r="R1009" t="e">
            <v>#N/A</v>
          </cell>
        </row>
        <row r="1010">
          <cell r="N1010">
            <v>0</v>
          </cell>
          <cell r="O1010">
            <v>0</v>
          </cell>
          <cell r="Q1010" t="e">
            <v>#N/A</v>
          </cell>
          <cell r="R1010" t="e">
            <v>#N/A</v>
          </cell>
        </row>
        <row r="1011">
          <cell r="N1011">
            <v>0</v>
          </cell>
          <cell r="O1011">
            <v>0</v>
          </cell>
          <cell r="Q1011" t="e">
            <v>#N/A</v>
          </cell>
          <cell r="R1011" t="e">
            <v>#N/A</v>
          </cell>
        </row>
        <row r="1012">
          <cell r="N1012">
            <v>0</v>
          </cell>
          <cell r="O1012">
            <v>0</v>
          </cell>
          <cell r="Q1012" t="e">
            <v>#N/A</v>
          </cell>
          <cell r="R1012" t="e">
            <v>#N/A</v>
          </cell>
        </row>
        <row r="1013">
          <cell r="N1013">
            <v>0</v>
          </cell>
          <cell r="O1013">
            <v>0</v>
          </cell>
          <cell r="Q1013" t="e">
            <v>#N/A</v>
          </cell>
          <cell r="R1013" t="e">
            <v>#N/A</v>
          </cell>
        </row>
        <row r="1014">
          <cell r="N1014">
            <v>0</v>
          </cell>
          <cell r="O1014">
            <v>0</v>
          </cell>
          <cell r="Q1014" t="e">
            <v>#N/A</v>
          </cell>
          <cell r="R1014" t="e">
            <v>#N/A</v>
          </cell>
        </row>
        <row r="1015">
          <cell r="N1015">
            <v>0</v>
          </cell>
          <cell r="O1015">
            <v>0</v>
          </cell>
          <cell r="Q1015" t="e">
            <v>#N/A</v>
          </cell>
          <cell r="R1015" t="e">
            <v>#N/A</v>
          </cell>
        </row>
        <row r="1016">
          <cell r="N1016">
            <v>0</v>
          </cell>
          <cell r="O1016">
            <v>0</v>
          </cell>
          <cell r="Q1016" t="e">
            <v>#N/A</v>
          </cell>
          <cell r="R1016" t="e">
            <v>#N/A</v>
          </cell>
        </row>
        <row r="1017">
          <cell r="N1017">
            <v>0</v>
          </cell>
          <cell r="O1017">
            <v>0</v>
          </cell>
          <cell r="Q1017" t="e">
            <v>#N/A</v>
          </cell>
          <cell r="R1017" t="e">
            <v>#N/A</v>
          </cell>
        </row>
        <row r="1018">
          <cell r="N1018">
            <v>0</v>
          </cell>
          <cell r="O1018">
            <v>0</v>
          </cell>
          <cell r="Q1018" t="e">
            <v>#N/A</v>
          </cell>
          <cell r="R1018" t="e">
            <v>#N/A</v>
          </cell>
        </row>
        <row r="1019">
          <cell r="N1019">
            <v>0</v>
          </cell>
          <cell r="O1019">
            <v>0</v>
          </cell>
          <cell r="Q1019" t="e">
            <v>#N/A</v>
          </cell>
          <cell r="R1019" t="e">
            <v>#N/A</v>
          </cell>
        </row>
        <row r="1020">
          <cell r="N1020">
            <v>0</v>
          </cell>
          <cell r="O1020">
            <v>0</v>
          </cell>
          <cell r="Q1020" t="e">
            <v>#N/A</v>
          </cell>
          <cell r="R1020" t="e">
            <v>#N/A</v>
          </cell>
        </row>
        <row r="1021">
          <cell r="N1021">
            <v>0</v>
          </cell>
          <cell r="O1021">
            <v>0</v>
          </cell>
          <cell r="Q1021" t="e">
            <v>#N/A</v>
          </cell>
          <cell r="R1021" t="e">
            <v>#N/A</v>
          </cell>
        </row>
        <row r="1022">
          <cell r="N1022">
            <v>0</v>
          </cell>
          <cell r="O1022">
            <v>0</v>
          </cell>
          <cell r="Q1022" t="e">
            <v>#N/A</v>
          </cell>
          <cell r="R1022" t="e">
            <v>#N/A</v>
          </cell>
        </row>
        <row r="1023">
          <cell r="N1023">
            <v>0</v>
          </cell>
          <cell r="O1023">
            <v>0</v>
          </cell>
          <cell r="Q1023" t="e">
            <v>#N/A</v>
          </cell>
          <cell r="R1023" t="e">
            <v>#N/A</v>
          </cell>
        </row>
        <row r="1024">
          <cell r="N1024">
            <v>0</v>
          </cell>
          <cell r="O1024">
            <v>0</v>
          </cell>
          <cell r="Q1024" t="e">
            <v>#N/A</v>
          </cell>
          <cell r="R1024" t="e">
            <v>#N/A</v>
          </cell>
        </row>
        <row r="1025">
          <cell r="N1025">
            <v>0</v>
          </cell>
          <cell r="O1025">
            <v>0</v>
          </cell>
          <cell r="Q1025" t="e">
            <v>#N/A</v>
          </cell>
          <cell r="R1025" t="e">
            <v>#N/A</v>
          </cell>
        </row>
        <row r="1026">
          <cell r="N1026">
            <v>0</v>
          </cell>
          <cell r="O1026">
            <v>0</v>
          </cell>
          <cell r="Q1026" t="e">
            <v>#N/A</v>
          </cell>
          <cell r="R1026" t="e">
            <v>#N/A</v>
          </cell>
        </row>
        <row r="1027">
          <cell r="N1027">
            <v>0</v>
          </cell>
          <cell r="O1027">
            <v>0</v>
          </cell>
          <cell r="Q1027" t="e">
            <v>#N/A</v>
          </cell>
          <cell r="R1027" t="e">
            <v>#N/A</v>
          </cell>
        </row>
        <row r="1028">
          <cell r="N1028">
            <v>0</v>
          </cell>
          <cell r="O1028">
            <v>0</v>
          </cell>
          <cell r="Q1028" t="e">
            <v>#N/A</v>
          </cell>
          <cell r="R1028" t="e">
            <v>#N/A</v>
          </cell>
        </row>
        <row r="1029">
          <cell r="N1029">
            <v>0</v>
          </cell>
          <cell r="O1029">
            <v>0</v>
          </cell>
          <cell r="Q1029" t="e">
            <v>#N/A</v>
          </cell>
          <cell r="R1029" t="e">
            <v>#N/A</v>
          </cell>
        </row>
        <row r="1030">
          <cell r="N1030">
            <v>0</v>
          </cell>
          <cell r="O1030">
            <v>0</v>
          </cell>
          <cell r="Q1030" t="e">
            <v>#N/A</v>
          </cell>
          <cell r="R1030" t="e">
            <v>#N/A</v>
          </cell>
        </row>
        <row r="1031">
          <cell r="N1031">
            <v>0</v>
          </cell>
          <cell r="O1031">
            <v>0</v>
          </cell>
          <cell r="Q1031" t="e">
            <v>#N/A</v>
          </cell>
          <cell r="R1031" t="e">
            <v>#N/A</v>
          </cell>
        </row>
        <row r="1032">
          <cell r="N1032">
            <v>0</v>
          </cell>
          <cell r="O1032">
            <v>0</v>
          </cell>
          <cell r="Q1032" t="e">
            <v>#N/A</v>
          </cell>
          <cell r="R1032" t="e">
            <v>#N/A</v>
          </cell>
        </row>
        <row r="1033">
          <cell r="N1033">
            <v>0</v>
          </cell>
          <cell r="O1033">
            <v>0</v>
          </cell>
          <cell r="Q1033" t="e">
            <v>#N/A</v>
          </cell>
          <cell r="R1033" t="e">
            <v>#N/A</v>
          </cell>
        </row>
        <row r="1034">
          <cell r="N1034">
            <v>0</v>
          </cell>
          <cell r="O1034">
            <v>0</v>
          </cell>
          <cell r="Q1034" t="e">
            <v>#N/A</v>
          </cell>
          <cell r="R1034" t="e">
            <v>#N/A</v>
          </cell>
        </row>
        <row r="1035">
          <cell r="N1035">
            <v>0</v>
          </cell>
          <cell r="O1035">
            <v>0</v>
          </cell>
          <cell r="Q1035" t="e">
            <v>#N/A</v>
          </cell>
          <cell r="R1035" t="e">
            <v>#N/A</v>
          </cell>
        </row>
        <row r="1036">
          <cell r="N1036">
            <v>0</v>
          </cell>
          <cell r="O1036">
            <v>0</v>
          </cell>
          <cell r="Q1036" t="e">
            <v>#N/A</v>
          </cell>
          <cell r="R1036" t="e">
            <v>#N/A</v>
          </cell>
        </row>
        <row r="1037">
          <cell r="N1037">
            <v>0</v>
          </cell>
          <cell r="O1037">
            <v>0</v>
          </cell>
          <cell r="Q1037" t="e">
            <v>#N/A</v>
          </cell>
          <cell r="R1037" t="e">
            <v>#N/A</v>
          </cell>
        </row>
        <row r="1038">
          <cell r="N1038">
            <v>0</v>
          </cell>
          <cell r="O1038">
            <v>0</v>
          </cell>
          <cell r="Q1038" t="e">
            <v>#N/A</v>
          </cell>
          <cell r="R1038" t="e">
            <v>#N/A</v>
          </cell>
        </row>
        <row r="1039">
          <cell r="N1039">
            <v>0</v>
          </cell>
          <cell r="O1039">
            <v>0</v>
          </cell>
          <cell r="Q1039" t="e">
            <v>#N/A</v>
          </cell>
          <cell r="R1039" t="e">
            <v>#N/A</v>
          </cell>
        </row>
        <row r="1040">
          <cell r="N1040">
            <v>0</v>
          </cell>
          <cell r="O1040">
            <v>0</v>
          </cell>
          <cell r="Q1040" t="e">
            <v>#N/A</v>
          </cell>
          <cell r="R1040" t="e">
            <v>#N/A</v>
          </cell>
        </row>
        <row r="1041">
          <cell r="N1041">
            <v>0</v>
          </cell>
          <cell r="O1041">
            <v>0</v>
          </cell>
          <cell r="Q1041" t="e">
            <v>#N/A</v>
          </cell>
          <cell r="R1041" t="e">
            <v>#N/A</v>
          </cell>
        </row>
        <row r="1042">
          <cell r="N1042">
            <v>0</v>
          </cell>
          <cell r="O1042">
            <v>0</v>
          </cell>
          <cell r="Q1042" t="e">
            <v>#N/A</v>
          </cell>
          <cell r="R1042" t="e">
            <v>#N/A</v>
          </cell>
        </row>
        <row r="1043">
          <cell r="N1043">
            <v>0</v>
          </cell>
          <cell r="O1043">
            <v>0</v>
          </cell>
          <cell r="Q1043" t="e">
            <v>#N/A</v>
          </cell>
          <cell r="R1043" t="e">
            <v>#N/A</v>
          </cell>
        </row>
        <row r="1044">
          <cell r="N1044">
            <v>0</v>
          </cell>
          <cell r="O1044">
            <v>0</v>
          </cell>
          <cell r="Q1044" t="e">
            <v>#N/A</v>
          </cell>
          <cell r="R1044" t="e">
            <v>#N/A</v>
          </cell>
        </row>
        <row r="1045">
          <cell r="N1045">
            <v>0</v>
          </cell>
          <cell r="O1045">
            <v>0</v>
          </cell>
          <cell r="Q1045" t="e">
            <v>#N/A</v>
          </cell>
          <cell r="R1045" t="e">
            <v>#N/A</v>
          </cell>
        </row>
        <row r="1046">
          <cell r="N1046">
            <v>0</v>
          </cell>
          <cell r="O1046">
            <v>0</v>
          </cell>
          <cell r="Q1046" t="e">
            <v>#N/A</v>
          </cell>
          <cell r="R1046" t="e">
            <v>#N/A</v>
          </cell>
        </row>
        <row r="1047">
          <cell r="N1047">
            <v>0</v>
          </cell>
          <cell r="O1047">
            <v>0</v>
          </cell>
          <cell r="Q1047" t="e">
            <v>#N/A</v>
          </cell>
          <cell r="R1047" t="e">
            <v>#N/A</v>
          </cell>
        </row>
        <row r="1048">
          <cell r="N1048">
            <v>0</v>
          </cell>
          <cell r="O1048">
            <v>0</v>
          </cell>
          <cell r="Q1048" t="e">
            <v>#N/A</v>
          </cell>
          <cell r="R1048" t="e">
            <v>#N/A</v>
          </cell>
        </row>
        <row r="1049">
          <cell r="N1049">
            <v>0</v>
          </cell>
          <cell r="O1049">
            <v>0</v>
          </cell>
          <cell r="Q1049" t="e">
            <v>#N/A</v>
          </cell>
          <cell r="R1049" t="e">
            <v>#N/A</v>
          </cell>
        </row>
        <row r="1050">
          <cell r="N1050">
            <v>0</v>
          </cell>
          <cell r="O1050">
            <v>0</v>
          </cell>
          <cell r="Q1050" t="e">
            <v>#N/A</v>
          </cell>
          <cell r="R1050" t="e">
            <v>#N/A</v>
          </cell>
        </row>
        <row r="1051">
          <cell r="N1051">
            <v>0</v>
          </cell>
          <cell r="O1051">
            <v>0</v>
          </cell>
          <cell r="Q1051" t="e">
            <v>#N/A</v>
          </cell>
          <cell r="R1051" t="e">
            <v>#N/A</v>
          </cell>
        </row>
        <row r="1052">
          <cell r="N1052">
            <v>0</v>
          </cell>
          <cell r="O1052">
            <v>0</v>
          </cell>
          <cell r="Q1052" t="e">
            <v>#N/A</v>
          </cell>
          <cell r="R1052" t="e">
            <v>#N/A</v>
          </cell>
        </row>
        <row r="1053">
          <cell r="N1053">
            <v>0</v>
          </cell>
          <cell r="O1053">
            <v>0</v>
          </cell>
          <cell r="Q1053" t="e">
            <v>#N/A</v>
          </cell>
          <cell r="R1053" t="e">
            <v>#N/A</v>
          </cell>
        </row>
        <row r="1054">
          <cell r="N1054">
            <v>0</v>
          </cell>
          <cell r="O1054">
            <v>0</v>
          </cell>
          <cell r="Q1054" t="e">
            <v>#N/A</v>
          </cell>
          <cell r="R1054" t="e">
            <v>#N/A</v>
          </cell>
        </row>
        <row r="1055">
          <cell r="N1055">
            <v>0</v>
          </cell>
          <cell r="O1055">
            <v>0</v>
          </cell>
          <cell r="Q1055" t="e">
            <v>#N/A</v>
          </cell>
          <cell r="R1055" t="e">
            <v>#N/A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1936</v>
      </c>
      <c r="C3" s="161">
        <f>+VLOOKUP(B3,$K$3:$L$14,2,0)</f>
        <v>3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/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>X</v>
      </c>
      <c r="N5" s="161" t="str">
        <f t="shared" si="1"/>
        <v>X</v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/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/>
      </c>
      <c r="N7" s="161" t="str">
        <f t="shared" si="1"/>
        <v/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Mars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2208856.33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2208856.33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2230376.09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216729.42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262318.71999999997</v>
      </c>
      <c r="C10" s="539"/>
      <c r="D10" s="10" t="s">
        <v>16</v>
      </c>
      <c r="E10" s="560">
        <f>-SUMIFS(BV_Data_An_Cour!$P:$P,BV_Data_An_Cour!$U:$U,$A$1,BV_Data_An_Cour!$V:$V,$D10)</f>
        <v>75113.78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11720.5</v>
      </c>
      <c r="C11" s="539"/>
      <c r="D11" s="10" t="s">
        <v>18</v>
      </c>
      <c r="E11" s="560">
        <f>-SUMIFS(BV_Data_An_Cour!$P:$P,BV_Data_An_Cour!$U:$U,$A$1,BV_Data_An_Cour!$V:$V,$D11)</f>
        <v>79114.989999999991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41335.660000000003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49488.46</v>
      </c>
      <c r="C13" s="539"/>
      <c r="D13" s="10" t="s">
        <v>22</v>
      </c>
      <c r="E13" s="560">
        <f>-SUMIFS(BV_Data_An_Cour!$P:$P,BV_Data_An_Cour!$U:$U,$A$1,BV_Data_An_Cour!$V:$V,$D13)</f>
        <v>5450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128036.83</v>
      </c>
      <c r="C15" s="539"/>
      <c r="D15" s="10" t="s">
        <v>26</v>
      </c>
      <c r="E15" s="560">
        <f>-SUMIFS(BV_Data_An_Cour!$P:$P,BV_Data_An_Cour!$U:$U,$A$1,BV_Data_An_Cour!$V:$V,$D15)</f>
        <v>759599.57000000007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2940005.6799999997</v>
      </c>
      <c r="C16" s="540"/>
      <c r="D16" s="9" t="s">
        <v>28</v>
      </c>
      <c r="E16" s="566">
        <f>+SUM(E10:E15)</f>
        <v>919278.34000000008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5406498.5800000001</v>
      </c>
      <c r="C18" s="539"/>
      <c r="D18" s="10" t="s">
        <v>30</v>
      </c>
      <c r="E18" s="560">
        <f>-SUMIFS(BV_Data_An_Cour!$P:$P,BV_Data_An_Cour!$U:$U,$A$1,BV_Data_An_Cour!$V:$V,$D18)</f>
        <v>7036543.5300000003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1545206.74</v>
      </c>
      <c r="C19" s="539"/>
      <c r="D19" s="10" t="s">
        <v>32</v>
      </c>
      <c r="E19" s="560">
        <f>-SUMIFS(BV_Data_An_Cour!$P:$P,BV_Data_An_Cour!$U:$U,$A$1,BV_Data_An_Cour!$V:$V,$D19)</f>
        <v>286517.08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383225.37</v>
      </c>
      <c r="C20" s="539"/>
      <c r="D20" s="9" t="s">
        <v>34</v>
      </c>
      <c r="E20" s="566">
        <f>+SUM(E18:E19)</f>
        <v>7323060.6100000003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7334930.6900000004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389840.6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23855.949999999997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9187.7000000000007</v>
      </c>
      <c r="C24" s="539"/>
      <c r="D24" s="10" t="s">
        <v>40</v>
      </c>
      <c r="E24" s="560">
        <f>-SUMIFS(BV_Data_An_Cour!$P:$P,BV_Data_An_Cour!$U:$U,$A$1,BV_Data_An_Cour!$V:$V,$D24)</f>
        <v>40040.82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-3164.81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133193.71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453737.37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139216.6</v>
      </c>
      <c r="C30" s="540"/>
      <c r="D30" s="12" t="s">
        <v>46</v>
      </c>
      <c r="E30" s="561">
        <f>+E5+E7+E16+E20+E28</f>
        <v>8711886.3200000003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12623009.299999999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-2490.6900000000023</v>
      </c>
      <c r="C37" s="543"/>
      <c r="D37" s="10" t="s">
        <v>54</v>
      </c>
      <c r="E37" s="560">
        <f>-SUMIFS(BV_Data_An_Cour!$P:$P,BV_Data_An_Cour!$U:$U,$A$1,BV_Data_An_Cour!$V:$V,$D37)</f>
        <v>24206.25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176871.80000000005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33213.950000000012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21605.620000000024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60</v>
      </c>
      <c r="C42" s="543"/>
      <c r="D42" s="12" t="s">
        <v>61</v>
      </c>
      <c r="E42" s="561">
        <f>+SUM(E33:E38)</f>
        <v>24206.25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-554.98999999999069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228705.69000000009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8736092.5700000003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 t="e">
        <f>-SUMIFS(BV_Data_An_Cour!$P:$P,BV_Data_An_Cour!$U:$U,$A$1,BV_Data_An_Cour!$V:$V,$D50)+Print_AAD!AF497</f>
        <v>#VALUE!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1852305.6900000002</v>
      </c>
      <c r="C53" s="541"/>
      <c r="D53" s="12" t="s">
        <v>72</v>
      </c>
      <c r="E53" s="561" t="e">
        <f>SUM(E48:E51)</f>
        <v>#VALUE!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14475314.989999998</v>
      </c>
      <c r="C56" s="541"/>
      <c r="D56" s="12" t="s">
        <v>74</v>
      </c>
      <c r="E56" s="561" t="e">
        <f>+E53+E45</f>
        <v>#VALUE!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 t="e">
        <f>+B56-E56</f>
        <v>#VALUE!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461" activePane="bottomRight" state="frozen"/>
      <selection activeCell="B103" sqref="B103"/>
      <selection pane="topRight" activeCell="B103" sqref="B103"/>
      <selection pane="bottomLeft" activeCell="B103" sqref="B103"/>
      <selection pane="bottomRight" activeCell="N496" sqref="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5" t="str">
        <f>"Budget 2021 Mensuel"&amp;" "&amp;Parametres!$B$1</f>
        <v>Budget 2021 Mensuel Volks</v>
      </c>
      <c r="C1" s="1125"/>
      <c r="D1" s="1125"/>
      <c r="E1" s="1125"/>
      <c r="F1" s="1125"/>
      <c r="G1" s="1125"/>
      <c r="H1" s="1125"/>
      <c r="I1" s="1125"/>
      <c r="J1" s="1125"/>
      <c r="K1" s="1125"/>
      <c r="L1" s="1125"/>
      <c r="M1" s="1125"/>
      <c r="N1" s="1125"/>
      <c r="O1" s="1125"/>
      <c r="P1" s="1125"/>
      <c r="Q1" s="1125"/>
      <c r="R1" s="1125"/>
      <c r="S1" s="1125"/>
      <c r="T1" s="1125"/>
      <c r="U1" s="1125"/>
      <c r="V1" s="1125"/>
      <c r="W1" s="1125"/>
      <c r="X1" s="1125"/>
      <c r="Y1" s="1125"/>
      <c r="Z1" s="1125"/>
      <c r="AA1" s="1125"/>
      <c r="AB1" s="1125"/>
      <c r="AC1" s="1125"/>
      <c r="AD1" s="1125"/>
      <c r="AE1" s="1125"/>
      <c r="AF1" s="1125"/>
      <c r="AG1" s="1125"/>
      <c r="AH1" s="1125"/>
      <c r="AI1" s="1125"/>
      <c r="AJ1" s="1125"/>
      <c r="AK1" s="1125"/>
      <c r="AL1" s="1125"/>
      <c r="AM1" s="1125"/>
      <c r="AN1" s="1125"/>
      <c r="AO1" s="1125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126" t="s">
        <v>75</v>
      </c>
      <c r="D4" s="1126"/>
      <c r="E4" s="1126"/>
      <c r="F4" s="1126"/>
      <c r="G4" s="1126"/>
      <c r="H4" s="1126"/>
      <c r="I4" s="1126"/>
      <c r="J4" s="1126"/>
      <c r="K4" s="1126"/>
      <c r="L4" s="1126"/>
      <c r="M4" s="1126"/>
      <c r="N4" s="1126"/>
      <c r="O4" s="1126"/>
      <c r="P4" s="1126"/>
      <c r="Q4" s="1126"/>
      <c r="R4" s="1126"/>
      <c r="S4" s="1126"/>
      <c r="T4" s="1126"/>
      <c r="U4" s="1126"/>
      <c r="V4" s="1126"/>
      <c r="W4" s="1126"/>
      <c r="X4" s="1126"/>
      <c r="Y4" s="1126"/>
      <c r="Z4" s="1126"/>
      <c r="AA4" s="1126"/>
      <c r="AB4" s="1126"/>
      <c r="AC4" s="1126"/>
      <c r="AD4" s="1126"/>
      <c r="AE4" s="1126"/>
      <c r="AF4" s="1126"/>
      <c r="AG4" s="1126"/>
      <c r="AH4" s="1126"/>
      <c r="AI4" s="1126"/>
      <c r="AJ4" s="1126"/>
      <c r="AK4" s="1126"/>
      <c r="AL4" s="1126"/>
      <c r="AM4" s="1126"/>
      <c r="AN4" s="1126"/>
      <c r="AO4" s="1126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22" t="s">
        <v>1639</v>
      </c>
      <c r="D6" s="1123"/>
      <c r="E6" s="1124"/>
      <c r="F6" s="1122" t="s">
        <v>1934</v>
      </c>
      <c r="G6" s="1123"/>
      <c r="H6" s="1124"/>
      <c r="I6" s="1122" t="s">
        <v>1935</v>
      </c>
      <c r="J6" s="1123"/>
      <c r="K6" s="1124"/>
      <c r="L6" s="1122" t="s">
        <v>1936</v>
      </c>
      <c r="M6" s="1123"/>
      <c r="N6" s="1124"/>
      <c r="O6" s="1122" t="s">
        <v>1937</v>
      </c>
      <c r="P6" s="1123"/>
      <c r="Q6" s="1124"/>
      <c r="R6" s="1122" t="s">
        <v>1938</v>
      </c>
      <c r="S6" s="1123"/>
      <c r="T6" s="1124"/>
      <c r="U6" s="1122" t="s">
        <v>1916</v>
      </c>
      <c r="V6" s="1123"/>
      <c r="W6" s="1124"/>
      <c r="X6" s="1122" t="s">
        <v>1939</v>
      </c>
      <c r="Y6" s="1123"/>
      <c r="Z6" s="1124"/>
      <c r="AA6" s="1122" t="s">
        <v>1940</v>
      </c>
      <c r="AB6" s="1123"/>
      <c r="AC6" s="1124"/>
      <c r="AD6" s="1122" t="s">
        <v>3</v>
      </c>
      <c r="AE6" s="1123"/>
      <c r="AF6" s="1124"/>
      <c r="AG6" s="1122" t="s">
        <v>1941</v>
      </c>
      <c r="AH6" s="1123"/>
      <c r="AI6" s="1124"/>
      <c r="AJ6" s="1122" t="s">
        <v>1942</v>
      </c>
      <c r="AK6" s="1123"/>
      <c r="AL6" s="1124"/>
      <c r="AM6" s="1122" t="s">
        <v>1943</v>
      </c>
      <c r="AN6" s="1123"/>
      <c r="AO6" s="1124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22" t="s">
        <v>1639</v>
      </c>
      <c r="D94" s="1123"/>
      <c r="E94" s="1124"/>
      <c r="F94" s="1122" t="s">
        <v>1934</v>
      </c>
      <c r="G94" s="1123"/>
      <c r="H94" s="1124"/>
      <c r="I94" s="1122" t="s">
        <v>1935</v>
      </c>
      <c r="J94" s="1123"/>
      <c r="K94" s="1124"/>
      <c r="L94" s="1122" t="s">
        <v>1936</v>
      </c>
      <c r="M94" s="1123"/>
      <c r="N94" s="1124"/>
      <c r="O94" s="1122" t="s">
        <v>1937</v>
      </c>
      <c r="P94" s="1123"/>
      <c r="Q94" s="1124"/>
      <c r="R94" s="1122" t="s">
        <v>1938</v>
      </c>
      <c r="S94" s="1123"/>
      <c r="T94" s="1124"/>
      <c r="U94" s="1122" t="s">
        <v>1916</v>
      </c>
      <c r="V94" s="1123"/>
      <c r="W94" s="1124"/>
      <c r="X94" s="1122" t="s">
        <v>1939</v>
      </c>
      <c r="Y94" s="1123"/>
      <c r="Z94" s="1124"/>
      <c r="AA94" s="1122" t="s">
        <v>1940</v>
      </c>
      <c r="AB94" s="1123"/>
      <c r="AC94" s="1124"/>
      <c r="AD94" s="1122" t="s">
        <v>3</v>
      </c>
      <c r="AE94" s="1123"/>
      <c r="AF94" s="1124"/>
      <c r="AG94" s="1122" t="s">
        <v>1941</v>
      </c>
      <c r="AH94" s="1123"/>
      <c r="AI94" s="1124"/>
      <c r="AJ94" s="1122" t="s">
        <v>1942</v>
      </c>
      <c r="AK94" s="1123"/>
      <c r="AL94" s="1124"/>
      <c r="AM94" s="1122" t="s">
        <v>1943</v>
      </c>
      <c r="AN94" s="1123"/>
      <c r="AO94" s="1124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22" t="s">
        <v>1639</v>
      </c>
      <c r="D172" s="1123"/>
      <c r="E172" s="1124"/>
      <c r="F172" s="1122" t="s">
        <v>1934</v>
      </c>
      <c r="G172" s="1123"/>
      <c r="H172" s="1124"/>
      <c r="I172" s="1122" t="s">
        <v>1935</v>
      </c>
      <c r="J172" s="1123"/>
      <c r="K172" s="1124"/>
      <c r="L172" s="1122" t="s">
        <v>1936</v>
      </c>
      <c r="M172" s="1123"/>
      <c r="N172" s="1124"/>
      <c r="O172" s="1122" t="s">
        <v>1937</v>
      </c>
      <c r="P172" s="1123"/>
      <c r="Q172" s="1124"/>
      <c r="R172" s="1122" t="s">
        <v>1938</v>
      </c>
      <c r="S172" s="1123"/>
      <c r="T172" s="1124"/>
      <c r="U172" s="1122" t="s">
        <v>1916</v>
      </c>
      <c r="V172" s="1123"/>
      <c r="W172" s="1124"/>
      <c r="X172" s="1122" t="s">
        <v>1939</v>
      </c>
      <c r="Y172" s="1123"/>
      <c r="Z172" s="1124"/>
      <c r="AA172" s="1122" t="s">
        <v>1940</v>
      </c>
      <c r="AB172" s="1123"/>
      <c r="AC172" s="1124"/>
      <c r="AD172" s="1122" t="s">
        <v>3</v>
      </c>
      <c r="AE172" s="1123"/>
      <c r="AF172" s="1124"/>
      <c r="AG172" s="1122" t="s">
        <v>1941</v>
      </c>
      <c r="AH172" s="1123"/>
      <c r="AI172" s="1124"/>
      <c r="AJ172" s="1122" t="s">
        <v>1942</v>
      </c>
      <c r="AK172" s="1123"/>
      <c r="AL172" s="1124"/>
      <c r="AM172" s="1122" t="s">
        <v>1943</v>
      </c>
      <c r="AN172" s="1123"/>
      <c r="AO172" s="1124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22" t="s">
        <v>1639</v>
      </c>
      <c r="D239" s="1123"/>
      <c r="E239" s="1124"/>
      <c r="F239" s="1122" t="s">
        <v>1934</v>
      </c>
      <c r="G239" s="1123"/>
      <c r="H239" s="1124"/>
      <c r="I239" s="1122" t="s">
        <v>1935</v>
      </c>
      <c r="J239" s="1123"/>
      <c r="K239" s="1124"/>
      <c r="L239" s="1122" t="s">
        <v>1936</v>
      </c>
      <c r="M239" s="1123"/>
      <c r="N239" s="1124"/>
      <c r="O239" s="1122" t="s">
        <v>1937</v>
      </c>
      <c r="P239" s="1123"/>
      <c r="Q239" s="1124"/>
      <c r="R239" s="1122" t="s">
        <v>1938</v>
      </c>
      <c r="S239" s="1123"/>
      <c r="T239" s="1124"/>
      <c r="U239" s="1122" t="s">
        <v>1916</v>
      </c>
      <c r="V239" s="1123"/>
      <c r="W239" s="1124"/>
      <c r="X239" s="1122" t="s">
        <v>1939</v>
      </c>
      <c r="Y239" s="1123"/>
      <c r="Z239" s="1124"/>
      <c r="AA239" s="1122" t="s">
        <v>1940</v>
      </c>
      <c r="AB239" s="1123"/>
      <c r="AC239" s="1124"/>
      <c r="AD239" s="1122" t="s">
        <v>3</v>
      </c>
      <c r="AE239" s="1123"/>
      <c r="AF239" s="1124"/>
      <c r="AG239" s="1122" t="s">
        <v>1941</v>
      </c>
      <c r="AH239" s="1123"/>
      <c r="AI239" s="1124"/>
      <c r="AJ239" s="1122" t="s">
        <v>1942</v>
      </c>
      <c r="AK239" s="1123"/>
      <c r="AL239" s="1124"/>
      <c r="AM239" s="1122" t="s">
        <v>1943</v>
      </c>
      <c r="AN239" s="1123"/>
      <c r="AO239" s="1124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22" t="s">
        <v>1639</v>
      </c>
      <c r="D293" s="1123"/>
      <c r="E293" s="1124"/>
      <c r="F293" s="1122" t="s">
        <v>1934</v>
      </c>
      <c r="G293" s="1123"/>
      <c r="H293" s="1124"/>
      <c r="I293" s="1122" t="s">
        <v>1935</v>
      </c>
      <c r="J293" s="1123"/>
      <c r="K293" s="1124"/>
      <c r="L293" s="1122" t="s">
        <v>1936</v>
      </c>
      <c r="M293" s="1123"/>
      <c r="N293" s="1124"/>
      <c r="O293" s="1122" t="s">
        <v>1937</v>
      </c>
      <c r="P293" s="1123"/>
      <c r="Q293" s="1124"/>
      <c r="R293" s="1122" t="s">
        <v>1938</v>
      </c>
      <c r="S293" s="1123"/>
      <c r="T293" s="1124"/>
      <c r="U293" s="1122" t="s">
        <v>1916</v>
      </c>
      <c r="V293" s="1123"/>
      <c r="W293" s="1124"/>
      <c r="X293" s="1122" t="s">
        <v>1939</v>
      </c>
      <c r="Y293" s="1123"/>
      <c r="Z293" s="1124"/>
      <c r="AA293" s="1122" t="s">
        <v>1940</v>
      </c>
      <c r="AB293" s="1123"/>
      <c r="AC293" s="1124"/>
      <c r="AD293" s="1122" t="s">
        <v>3</v>
      </c>
      <c r="AE293" s="1123"/>
      <c r="AF293" s="1124"/>
      <c r="AG293" s="1122" t="s">
        <v>1941</v>
      </c>
      <c r="AH293" s="1123"/>
      <c r="AI293" s="1124"/>
      <c r="AJ293" s="1122" t="s">
        <v>1942</v>
      </c>
      <c r="AK293" s="1123"/>
      <c r="AL293" s="1124"/>
      <c r="AM293" s="1122" t="s">
        <v>1943</v>
      </c>
      <c r="AN293" s="1123"/>
      <c r="AO293" s="1124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22" t="s">
        <v>1639</v>
      </c>
      <c r="D357" s="1123"/>
      <c r="E357" s="1124"/>
      <c r="F357" s="1122" t="s">
        <v>1934</v>
      </c>
      <c r="G357" s="1123"/>
      <c r="H357" s="1124"/>
      <c r="I357" s="1122" t="s">
        <v>1935</v>
      </c>
      <c r="J357" s="1123"/>
      <c r="K357" s="1124"/>
      <c r="L357" s="1122" t="s">
        <v>1936</v>
      </c>
      <c r="M357" s="1123"/>
      <c r="N357" s="1124"/>
      <c r="O357" s="1122" t="s">
        <v>1937</v>
      </c>
      <c r="P357" s="1123"/>
      <c r="Q357" s="1124"/>
      <c r="R357" s="1122" t="s">
        <v>1938</v>
      </c>
      <c r="S357" s="1123"/>
      <c r="T357" s="1124"/>
      <c r="U357" s="1122" t="s">
        <v>1916</v>
      </c>
      <c r="V357" s="1123"/>
      <c r="W357" s="1124"/>
      <c r="X357" s="1122" t="s">
        <v>1939</v>
      </c>
      <c r="Y357" s="1123"/>
      <c r="Z357" s="1124"/>
      <c r="AA357" s="1122" t="s">
        <v>1940</v>
      </c>
      <c r="AB357" s="1123"/>
      <c r="AC357" s="1124"/>
      <c r="AD357" s="1122" t="s">
        <v>3</v>
      </c>
      <c r="AE357" s="1123"/>
      <c r="AF357" s="1124"/>
      <c r="AG357" s="1122" t="s">
        <v>1941</v>
      </c>
      <c r="AH357" s="1123"/>
      <c r="AI357" s="1124"/>
      <c r="AJ357" s="1122" t="s">
        <v>1942</v>
      </c>
      <c r="AK357" s="1123"/>
      <c r="AL357" s="1124"/>
      <c r="AM357" s="1122" t="s">
        <v>1943</v>
      </c>
      <c r="AN357" s="1123"/>
      <c r="AO357" s="1124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22" t="s">
        <v>1639</v>
      </c>
      <c r="D403" s="1123"/>
      <c r="E403" s="1124"/>
      <c r="F403" s="1122" t="s">
        <v>1934</v>
      </c>
      <c r="G403" s="1123"/>
      <c r="H403" s="1124"/>
      <c r="I403" s="1122" t="s">
        <v>1935</v>
      </c>
      <c r="J403" s="1123"/>
      <c r="K403" s="1124"/>
      <c r="L403" s="1122" t="s">
        <v>1936</v>
      </c>
      <c r="M403" s="1123"/>
      <c r="N403" s="1124"/>
      <c r="O403" s="1122" t="s">
        <v>1937</v>
      </c>
      <c r="P403" s="1123"/>
      <c r="Q403" s="1124"/>
      <c r="R403" s="1122" t="s">
        <v>1938</v>
      </c>
      <c r="S403" s="1123"/>
      <c r="T403" s="1124"/>
      <c r="U403" s="1122" t="s">
        <v>1916</v>
      </c>
      <c r="V403" s="1123"/>
      <c r="W403" s="1124"/>
      <c r="X403" s="1122" t="s">
        <v>1939</v>
      </c>
      <c r="Y403" s="1123"/>
      <c r="Z403" s="1124"/>
      <c r="AA403" s="1122" t="s">
        <v>1940</v>
      </c>
      <c r="AB403" s="1123"/>
      <c r="AC403" s="1124"/>
      <c r="AD403" s="1122" t="s">
        <v>3</v>
      </c>
      <c r="AE403" s="1123"/>
      <c r="AF403" s="1124"/>
      <c r="AG403" s="1122" t="s">
        <v>1941</v>
      </c>
      <c r="AH403" s="1123"/>
      <c r="AI403" s="1124"/>
      <c r="AJ403" s="1122" t="s">
        <v>1942</v>
      </c>
      <c r="AK403" s="1123"/>
      <c r="AL403" s="1124"/>
      <c r="AM403" s="1122" t="s">
        <v>1943</v>
      </c>
      <c r="AN403" s="1123"/>
      <c r="AO403" s="1124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7"/>
  <sheetViews>
    <sheetView zoomScaleNormal="100" workbookViewId="0">
      <selection activeCell="M4" sqref="M4:M18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130" t="str">
        <f>Parametres!$B$1&amp;" "&amp;"2 pager"&amp;" "&amp;Parametres!$B$3&amp;" "&amp;Parametres!$B$4</f>
        <v>Volks 2 pager Mars 2021</v>
      </c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78</v>
      </c>
      <c r="D4" s="660">
        <f>+Print_Mois!$G$13+Print_Mois!$G$15</f>
        <v>63.928286403922016</v>
      </c>
      <c r="E4" s="660">
        <f>+Print_Mois!$D$13+Print_Mois!$D$15</f>
        <v>63.928286403922016</v>
      </c>
      <c r="F4" s="660">
        <f>+Print_Mois!$O$13+Print_Mois!$O$15</f>
        <v>75</v>
      </c>
      <c r="G4" s="662">
        <f>+IFERROR($C4-D4,"")</f>
        <v>14.071713596077984</v>
      </c>
      <c r="H4" s="661">
        <f>+IFERROR($C4-E4,"")</f>
        <v>14.071713596077984</v>
      </c>
      <c r="I4" s="663">
        <f>+IFERROR($C4-F4,"")</f>
        <v>3</v>
      </c>
      <c r="J4" s="675">
        <f t="shared" ref="J4:J15" si="0">+IFERROR(G4/ABS($D4),"")</f>
        <v>0.22011717171906992</v>
      </c>
      <c r="K4" s="676">
        <f t="shared" ref="K4:K15" si="1">+IFERROR(H4/ABS($E4),"")</f>
        <v>0.22011717171906992</v>
      </c>
      <c r="L4" s="677">
        <f t="shared" ref="L4:L15" si="2">+IFERROR(I4/ABS($F4),"")</f>
        <v>0.04</v>
      </c>
      <c r="M4" s="1127" t="s">
        <v>2932</v>
      </c>
    </row>
    <row r="5" spans="2:13">
      <c r="B5" s="640" t="s">
        <v>1956</v>
      </c>
      <c r="C5" s="1043">
        <f>+Print_Mois!$L$13+Print_Mois!$L$15</f>
        <v>122247.04999999984</v>
      </c>
      <c r="D5" s="1043">
        <f>+Print_Mois!$I$13+Print_Mois!$I$15</f>
        <v>84870.50440627546</v>
      </c>
      <c r="E5" s="1043">
        <f>+Print_Mois!$F$13+Print_Mois!$F$15</f>
        <v>61000.957983130189</v>
      </c>
      <c r="F5" s="1043">
        <f>+Print_Mois!$Q$13+Print_Mois!$Q$15</f>
        <v>41360.790000000037</v>
      </c>
      <c r="G5" s="1044">
        <f>+IFERROR($C5-D5,"")</f>
        <v>37376.545593724382</v>
      </c>
      <c r="H5" s="1045">
        <f t="shared" ref="G5:I15" si="3">+IFERROR($C5-E5,"")</f>
        <v>61246.092016869654</v>
      </c>
      <c r="I5" s="1046">
        <f t="shared" si="3"/>
        <v>80886.259999999806</v>
      </c>
      <c r="J5" s="1047">
        <f t="shared" si="0"/>
        <v>0.4403949977108973</v>
      </c>
      <c r="K5" s="1048">
        <f t="shared" si="1"/>
        <v>1.0040185276075051</v>
      </c>
      <c r="L5" s="1049">
        <f t="shared" si="2"/>
        <v>1.9556265728966911</v>
      </c>
      <c r="M5" s="1128"/>
    </row>
    <row r="6" spans="2:13">
      <c r="B6" s="640" t="s">
        <v>1957</v>
      </c>
      <c r="C6" s="1043">
        <f>+C5/C4</f>
        <v>1567.2698717948697</v>
      </c>
      <c r="D6" s="1043">
        <f t="shared" ref="D6:F6" si="4">+D5/D4</f>
        <v>1327.5892281866113</v>
      </c>
      <c r="E6" s="1043">
        <f t="shared" si="4"/>
        <v>954.20918367346951</v>
      </c>
      <c r="F6" s="1043">
        <f t="shared" si="4"/>
        <v>551.47720000000049</v>
      </c>
      <c r="G6" s="1044">
        <f t="shared" si="3"/>
        <v>239.68064360825838</v>
      </c>
      <c r="H6" s="1045">
        <f t="shared" si="3"/>
        <v>613.06068812140018</v>
      </c>
      <c r="I6" s="1046">
        <f t="shared" si="3"/>
        <v>1015.7926717948692</v>
      </c>
      <c r="J6" s="1047">
        <f t="shared" si="0"/>
        <v>0.18053825574921575</v>
      </c>
      <c r="K6" s="1048">
        <f t="shared" si="1"/>
        <v>0.64248038963664977</v>
      </c>
      <c r="L6" s="1049">
        <f t="shared" si="2"/>
        <v>1.8419486277852797</v>
      </c>
      <c r="M6" s="1128"/>
    </row>
    <row r="7" spans="2:13">
      <c r="B7" s="640" t="s">
        <v>1958</v>
      </c>
      <c r="C7" s="1043">
        <f>+Print_Mois!$L$31</f>
        <v>41980.82</v>
      </c>
      <c r="D7" s="1043">
        <f>+Print_Mois!$I$31</f>
        <v>25136.952920169508</v>
      </c>
      <c r="E7" s="1043">
        <f>+Print_Mois!$F$31</f>
        <v>24664.466247236225</v>
      </c>
      <c r="F7" s="1043">
        <f>+Print_Mois!$Q$31</f>
        <v>30014.5</v>
      </c>
      <c r="G7" s="1044">
        <f t="shared" si="3"/>
        <v>16843.867079830492</v>
      </c>
      <c r="H7" s="1045">
        <f t="shared" si="3"/>
        <v>17316.353752763775</v>
      </c>
      <c r="I7" s="1046">
        <f t="shared" si="3"/>
        <v>11966.32</v>
      </c>
      <c r="J7" s="1047">
        <f t="shared" si="0"/>
        <v>0.67008388539866459</v>
      </c>
      <c r="K7" s="1048">
        <f t="shared" si="1"/>
        <v>0.70207697094212029</v>
      </c>
      <c r="L7" s="1049">
        <f t="shared" si="2"/>
        <v>0.39868463575938295</v>
      </c>
      <c r="M7" s="1128"/>
    </row>
    <row r="8" spans="2:13">
      <c r="B8" s="640" t="s">
        <v>1959</v>
      </c>
      <c r="C8" s="1050">
        <f>+C7/C5</f>
        <v>0.34340967737053824</v>
      </c>
      <c r="D8" s="1050">
        <f t="shared" ref="D8:F8" si="5">+D7/D5</f>
        <v>0.2961800815962965</v>
      </c>
      <c r="E8" s="1050">
        <f t="shared" si="5"/>
        <v>0.40432916240523931</v>
      </c>
      <c r="F8" s="1050">
        <f t="shared" si="5"/>
        <v>0.72567521074911701</v>
      </c>
      <c r="G8" s="1051">
        <f t="shared" si="3"/>
        <v>4.7229595774241739E-2</v>
      </c>
      <c r="H8" s="1052">
        <f t="shared" si="3"/>
        <v>-6.0919485034701071E-2</v>
      </c>
      <c r="I8" s="1053">
        <f t="shared" si="3"/>
        <v>-0.38226553337857877</v>
      </c>
      <c r="J8" s="1047">
        <f t="shared" si="0"/>
        <v>0.15946243082820566</v>
      </c>
      <c r="K8" s="1048">
        <f t="shared" si="1"/>
        <v>-0.15066804648051693</v>
      </c>
      <c r="L8" s="1049">
        <f t="shared" si="2"/>
        <v>-0.52677220844289929</v>
      </c>
      <c r="M8" s="1128"/>
    </row>
    <row r="9" spans="2:13">
      <c r="B9" s="640" t="s">
        <v>1960</v>
      </c>
      <c r="C9" s="1043">
        <f>+Print_Mois!$L$24</f>
        <v>53578.880000000005</v>
      </c>
      <c r="D9" s="1043">
        <f>+Print_Mois!$I$24</f>
        <v>54339.043443333714</v>
      </c>
      <c r="E9" s="1043">
        <f>+Print_Mois!$F$24</f>
        <v>54339.043443333714</v>
      </c>
      <c r="F9" s="1043">
        <f>+Print_Mois!$Q$24</f>
        <v>46251.590000000004</v>
      </c>
      <c r="G9" s="1044">
        <f t="shared" si="3"/>
        <v>-760.16344333370944</v>
      </c>
      <c r="H9" s="1045">
        <f t="shared" si="3"/>
        <v>-760.16344333370944</v>
      </c>
      <c r="I9" s="1046">
        <f t="shared" si="3"/>
        <v>7327.2900000000009</v>
      </c>
      <c r="J9" s="1047">
        <f t="shared" si="0"/>
        <v>-1.3989268032044571E-2</v>
      </c>
      <c r="K9" s="1048">
        <f t="shared" si="1"/>
        <v>-1.3989268032044571E-2</v>
      </c>
      <c r="L9" s="1049">
        <f t="shared" si="2"/>
        <v>0.15842244558511395</v>
      </c>
      <c r="M9" s="1128"/>
    </row>
    <row r="10" spans="2:13">
      <c r="B10" s="640" t="s">
        <v>1961</v>
      </c>
      <c r="C10" s="1043">
        <f>+C9/C4</f>
        <v>686.90871794871805</v>
      </c>
      <c r="D10" s="1043">
        <f t="shared" ref="D10:F10" si="6">+D9/D4</f>
        <v>850</v>
      </c>
      <c r="E10" s="1043">
        <f t="shared" si="6"/>
        <v>850</v>
      </c>
      <c r="F10" s="1043">
        <f t="shared" si="6"/>
        <v>616.68786666666676</v>
      </c>
      <c r="G10" s="1044">
        <f t="shared" si="3"/>
        <v>-163.09128205128195</v>
      </c>
      <c r="H10" s="1045">
        <f t="shared" si="3"/>
        <v>-163.09128205128195</v>
      </c>
      <c r="I10" s="1046">
        <f t="shared" si="3"/>
        <v>70.220851282051285</v>
      </c>
      <c r="J10" s="1047">
        <f t="shared" si="0"/>
        <v>-0.19187209653091994</v>
      </c>
      <c r="K10" s="1048">
        <f t="shared" si="1"/>
        <v>-0.19187209653091994</v>
      </c>
      <c r="L10" s="1049">
        <f t="shared" si="2"/>
        <v>0.11386773613953262</v>
      </c>
      <c r="M10" s="1128"/>
    </row>
    <row r="11" spans="2:13">
      <c r="B11" s="640" t="s">
        <v>1962</v>
      </c>
      <c r="C11" s="1043">
        <f>+Print_Mois!$L$32</f>
        <v>15873.98</v>
      </c>
      <c r="D11" s="1043">
        <f>+Print_Mois!$I$32</f>
        <v>16301.713033000113</v>
      </c>
      <c r="E11" s="1043">
        <f>+Print_Mois!$F$32</f>
        <v>16301.713033000113</v>
      </c>
      <c r="F11" s="1043">
        <f>+Print_Mois!$Q$32</f>
        <v>20977.35</v>
      </c>
      <c r="G11" s="1044">
        <f t="shared" si="3"/>
        <v>-427.73303300011321</v>
      </c>
      <c r="H11" s="1045">
        <f t="shared" si="3"/>
        <v>-427.73303300011321</v>
      </c>
      <c r="I11" s="1046">
        <f t="shared" si="3"/>
        <v>-5103.369999999999</v>
      </c>
      <c r="J11" s="1047">
        <f t="shared" si="0"/>
        <v>-2.6238532854445336E-2</v>
      </c>
      <c r="K11" s="1048">
        <f t="shared" si="1"/>
        <v>-2.6238532854445336E-2</v>
      </c>
      <c r="L11" s="1049">
        <f t="shared" si="2"/>
        <v>-0.24328001391977536</v>
      </c>
      <c r="M11" s="1128"/>
    </row>
    <row r="12" spans="2:13">
      <c r="B12" s="640" t="s">
        <v>1963</v>
      </c>
      <c r="C12" s="1050">
        <f>+C11/C9</f>
        <v>0.29627308372254141</v>
      </c>
      <c r="D12" s="1050">
        <f t="shared" ref="D12:F12" si="7">+D11/D9</f>
        <v>0.3</v>
      </c>
      <c r="E12" s="1050">
        <f t="shared" si="7"/>
        <v>0.3</v>
      </c>
      <c r="F12" s="1050">
        <f t="shared" si="7"/>
        <v>0.45354873205440066</v>
      </c>
      <c r="G12" s="1054">
        <f t="shared" si="3"/>
        <v>-3.7269162774585807E-3</v>
      </c>
      <c r="H12" s="1048">
        <f t="shared" si="3"/>
        <v>-3.7269162774585807E-3</v>
      </c>
      <c r="I12" s="1055">
        <f t="shared" si="3"/>
        <v>-0.15727564833185925</v>
      </c>
      <c r="J12" s="1047">
        <f t="shared" si="0"/>
        <v>-1.242305425819527E-2</v>
      </c>
      <c r="K12" s="1048">
        <f t="shared" si="1"/>
        <v>-1.242305425819527E-2</v>
      </c>
      <c r="L12" s="1049">
        <f t="shared" si="2"/>
        <v>-0.34676681294964995</v>
      </c>
      <c r="M12" s="1128"/>
    </row>
    <row r="13" spans="2:13">
      <c r="B13" s="640" t="s">
        <v>1964</v>
      </c>
      <c r="C13" s="1043">
        <f>+Print_Mois!$L$41-C7-C11</f>
        <v>31611.659999999993</v>
      </c>
      <c r="D13" s="1043">
        <f>+Print_Mois!$I$41-D7-D11</f>
        <v>41484.083813126505</v>
      </c>
      <c r="E13" s="1043">
        <f>+Print_Mois!$F$41-E7-E11</f>
        <v>41361.222335068771</v>
      </c>
      <c r="F13" s="1043">
        <f>+Print_Mois!$Q$41-F7-F11</f>
        <v>42339.060000000005</v>
      </c>
      <c r="G13" s="1044">
        <f t="shared" si="3"/>
        <v>-9872.423813126512</v>
      </c>
      <c r="H13" s="1045">
        <f t="shared" si="3"/>
        <v>-9749.5623350687783</v>
      </c>
      <c r="I13" s="1046">
        <f t="shared" si="3"/>
        <v>-10727.400000000012</v>
      </c>
      <c r="J13" s="1047">
        <f t="shared" si="0"/>
        <v>-0.23798100152335178</v>
      </c>
      <c r="K13" s="1048">
        <f t="shared" si="1"/>
        <v>-0.23571746154132531</v>
      </c>
      <c r="L13" s="1049">
        <f t="shared" si="2"/>
        <v>-0.25336887498210897</v>
      </c>
      <c r="M13" s="1128"/>
    </row>
    <row r="14" spans="2:13">
      <c r="B14" s="640" t="s">
        <v>1965</v>
      </c>
      <c r="C14" s="1043">
        <f>+C13/C4</f>
        <v>405.27769230769223</v>
      </c>
      <c r="D14" s="1043">
        <f t="shared" ref="D14:F14" si="8">+D13/D4</f>
        <v>648.91593606959952</v>
      </c>
      <c r="E14" s="1043">
        <f t="shared" si="8"/>
        <v>646.99407197830431</v>
      </c>
      <c r="F14" s="1043">
        <f t="shared" si="8"/>
        <v>564.52080000000012</v>
      </c>
      <c r="G14" s="1044">
        <f t="shared" si="3"/>
        <v>-243.63824376190729</v>
      </c>
      <c r="H14" s="1045">
        <f t="shared" si="3"/>
        <v>-241.71637967061207</v>
      </c>
      <c r="I14" s="1046">
        <f t="shared" si="3"/>
        <v>-159.24310769230789</v>
      </c>
      <c r="J14" s="1047">
        <f t="shared" si="0"/>
        <v>-0.37545424641224384</v>
      </c>
      <c r="K14" s="1048">
        <f t="shared" si="1"/>
        <v>-0.37359906394740128</v>
      </c>
      <c r="L14" s="1049">
        <f t="shared" si="2"/>
        <v>-0.28208545671356638</v>
      </c>
      <c r="M14" s="1128"/>
    </row>
    <row r="15" spans="2:13">
      <c r="B15" s="640" t="s">
        <v>1966</v>
      </c>
      <c r="C15" s="1043">
        <f>+Print_Mois!$L$83</f>
        <v>138129</v>
      </c>
      <c r="D15" s="1043">
        <f>+Print_Mois!$I$83</f>
        <v>94764.540188772895</v>
      </c>
      <c r="E15" s="1043">
        <f>+Print_Mois!$F$83</f>
        <v>138213.07975947193</v>
      </c>
      <c r="F15" s="1043">
        <f>+Print_Mois!$Q$83</f>
        <v>105593</v>
      </c>
      <c r="G15" s="1044">
        <f t="shared" si="3"/>
        <v>43364.459811227105</v>
      </c>
      <c r="H15" s="1045">
        <f t="shared" si="3"/>
        <v>-84.079759471933357</v>
      </c>
      <c r="I15" s="1046">
        <f t="shared" si="3"/>
        <v>32536</v>
      </c>
      <c r="J15" s="1047">
        <f t="shared" si="0"/>
        <v>0.45760217613934723</v>
      </c>
      <c r="K15" s="1048">
        <f t="shared" si="1"/>
        <v>-6.0833431697097581E-4</v>
      </c>
      <c r="L15" s="1049">
        <f t="shared" si="2"/>
        <v>0.30812648565719319</v>
      </c>
      <c r="M15" s="1128"/>
    </row>
    <row r="16" spans="2:13">
      <c r="B16" s="642" t="s">
        <v>1967</v>
      </c>
      <c r="C16" s="1056"/>
      <c r="D16" s="1056"/>
      <c r="E16" s="1056"/>
      <c r="F16" s="1056"/>
      <c r="G16" s="1057"/>
      <c r="H16" s="1058"/>
      <c r="I16" s="1059"/>
      <c r="J16" s="1060"/>
      <c r="K16" s="1061"/>
      <c r="L16" s="1062"/>
      <c r="M16" s="1128"/>
    </row>
    <row r="17" spans="2:13">
      <c r="B17" s="686" t="s">
        <v>1955</v>
      </c>
      <c r="C17" s="1063">
        <v>164</v>
      </c>
      <c r="D17" s="1063">
        <v>164</v>
      </c>
      <c r="E17" s="1063">
        <v>141</v>
      </c>
      <c r="F17" s="1063">
        <v>306</v>
      </c>
      <c r="G17" s="1044">
        <f t="shared" ref="G17:I18" si="9">+IFERROR($C17-D17,"")</f>
        <v>0</v>
      </c>
      <c r="H17" s="1045">
        <f t="shared" si="9"/>
        <v>23</v>
      </c>
      <c r="I17" s="1046">
        <f t="shared" si="9"/>
        <v>-142</v>
      </c>
      <c r="J17" s="1047">
        <f>+IFERROR(G17/ABS($D17),"")</f>
        <v>0</v>
      </c>
      <c r="K17" s="1048">
        <f>+IFERROR(H17/ABS($E17),"")</f>
        <v>0.16312056737588654</v>
      </c>
      <c r="L17" s="1049">
        <f>+IFERROR(I17/ABS($F17),"")</f>
        <v>-0.46405228758169936</v>
      </c>
      <c r="M17" s="1128"/>
    </row>
    <row r="18" spans="2:13">
      <c r="B18" s="687" t="s">
        <v>1917</v>
      </c>
      <c r="C18" s="1064">
        <v>5689693.1799999997</v>
      </c>
      <c r="D18" s="1064">
        <v>5689693.1799999997</v>
      </c>
      <c r="E18" s="1064">
        <v>4513319</v>
      </c>
      <c r="F18" s="1064">
        <v>9372292.8599999994</v>
      </c>
      <c r="G18" s="1065">
        <f t="shared" si="9"/>
        <v>0</v>
      </c>
      <c r="H18" s="1066">
        <f t="shared" si="9"/>
        <v>1176374.1799999997</v>
      </c>
      <c r="I18" s="1067">
        <f t="shared" si="9"/>
        <v>-3682599.6799999997</v>
      </c>
      <c r="J18" s="1068">
        <f>+IFERROR(G18/ABS($D18),"")</f>
        <v>0</v>
      </c>
      <c r="K18" s="1069">
        <f>+IFERROR(H18/ABS($E18),"")</f>
        <v>0.2606450330676825</v>
      </c>
      <c r="L18" s="1070">
        <f>+IFERROR(I18/ABS($F18),"")</f>
        <v>-0.39292409392337319</v>
      </c>
      <c r="M18" s="1129"/>
    </row>
    <row r="19" spans="2:13">
      <c r="C19" s="1071"/>
      <c r="D19" s="1071"/>
      <c r="E19" s="1071"/>
      <c r="F19" s="1071"/>
      <c r="G19" s="1071"/>
      <c r="H19" s="1071"/>
      <c r="I19" s="1071"/>
      <c r="J19" s="1071"/>
      <c r="K19" s="1071"/>
      <c r="L19" s="1071"/>
      <c r="M19" s="165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1092" t="s">
        <v>1972</v>
      </c>
    </row>
    <row r="21" spans="2:13">
      <c r="B21" s="639" t="s">
        <v>1955</v>
      </c>
      <c r="C21" s="660">
        <f>+Print_Mois!$J$96</f>
        <v>42</v>
      </c>
      <c r="D21" s="660">
        <f>+Print_Mois!$G$96</f>
        <v>24.069687227202081</v>
      </c>
      <c r="E21" s="660">
        <f>+Print_Mois!$D$96</f>
        <v>24.069687227202081</v>
      </c>
      <c r="F21" s="660">
        <f>+Print_Mois!$O$96</f>
        <v>33</v>
      </c>
      <c r="G21" s="662">
        <f t="shared" ref="G21:I32" si="10">+IFERROR($C21-D21,"")</f>
        <v>17.930312772797919</v>
      </c>
      <c r="H21" s="661">
        <f t="shared" si="10"/>
        <v>17.930312772797919</v>
      </c>
      <c r="I21" s="663">
        <f t="shared" si="10"/>
        <v>9</v>
      </c>
      <c r="J21" s="675">
        <f t="shared" ref="J21:J32" si="11">+IFERROR(G21/ABS($D21),"")</f>
        <v>0.74493335137874916</v>
      </c>
      <c r="K21" s="676">
        <f t="shared" ref="K21:K32" si="12">+IFERROR(H21/ABS($E21),"")</f>
        <v>0.74493335137874916</v>
      </c>
      <c r="L21" s="677">
        <f t="shared" ref="L21:L32" si="13">+IFERROR(I21/ABS($F21),"")</f>
        <v>0.27272727272727271</v>
      </c>
      <c r="M21" s="1127" t="s">
        <v>2933</v>
      </c>
    </row>
    <row r="22" spans="2:13">
      <c r="B22" s="640" t="s">
        <v>1956</v>
      </c>
      <c r="C22" s="1043">
        <f>+Print_Mois!$L$96</f>
        <v>39178.430000000022</v>
      </c>
      <c r="D22" s="1043">
        <f>+Print_Mois!$I$96</f>
        <v>18052.26542040156</v>
      </c>
      <c r="E22" s="1043">
        <f>+Print_Mois!$F$96</f>
        <v>18052.26542040156</v>
      </c>
      <c r="F22" s="1043">
        <f>+Print_Mois!$Q$96</f>
        <v>4871.7200000000148</v>
      </c>
      <c r="G22" s="1044">
        <f t="shared" si="10"/>
        <v>21126.164579598462</v>
      </c>
      <c r="H22" s="1045">
        <f t="shared" si="10"/>
        <v>21126.164579598462</v>
      </c>
      <c r="I22" s="1046">
        <f t="shared" si="10"/>
        <v>34306.710000000006</v>
      </c>
      <c r="J22" s="1047">
        <f t="shared" si="11"/>
        <v>1.1702777511637388</v>
      </c>
      <c r="K22" s="1048">
        <f t="shared" si="12"/>
        <v>1.1702777511637388</v>
      </c>
      <c r="L22" s="1049">
        <f t="shared" si="13"/>
        <v>7.0420118561821905</v>
      </c>
      <c r="M22" s="1128"/>
    </row>
    <row r="23" spans="2:13">
      <c r="B23" s="640" t="s">
        <v>1957</v>
      </c>
      <c r="C23" s="1043">
        <f>+C22/C21</f>
        <v>932.81976190476246</v>
      </c>
      <c r="D23" s="1043">
        <f t="shared" ref="D23:F23" si="14">+D22/D21</f>
        <v>750</v>
      </c>
      <c r="E23" s="1043">
        <f t="shared" si="14"/>
        <v>750</v>
      </c>
      <c r="F23" s="1043">
        <f t="shared" si="14"/>
        <v>147.62787878787924</v>
      </c>
      <c r="G23" s="1044">
        <f t="shared" si="10"/>
        <v>182.81976190476246</v>
      </c>
      <c r="H23" s="1045">
        <f t="shared" si="10"/>
        <v>182.81976190476246</v>
      </c>
      <c r="I23" s="1046">
        <f t="shared" si="10"/>
        <v>785.19188311688322</v>
      </c>
      <c r="J23" s="1047">
        <f t="shared" si="11"/>
        <v>0.24375968253968328</v>
      </c>
      <c r="K23" s="1048">
        <f t="shared" si="12"/>
        <v>0.24375968253968328</v>
      </c>
      <c r="L23" s="1049">
        <f t="shared" si="13"/>
        <v>5.3187236012860071</v>
      </c>
      <c r="M23" s="1128"/>
    </row>
    <row r="24" spans="2:13">
      <c r="B24" s="640" t="s">
        <v>1958</v>
      </c>
      <c r="C24" s="1043">
        <f>+Print_Mois!$L$111</f>
        <v>19590.259999999998</v>
      </c>
      <c r="D24" s="1043">
        <f>+Print_Mois!$I$111</f>
        <v>11976.554224242554</v>
      </c>
      <c r="E24" s="1043">
        <f>+Print_Mois!$F$111</f>
        <v>11976.554224242554</v>
      </c>
      <c r="F24" s="1043">
        <f>+Print_Mois!$Q$111</f>
        <v>11183.93</v>
      </c>
      <c r="G24" s="1044">
        <f t="shared" si="10"/>
        <v>7613.7057757574439</v>
      </c>
      <c r="H24" s="1045">
        <f t="shared" si="10"/>
        <v>7613.7057757574439</v>
      </c>
      <c r="I24" s="1046">
        <f t="shared" si="10"/>
        <v>8406.3299999999981</v>
      </c>
      <c r="J24" s="1047">
        <f t="shared" si="11"/>
        <v>0.6357175555842286</v>
      </c>
      <c r="K24" s="1048">
        <f t="shared" si="12"/>
        <v>0.6357175555842286</v>
      </c>
      <c r="L24" s="1049">
        <f t="shared" si="13"/>
        <v>0.75164365299139013</v>
      </c>
      <c r="M24" s="1128"/>
    </row>
    <row r="25" spans="2:13">
      <c r="B25" s="640" t="s">
        <v>1959</v>
      </c>
      <c r="C25" s="1050">
        <f>+C24/C22</f>
        <v>0.50002667284013136</v>
      </c>
      <c r="D25" s="1050">
        <f t="shared" ref="D25:E25" si="15">+D24/D22</f>
        <v>0.66343774287228185</v>
      </c>
      <c r="E25" s="1050">
        <f t="shared" si="15"/>
        <v>0.66343774287228185</v>
      </c>
      <c r="F25" s="1050">
        <f>+F24/F22</f>
        <v>2.2956840705130768</v>
      </c>
      <c r="G25" s="1051">
        <f t="shared" si="10"/>
        <v>-0.1634110700321505</v>
      </c>
      <c r="H25" s="1052">
        <f t="shared" si="10"/>
        <v>-0.1634110700321505</v>
      </c>
      <c r="I25" s="1053">
        <f t="shared" si="10"/>
        <v>-1.7956573976729455</v>
      </c>
      <c r="J25" s="1047">
        <f t="shared" si="11"/>
        <v>-0.24630957733076803</v>
      </c>
      <c r="K25" s="1048">
        <f t="shared" si="12"/>
        <v>-0.24630957733076803</v>
      </c>
      <c r="L25" s="1049">
        <f t="shared" si="13"/>
        <v>-0.78218837719757439</v>
      </c>
      <c r="M25" s="1128"/>
    </row>
    <row r="26" spans="2:13">
      <c r="B26" s="640" t="s">
        <v>1960</v>
      </c>
      <c r="C26" s="1043">
        <f>+Print_Mois!$L$104</f>
        <v>69859.679999999993</v>
      </c>
      <c r="D26" s="1043">
        <f>+Print_Mois!$I$104</f>
        <v>41289.132085648795</v>
      </c>
      <c r="E26" s="1043">
        <f>+Print_Mois!$F$104</f>
        <v>41289.132085648795</v>
      </c>
      <c r="F26" s="1043">
        <f>+Print_Mois!$Q$104</f>
        <v>42143.94</v>
      </c>
      <c r="G26" s="1044">
        <f t="shared" si="10"/>
        <v>28570.547914351198</v>
      </c>
      <c r="H26" s="1045">
        <f t="shared" si="10"/>
        <v>28570.547914351198</v>
      </c>
      <c r="I26" s="1046">
        <f t="shared" si="10"/>
        <v>27715.739999999991</v>
      </c>
      <c r="J26" s="1047">
        <f t="shared" si="11"/>
        <v>0.69196290818333039</v>
      </c>
      <c r="K26" s="1048">
        <f t="shared" si="12"/>
        <v>0.69196290818333039</v>
      </c>
      <c r="L26" s="1049">
        <f t="shared" si="13"/>
        <v>0.65764472899306492</v>
      </c>
      <c r="M26" s="1128"/>
    </row>
    <row r="27" spans="2:13">
      <c r="B27" s="640" t="s">
        <v>1961</v>
      </c>
      <c r="C27" s="1043">
        <f>+C26/C21</f>
        <v>1663.3257142857142</v>
      </c>
      <c r="D27" s="1043">
        <f t="shared" ref="D27:F27" si="16">+D26/D21</f>
        <v>1715.3996101364523</v>
      </c>
      <c r="E27" s="1043">
        <f t="shared" si="16"/>
        <v>1715.3996101364523</v>
      </c>
      <c r="F27" s="1043">
        <f t="shared" si="16"/>
        <v>1277.0890909090911</v>
      </c>
      <c r="G27" s="1044">
        <f t="shared" si="10"/>
        <v>-52.073895850738154</v>
      </c>
      <c r="H27" s="1045">
        <f t="shared" si="10"/>
        <v>-52.073895850738154</v>
      </c>
      <c r="I27" s="1046">
        <f t="shared" si="10"/>
        <v>386.23662337662313</v>
      </c>
      <c r="J27" s="1047">
        <f t="shared" si="11"/>
        <v>-3.03567142857144E-2</v>
      </c>
      <c r="K27" s="1048">
        <f t="shared" si="12"/>
        <v>-3.03567142857144E-2</v>
      </c>
      <c r="L27" s="1049">
        <f t="shared" si="13"/>
        <v>0.30243514420883671</v>
      </c>
      <c r="M27" s="1128"/>
    </row>
    <row r="28" spans="2:13">
      <c r="B28" s="640" t="s">
        <v>1962</v>
      </c>
      <c r="C28" s="1043">
        <f>+Print_Mois!$L$112</f>
        <v>22319.200000000001</v>
      </c>
      <c r="D28" s="1043">
        <f>+Print_Mois!$I$112</f>
        <v>12386.739625694638</v>
      </c>
      <c r="E28" s="1043">
        <f>+Print_Mois!$F$112</f>
        <v>12386.739625694638</v>
      </c>
      <c r="F28" s="1043">
        <f>+Print_Mois!$Q$112</f>
        <v>7116.21</v>
      </c>
      <c r="G28" s="1044">
        <f t="shared" si="10"/>
        <v>9932.4603743053631</v>
      </c>
      <c r="H28" s="1045">
        <f t="shared" si="10"/>
        <v>9932.4603743053631</v>
      </c>
      <c r="I28" s="1046">
        <f t="shared" si="10"/>
        <v>15202.990000000002</v>
      </c>
      <c r="J28" s="1047">
        <f t="shared" si="11"/>
        <v>0.80186236850428338</v>
      </c>
      <c r="K28" s="1048">
        <f t="shared" si="12"/>
        <v>0.80186236850428338</v>
      </c>
      <c r="L28" s="1049">
        <f t="shared" si="13"/>
        <v>2.1363886113535155</v>
      </c>
      <c r="M28" s="1128"/>
    </row>
    <row r="29" spans="2:13">
      <c r="B29" s="640" t="s">
        <v>1963</v>
      </c>
      <c r="C29" s="1050">
        <f>+C28/C26</f>
        <v>0.31948614708799128</v>
      </c>
      <c r="D29" s="1050">
        <f t="shared" ref="D29:F29" si="17">+D28/D26</f>
        <v>0.3</v>
      </c>
      <c r="E29" s="1050">
        <f t="shared" si="17"/>
        <v>0.3</v>
      </c>
      <c r="F29" s="1050">
        <f t="shared" si="17"/>
        <v>0.16885488162710938</v>
      </c>
      <c r="G29" s="1054">
        <f t="shared" si="10"/>
        <v>1.948614708799129E-2</v>
      </c>
      <c r="H29" s="1048">
        <f t="shared" si="10"/>
        <v>1.948614708799129E-2</v>
      </c>
      <c r="I29" s="1055">
        <f t="shared" si="10"/>
        <v>0.1506312654608819</v>
      </c>
      <c r="J29" s="1047">
        <f t="shared" si="11"/>
        <v>6.4953823626637638E-2</v>
      </c>
      <c r="K29" s="1048">
        <f t="shared" si="12"/>
        <v>6.4953823626637638E-2</v>
      </c>
      <c r="L29" s="1049">
        <f t="shared" si="13"/>
        <v>0.89207527795097097</v>
      </c>
      <c r="M29" s="1128"/>
    </row>
    <row r="30" spans="2:13">
      <c r="B30" s="640" t="s">
        <v>1964</v>
      </c>
      <c r="C30" s="1043">
        <f>+Print_Mois!$L$121-C24-C28</f>
        <v>9002.5599999999977</v>
      </c>
      <c r="D30" s="1043">
        <f>+Print_Mois!$I$121-D24-D28</f>
        <v>7134.6511153871324</v>
      </c>
      <c r="E30" s="1043">
        <f>+Print_Mois!$F$121-E24-E28</f>
        <v>7134.6511153871324</v>
      </c>
      <c r="F30" s="1043">
        <f>+Print_Mois!$Q$121-F24-F28</f>
        <v>7499.9299999999994</v>
      </c>
      <c r="G30" s="1044">
        <f t="shared" si="10"/>
        <v>1867.9088846128652</v>
      </c>
      <c r="H30" s="1045">
        <f t="shared" si="10"/>
        <v>1867.9088846128652</v>
      </c>
      <c r="I30" s="1046">
        <f t="shared" si="10"/>
        <v>1502.6299999999983</v>
      </c>
      <c r="J30" s="1047">
        <f t="shared" si="11"/>
        <v>0.26180802037879475</v>
      </c>
      <c r="K30" s="1048">
        <f t="shared" si="12"/>
        <v>0.26180802037879475</v>
      </c>
      <c r="L30" s="1049">
        <f t="shared" si="13"/>
        <v>0.20035253662367494</v>
      </c>
      <c r="M30" s="1128"/>
    </row>
    <row r="31" spans="2:13">
      <c r="B31" s="640" t="s">
        <v>1965</v>
      </c>
      <c r="C31" s="1043">
        <f>+C30/C21</f>
        <v>214.34666666666661</v>
      </c>
      <c r="D31" s="1043">
        <f t="shared" ref="D31:F31" si="18">+D30/D21</f>
        <v>296.41644480215712</v>
      </c>
      <c r="E31" s="1043">
        <f t="shared" si="18"/>
        <v>296.41644480215712</v>
      </c>
      <c r="F31" s="1043">
        <f t="shared" si="18"/>
        <v>227.27060606060604</v>
      </c>
      <c r="G31" s="1044">
        <f t="shared" si="10"/>
        <v>-82.069778135490509</v>
      </c>
      <c r="H31" s="1045">
        <f t="shared" si="10"/>
        <v>-82.069778135490509</v>
      </c>
      <c r="I31" s="1046">
        <f t="shared" si="10"/>
        <v>-12.923939393939435</v>
      </c>
      <c r="J31" s="1047">
        <f t="shared" si="11"/>
        <v>-0.27687322877874709</v>
      </c>
      <c r="K31" s="1048">
        <f t="shared" si="12"/>
        <v>-0.27687322877874709</v>
      </c>
      <c r="L31" s="1049">
        <f t="shared" si="13"/>
        <v>-5.6865864081398279E-2</v>
      </c>
      <c r="M31" s="1128"/>
    </row>
    <row r="32" spans="2:13">
      <c r="B32" s="640" t="s">
        <v>1966</v>
      </c>
      <c r="C32" s="1043">
        <f>+Print_Mois!$L$162</f>
        <v>23158</v>
      </c>
      <c r="D32" s="1043">
        <f>+Print_Mois!$I$162</f>
        <v>16060.288758064173</v>
      </c>
      <c r="E32" s="1043">
        <f>+Print_Mois!$F$162</f>
        <v>16060.288758064173</v>
      </c>
      <c r="F32" s="1043">
        <f>+Print_Mois!$Q$162</f>
        <v>0</v>
      </c>
      <c r="G32" s="1044">
        <f t="shared" si="10"/>
        <v>7097.7112419358273</v>
      </c>
      <c r="H32" s="1045">
        <f t="shared" si="10"/>
        <v>7097.7112419358273</v>
      </c>
      <c r="I32" s="1046">
        <f t="shared" si="10"/>
        <v>23158</v>
      </c>
      <c r="J32" s="1047">
        <f t="shared" si="11"/>
        <v>0.44194169537405942</v>
      </c>
      <c r="K32" s="1048">
        <f t="shared" si="12"/>
        <v>0.44194169537405942</v>
      </c>
      <c r="L32" s="1049" t="str">
        <f t="shared" si="13"/>
        <v/>
      </c>
      <c r="M32" s="1128"/>
    </row>
    <row r="33" spans="2:13">
      <c r="B33" s="642" t="s">
        <v>1967</v>
      </c>
      <c r="C33" s="1056"/>
      <c r="D33" s="1056"/>
      <c r="E33" s="1056"/>
      <c r="F33" s="1056"/>
      <c r="G33" s="1057"/>
      <c r="H33" s="1058"/>
      <c r="I33" s="1059"/>
      <c r="J33" s="1060"/>
      <c r="K33" s="1061"/>
      <c r="L33" s="1062"/>
      <c r="M33" s="1128"/>
    </row>
    <row r="34" spans="2:13">
      <c r="B34" s="686" t="s">
        <v>1955</v>
      </c>
      <c r="C34" s="1063">
        <v>92</v>
      </c>
      <c r="D34" s="1063">
        <v>92</v>
      </c>
      <c r="E34" s="1063">
        <v>55</v>
      </c>
      <c r="F34" s="1063">
        <v>49</v>
      </c>
      <c r="G34" s="1044">
        <f t="shared" ref="G34:I35" si="19">+IFERROR($C34-D34,"")</f>
        <v>0</v>
      </c>
      <c r="H34" s="1045">
        <f t="shared" si="19"/>
        <v>37</v>
      </c>
      <c r="I34" s="1046">
        <f t="shared" si="19"/>
        <v>43</v>
      </c>
      <c r="J34" s="1047">
        <f>+IFERROR(G34/ABS($D34),"")</f>
        <v>0</v>
      </c>
      <c r="K34" s="1048">
        <f>+IFERROR(H34/ABS($E34),"")</f>
        <v>0.67272727272727273</v>
      </c>
      <c r="L34" s="1049">
        <f>+IFERROR(I34/ABS($F34),"")</f>
        <v>0.87755102040816324</v>
      </c>
      <c r="M34" s="1128"/>
    </row>
    <row r="35" spans="2:13">
      <c r="B35" s="687" t="s">
        <v>1917</v>
      </c>
      <c r="C35" s="1064">
        <v>1510979</v>
      </c>
      <c r="D35" s="1064">
        <v>1510979</v>
      </c>
      <c r="E35" s="1064">
        <v>919262</v>
      </c>
      <c r="F35" s="1064">
        <v>813537</v>
      </c>
      <c r="G35" s="1065">
        <f t="shared" si="19"/>
        <v>0</v>
      </c>
      <c r="H35" s="1066">
        <f t="shared" si="19"/>
        <v>591717</v>
      </c>
      <c r="I35" s="1067">
        <f t="shared" si="19"/>
        <v>697442</v>
      </c>
      <c r="J35" s="1068">
        <f>+IFERROR(G35/ABS($D35),"")</f>
        <v>0</v>
      </c>
      <c r="K35" s="1069">
        <f>+IFERROR(H35/ABS($E35),"")</f>
        <v>0.64368700109435617</v>
      </c>
      <c r="L35" s="1070">
        <f>+IFERROR(I35/ABS($F35),"")</f>
        <v>0.85729598039179533</v>
      </c>
      <c r="M35" s="1129"/>
    </row>
    <row r="36" spans="2:13">
      <c r="C36" s="1071"/>
      <c r="D36" s="1071"/>
      <c r="E36" s="1071"/>
      <c r="F36" s="1071"/>
      <c r="G36" s="1071"/>
      <c r="H36" s="1071"/>
      <c r="I36" s="1071"/>
      <c r="J36" s="1071"/>
      <c r="K36" s="1071"/>
      <c r="L36" s="1071"/>
      <c r="M36" s="165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1093" t="s">
        <v>1972</v>
      </c>
    </row>
    <row r="38" spans="2:13">
      <c r="B38" s="639" t="s">
        <v>1968</v>
      </c>
      <c r="C38" s="664">
        <f>+Print_Mois!$K$193</f>
        <v>230012.55</v>
      </c>
      <c r="D38" s="664">
        <f>+Print_Mois!$H$193</f>
        <v>224331.67499146704</v>
      </c>
      <c r="E38" s="664">
        <f>+Print_Mois!$E$193</f>
        <v>224331.67499146704</v>
      </c>
      <c r="F38" s="664">
        <f>+Print_Mois!$P$193</f>
        <v>219906.5</v>
      </c>
      <c r="G38" s="666">
        <f t="shared" ref="G38:I47" si="20">+IFERROR($C38-D38,"")</f>
        <v>5680.8750085329521</v>
      </c>
      <c r="H38" s="665">
        <f t="shared" si="20"/>
        <v>5680.8750085329521</v>
      </c>
      <c r="I38" s="667">
        <f t="shared" si="20"/>
        <v>10106.049999999988</v>
      </c>
      <c r="J38" s="675">
        <f t="shared" ref="J38:J47" si="21">+IFERROR(G38/ABS($D38),"")</f>
        <v>2.5323552765114589E-2</v>
      </c>
      <c r="K38" s="676">
        <f t="shared" ref="K38:K47" si="22">+IFERROR(H38/ABS($E38),"")</f>
        <v>2.5323552765114589E-2</v>
      </c>
      <c r="L38" s="677">
        <f t="shared" ref="L38:L47" si="23">+IFERROR(I38/ABS($F38),"")</f>
        <v>4.59561222610518E-2</v>
      </c>
      <c r="M38" s="1127" t="s">
        <v>2934</v>
      </c>
    </row>
    <row r="39" spans="2:13">
      <c r="B39" s="639" t="s">
        <v>1980</v>
      </c>
      <c r="C39" s="664">
        <f>+Print_Mois!$L$193</f>
        <v>160416.79</v>
      </c>
      <c r="D39" s="664">
        <f>+Print_Mois!$I$193</f>
        <v>148974.87890179196</v>
      </c>
      <c r="E39" s="664">
        <f>+Print_Mois!$F$193</f>
        <v>148974.87890179196</v>
      </c>
      <c r="F39" s="664">
        <f>+Print_Mois!$Q$193</f>
        <v>136594.91</v>
      </c>
      <c r="G39" s="666">
        <f t="shared" si="20"/>
        <v>11441.911098208046</v>
      </c>
      <c r="H39" s="665">
        <f t="shared" si="20"/>
        <v>11441.911098208046</v>
      </c>
      <c r="I39" s="667">
        <f t="shared" si="20"/>
        <v>23821.880000000005</v>
      </c>
      <c r="J39" s="678">
        <f t="shared" si="21"/>
        <v>7.6804298701600854E-2</v>
      </c>
      <c r="K39" s="679">
        <f t="shared" si="22"/>
        <v>7.6804298701600854E-2</v>
      </c>
      <c r="L39" s="680">
        <f t="shared" si="23"/>
        <v>0.17439800648501474</v>
      </c>
      <c r="M39" s="1128"/>
    </row>
    <row r="40" spans="2:13">
      <c r="B40" s="640" t="s">
        <v>1981</v>
      </c>
      <c r="C40" s="1043">
        <f>+Print_Mois!$K$171/Print_Mois!$J$171</f>
        <v>224.72884711779449</v>
      </c>
      <c r="D40" s="1043">
        <f>+IFERROR(Print_Mois!$H$171/Print_Mois!$G$171,"")</f>
        <v>245.43848580441642</v>
      </c>
      <c r="E40" s="1043">
        <f>+IFERROR(Print_Mois!$E$171/Print_Mois!$D$171,"")</f>
        <v>245.43848580441642</v>
      </c>
      <c r="F40" s="1043">
        <f>+Print_Mois!$P$171/Print_Mois!$O$171</f>
        <v>239.17334302325582</v>
      </c>
      <c r="G40" s="1044">
        <f t="shared" si="20"/>
        <v>-20.709638686621929</v>
      </c>
      <c r="H40" s="1045">
        <f t="shared" si="20"/>
        <v>-20.709638686621929</v>
      </c>
      <c r="I40" s="1046">
        <f t="shared" si="20"/>
        <v>-14.444495905461338</v>
      </c>
      <c r="J40" s="1047">
        <f t="shared" si="21"/>
        <v>-8.4378122765656663E-2</v>
      </c>
      <c r="K40" s="1048">
        <f t="shared" si="22"/>
        <v>-8.4378122765656663E-2</v>
      </c>
      <c r="L40" s="1049">
        <f t="shared" si="23"/>
        <v>-6.0393418944087091E-2</v>
      </c>
      <c r="M40" s="1128"/>
    </row>
    <row r="41" spans="2:13">
      <c r="B41" s="640" t="s">
        <v>1982</v>
      </c>
      <c r="C41" s="1043">
        <f>+Print_Mois!$K$174/Print_Mois!$J$174</f>
        <v>207.33352941176472</v>
      </c>
      <c r="D41" s="1043">
        <f>+IFERROR(Print_Mois!$H$174/Print_Mois!$G$174,"")</f>
        <v>176.73400250941029</v>
      </c>
      <c r="E41" s="1043">
        <f>+IFERROR(Print_Mois!$E$174/Print_Mois!$D$174,"")</f>
        <v>176.73400250941029</v>
      </c>
      <c r="F41" s="1043">
        <f>+Print_Mois!$P$174/Print_Mois!$O$174</f>
        <v>229.84492907801416</v>
      </c>
      <c r="G41" s="1044">
        <f t="shared" si="20"/>
        <v>30.599526902354427</v>
      </c>
      <c r="H41" s="1045">
        <f t="shared" si="20"/>
        <v>30.599526902354427</v>
      </c>
      <c r="I41" s="1046">
        <f t="shared" si="20"/>
        <v>-22.511399666249446</v>
      </c>
      <c r="J41" s="1047">
        <f t="shared" si="21"/>
        <v>0.17313887801938474</v>
      </c>
      <c r="K41" s="1048">
        <f t="shared" si="22"/>
        <v>0.17313887801938474</v>
      </c>
      <c r="L41" s="1049">
        <f t="shared" si="23"/>
        <v>-9.7941685102866063E-2</v>
      </c>
      <c r="M41" s="1128"/>
    </row>
    <row r="42" spans="2:13">
      <c r="B42" s="640" t="s">
        <v>1971</v>
      </c>
      <c r="C42" s="1072">
        <f>+Print_Mois!$L$183</f>
        <v>-3087.66</v>
      </c>
      <c r="D42" s="1072">
        <f>+Print_Mois!$I$183</f>
        <v>-3475.7080423797106</v>
      </c>
      <c r="E42" s="1072">
        <f>+Print_Mois!$F$183</f>
        <v>-3475.7080423797106</v>
      </c>
      <c r="F42" s="1072">
        <f>+Print_Mois!$Q$183</f>
        <v>-3388.98</v>
      </c>
      <c r="G42" s="1044">
        <f t="shared" si="20"/>
        <v>388.04804237971075</v>
      </c>
      <c r="H42" s="1045">
        <f t="shared" si="20"/>
        <v>388.04804237971075</v>
      </c>
      <c r="I42" s="1046">
        <f t="shared" si="20"/>
        <v>301.32000000000016</v>
      </c>
      <c r="J42" s="1047">
        <f t="shared" si="21"/>
        <v>0.11164575322443543</v>
      </c>
      <c r="K42" s="1048">
        <f t="shared" si="22"/>
        <v>0.11164575322443543</v>
      </c>
      <c r="L42" s="1049">
        <f t="shared" si="23"/>
        <v>8.891170794752408E-2</v>
      </c>
      <c r="M42" s="1128"/>
    </row>
    <row r="43" spans="2:13">
      <c r="B43" s="640" t="s">
        <v>1983</v>
      </c>
      <c r="C43" s="1043">
        <f>+Print_Mois!$L$209</f>
        <v>112764.75999999998</v>
      </c>
      <c r="D43" s="1043">
        <f>+Print_Mois!$I$209</f>
        <v>118025.49781850743</v>
      </c>
      <c r="E43" s="1043">
        <f>+Print_Mois!$F$209</f>
        <v>118025.49781850743</v>
      </c>
      <c r="F43" s="1043">
        <f>+Print_Mois!$Q$209</f>
        <v>83086.489999999991</v>
      </c>
      <c r="G43" s="1044">
        <f t="shared" si="20"/>
        <v>-5260.7378185074485</v>
      </c>
      <c r="H43" s="1045">
        <f t="shared" si="20"/>
        <v>-5260.7378185074485</v>
      </c>
      <c r="I43" s="1046">
        <f t="shared" si="20"/>
        <v>29678.26999999999</v>
      </c>
      <c r="J43" s="1047">
        <f t="shared" si="21"/>
        <v>-4.4572892432083594E-2</v>
      </c>
      <c r="K43" s="1048">
        <f t="shared" si="22"/>
        <v>-4.4572892432083594E-2</v>
      </c>
      <c r="L43" s="1049">
        <f t="shared" si="23"/>
        <v>0.3571973012700379</v>
      </c>
      <c r="M43" s="1128"/>
    </row>
    <row r="44" spans="2:13">
      <c r="B44" s="641" t="s">
        <v>1984</v>
      </c>
      <c r="C44" s="1043">
        <f>+SUM(Print_Mois!$L$197:$L$203)</f>
        <v>55084.759999999995</v>
      </c>
      <c r="D44" s="1043">
        <f>+SUM(Print_Mois!$I$197:$I$203)</f>
        <v>67264.681529351728</v>
      </c>
      <c r="E44" s="1043">
        <f>+SUM(Print_Mois!$F$197:$F$203)</f>
        <v>67264.681529351728</v>
      </c>
      <c r="F44" s="1043">
        <f>+SUM(Print_Mois!$Q$197:$Q$203)</f>
        <v>44715.77</v>
      </c>
      <c r="G44" s="1044">
        <f t="shared" si="20"/>
        <v>-12179.921529351734</v>
      </c>
      <c r="H44" s="1045">
        <f t="shared" si="20"/>
        <v>-12179.921529351734</v>
      </c>
      <c r="I44" s="1046">
        <f t="shared" si="20"/>
        <v>10368.989999999998</v>
      </c>
      <c r="J44" s="1047">
        <f t="shared" si="21"/>
        <v>-0.18107454391257147</v>
      </c>
      <c r="K44" s="1048">
        <f t="shared" si="22"/>
        <v>-0.18107454391257147</v>
      </c>
      <c r="L44" s="1049">
        <f t="shared" si="23"/>
        <v>0.23188664759658614</v>
      </c>
      <c r="M44" s="1128"/>
    </row>
    <row r="45" spans="2:13">
      <c r="B45" s="641" t="s">
        <v>1985</v>
      </c>
      <c r="C45" s="1043">
        <f>+SUM(Print_Mois!$L$204:$L$208)</f>
        <v>57680</v>
      </c>
      <c r="D45" s="1043">
        <f>+SUM(Print_Mois!$I$204:$I$208)</f>
        <v>50760.8162891557</v>
      </c>
      <c r="E45" s="1043">
        <f>+SUM(Print_Mois!$F$204:$F$208)</f>
        <v>50760.8162891557</v>
      </c>
      <c r="F45" s="1043">
        <f>+SUM(Print_Mois!$Q$204:$Q$208)</f>
        <v>38370.720000000001</v>
      </c>
      <c r="G45" s="1044">
        <f t="shared" si="20"/>
        <v>6919.1837108442996</v>
      </c>
      <c r="H45" s="1045">
        <f t="shared" si="20"/>
        <v>6919.1837108442996</v>
      </c>
      <c r="I45" s="1046">
        <f t="shared" si="20"/>
        <v>19309.28</v>
      </c>
      <c r="J45" s="1047">
        <f t="shared" si="21"/>
        <v>0.13630954379121127</v>
      </c>
      <c r="K45" s="1048">
        <f t="shared" si="22"/>
        <v>0.13630954379121127</v>
      </c>
      <c r="L45" s="1049">
        <f t="shared" si="23"/>
        <v>0.50322954586205315</v>
      </c>
      <c r="M45" s="1128"/>
    </row>
    <row r="46" spans="2:13">
      <c r="B46" s="640" t="s">
        <v>1994</v>
      </c>
      <c r="C46" s="1073">
        <f>+C43/C38</f>
        <v>0.49025481435686874</v>
      </c>
      <c r="D46" s="1073">
        <f t="shared" ref="D46:E46" si="24">+D43/D38</f>
        <v>0.5261205214243454</v>
      </c>
      <c r="E46" s="1073">
        <f t="shared" si="24"/>
        <v>0.5261205214243454</v>
      </c>
      <c r="F46" s="1073">
        <f>+F43/F38</f>
        <v>0.37782643987330977</v>
      </c>
      <c r="G46" s="1074">
        <f t="shared" si="20"/>
        <v>-3.586570706747666E-2</v>
      </c>
      <c r="H46" s="1075">
        <f t="shared" si="20"/>
        <v>-3.586570706747666E-2</v>
      </c>
      <c r="I46" s="1076">
        <f t="shared" si="20"/>
        <v>0.11242837448355897</v>
      </c>
      <c r="J46" s="1047">
        <f t="shared" si="21"/>
        <v>-6.8170135181913907E-2</v>
      </c>
      <c r="K46" s="1048">
        <f t="shared" si="22"/>
        <v>-6.8170135181913907E-2</v>
      </c>
      <c r="L46" s="1049">
        <f t="shared" si="23"/>
        <v>0.29756619076541518</v>
      </c>
      <c r="M46" s="1128"/>
    </row>
    <row r="47" spans="2:13">
      <c r="B47" s="668" t="s">
        <v>123</v>
      </c>
      <c r="C47" s="1077">
        <f>+Print_Mois!$L$212</f>
        <v>17414.099999999999</v>
      </c>
      <c r="D47" s="1077">
        <f>+Print_Mois!$I$212</f>
        <v>16764.080000000002</v>
      </c>
      <c r="E47" s="1077">
        <f>+Print_Mois!$F$212</f>
        <v>16764.080000000002</v>
      </c>
      <c r="F47" s="1077">
        <f>+Print_Mois!$Q$212</f>
        <v>12606.24</v>
      </c>
      <c r="G47" s="1065">
        <f t="shared" si="20"/>
        <v>650.0199999999968</v>
      </c>
      <c r="H47" s="1066">
        <f t="shared" si="20"/>
        <v>650.0199999999968</v>
      </c>
      <c r="I47" s="1067">
        <f t="shared" si="20"/>
        <v>4807.8599999999988</v>
      </c>
      <c r="J47" s="1068">
        <f t="shared" si="21"/>
        <v>3.8774570390978612E-2</v>
      </c>
      <c r="K47" s="1069">
        <f t="shared" si="22"/>
        <v>3.8774570390978612E-2</v>
      </c>
      <c r="L47" s="1070">
        <f t="shared" si="23"/>
        <v>0.38138731294977718</v>
      </c>
      <c r="M47" s="1129"/>
    </row>
    <row r="48" spans="2:13">
      <c r="C48" s="1071"/>
      <c r="D48" s="1071"/>
      <c r="E48" s="1071"/>
      <c r="F48" s="1071"/>
      <c r="G48" s="1071"/>
      <c r="H48" s="1071"/>
      <c r="I48" s="1071"/>
      <c r="J48" s="1071"/>
      <c r="K48" s="1071"/>
      <c r="L48" s="1071"/>
      <c r="M48" s="165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1094" t="s">
        <v>1972</v>
      </c>
    </row>
    <row r="50" spans="2:13">
      <c r="B50" s="674" t="s">
        <v>1968</v>
      </c>
      <c r="C50" s="664">
        <f>+Print_Mois!$J$313</f>
        <v>298360.31999999995</v>
      </c>
      <c r="D50" s="664">
        <f>+Print_Mois!$G$313</f>
        <v>324516.87506145675</v>
      </c>
      <c r="E50" s="664">
        <f>+Print_Mois!$D$313</f>
        <v>324516.87506145675</v>
      </c>
      <c r="F50" s="664">
        <f>+Print_Mois!$O$313</f>
        <v>345654.52999999997</v>
      </c>
      <c r="G50" s="666">
        <f t="shared" ref="G50:I59" si="25">+IFERROR($C50-D50,"")</f>
        <v>-26156.555061456806</v>
      </c>
      <c r="H50" s="665">
        <f t="shared" si="25"/>
        <v>-26156.555061456806</v>
      </c>
      <c r="I50" s="667">
        <f t="shared" si="25"/>
        <v>-47294.210000000021</v>
      </c>
      <c r="J50" s="675">
        <f t="shared" ref="J50:J59" si="26">+IFERROR(G50/ABS($D50),"")</f>
        <v>-8.0601525133333352E-2</v>
      </c>
      <c r="K50" s="676">
        <f t="shared" ref="K50:K59" si="27">+IFERROR(H50/ABS($E50),"")</f>
        <v>-8.0601525133333352E-2</v>
      </c>
      <c r="L50" s="677">
        <f t="shared" ref="L50:L59" si="28">+IFERROR(I50/ABS($F50),"")</f>
        <v>-0.13682508370424085</v>
      </c>
      <c r="M50" s="1127" t="s">
        <v>2935</v>
      </c>
    </row>
    <row r="51" spans="2:13">
      <c r="B51" s="1078" t="s">
        <v>1969</v>
      </c>
      <c r="C51" s="1043">
        <f>+Print_Mois!$J$294</f>
        <v>51335.82</v>
      </c>
      <c r="D51" s="1043">
        <f>+Print_Mois!$G$294</f>
        <v>59152.790459572665</v>
      </c>
      <c r="E51" s="1043">
        <f>+Print_Mois!$D$294</f>
        <v>59152.790459572665</v>
      </c>
      <c r="F51" s="1043">
        <f>+Print_Mois!$O$294</f>
        <v>58273.840000000004</v>
      </c>
      <c r="G51" s="1044">
        <f t="shared" si="25"/>
        <v>-7816.9704595726653</v>
      </c>
      <c r="H51" s="1045">
        <f t="shared" si="25"/>
        <v>-7816.9704595726653</v>
      </c>
      <c r="I51" s="1046">
        <f t="shared" si="25"/>
        <v>-6938.0200000000041</v>
      </c>
      <c r="J51" s="1047">
        <f t="shared" si="26"/>
        <v>-0.13214880310532584</v>
      </c>
      <c r="K51" s="1048">
        <f t="shared" si="27"/>
        <v>-0.13214880310532584</v>
      </c>
      <c r="L51" s="1049">
        <f t="shared" si="28"/>
        <v>-0.11905891219799491</v>
      </c>
      <c r="M51" s="1128"/>
    </row>
    <row r="52" spans="2:13">
      <c r="B52" s="1078" t="s">
        <v>1970</v>
      </c>
      <c r="C52" s="1043">
        <f>+Print_Mois!$J$296</f>
        <v>48253</v>
      </c>
      <c r="D52" s="1043">
        <f>+Print_Mois!$G$296</f>
        <v>73637.814532344011</v>
      </c>
      <c r="E52" s="1043">
        <f>+Print_Mois!$D$296</f>
        <v>73637.814532344011</v>
      </c>
      <c r="F52" s="1043">
        <f>+Print_Mois!$O$296</f>
        <v>78789.27</v>
      </c>
      <c r="G52" s="1044">
        <f t="shared" si="25"/>
        <v>-25384.814532344011</v>
      </c>
      <c r="H52" s="1045">
        <f t="shared" si="25"/>
        <v>-25384.814532344011</v>
      </c>
      <c r="I52" s="1046">
        <f t="shared" si="25"/>
        <v>-30536.270000000004</v>
      </c>
      <c r="J52" s="1047">
        <f t="shared" si="26"/>
        <v>-0.34472525690172695</v>
      </c>
      <c r="K52" s="1048">
        <f t="shared" si="27"/>
        <v>-0.34472525690172695</v>
      </c>
      <c r="L52" s="1049">
        <f t="shared" si="28"/>
        <v>-0.38756889104315856</v>
      </c>
      <c r="M52" s="1128"/>
    </row>
    <row r="53" spans="2:13">
      <c r="B53" s="1078" t="s">
        <v>1986</v>
      </c>
      <c r="C53" s="1043">
        <f>+Print_Mois!$J$299</f>
        <v>51046.5</v>
      </c>
      <c r="D53" s="1043">
        <f>+Print_Mois!$G$299</f>
        <v>57358.521558253393</v>
      </c>
      <c r="E53" s="1043">
        <f>+Print_Mois!$D$299</f>
        <v>57358.521558253393</v>
      </c>
      <c r="F53" s="1043">
        <f>+Print_Mois!$O$299</f>
        <v>46810.51</v>
      </c>
      <c r="G53" s="1044">
        <f t="shared" si="25"/>
        <v>-6312.0215582533929</v>
      </c>
      <c r="H53" s="1045">
        <f t="shared" si="25"/>
        <v>-6312.0215582533929</v>
      </c>
      <c r="I53" s="1046">
        <f t="shared" si="25"/>
        <v>4235.989999999998</v>
      </c>
      <c r="J53" s="1047">
        <f t="shared" si="26"/>
        <v>-0.11004505323316074</v>
      </c>
      <c r="K53" s="1048">
        <f t="shared" si="27"/>
        <v>-0.11004505323316074</v>
      </c>
      <c r="L53" s="1049">
        <f t="shared" si="28"/>
        <v>9.049228474545562E-2</v>
      </c>
      <c r="M53" s="1128"/>
    </row>
    <row r="54" spans="2:13">
      <c r="B54" s="1078" t="s">
        <v>1987</v>
      </c>
      <c r="C54" s="1043">
        <f>+Print_Mois!$J$306</f>
        <v>28202.46</v>
      </c>
      <c r="D54" s="1043">
        <f>+Print_Mois!$G$306</f>
        <v>26460.109588023632</v>
      </c>
      <c r="E54" s="1043">
        <f>+Print_Mois!$D$306</f>
        <v>26460.109588023632</v>
      </c>
      <c r="F54" s="1043">
        <f>+Print_Mois!$O$306</f>
        <v>29530.14</v>
      </c>
      <c r="G54" s="1044">
        <f t="shared" si="25"/>
        <v>1742.3504119763675</v>
      </c>
      <c r="H54" s="1045">
        <f t="shared" si="25"/>
        <v>1742.3504119763675</v>
      </c>
      <c r="I54" s="1046">
        <f t="shared" si="25"/>
        <v>-1327.6800000000003</v>
      </c>
      <c r="J54" s="1047">
        <f t="shared" si="26"/>
        <v>6.5848193341005279E-2</v>
      </c>
      <c r="K54" s="1048">
        <f t="shared" si="27"/>
        <v>6.5848193341005279E-2</v>
      </c>
      <c r="L54" s="1049">
        <f t="shared" si="28"/>
        <v>-4.4960166121799636E-2</v>
      </c>
      <c r="M54" s="1128"/>
    </row>
    <row r="55" spans="2:13">
      <c r="B55" s="1078" t="s">
        <v>1988</v>
      </c>
      <c r="C55" s="1043">
        <f>+C50-SUM(C51:C54)</f>
        <v>119522.53999999995</v>
      </c>
      <c r="D55" s="1043">
        <f t="shared" ref="D55:F55" si="29">+D50-SUM(D51:D54)</f>
        <v>107907.63892326306</v>
      </c>
      <c r="E55" s="1043">
        <f t="shared" si="29"/>
        <v>107907.63892326306</v>
      </c>
      <c r="F55" s="1043">
        <f t="shared" si="29"/>
        <v>132250.76999999996</v>
      </c>
      <c r="G55" s="1044">
        <f t="shared" si="25"/>
        <v>11614.901076736889</v>
      </c>
      <c r="H55" s="1045">
        <f t="shared" si="25"/>
        <v>11614.901076736889</v>
      </c>
      <c r="I55" s="1046">
        <f t="shared" si="25"/>
        <v>-12728.23000000001</v>
      </c>
      <c r="J55" s="1047">
        <f t="shared" si="26"/>
        <v>0.10763743134994044</v>
      </c>
      <c r="K55" s="1048">
        <f t="shared" si="27"/>
        <v>0.10763743134994044</v>
      </c>
      <c r="L55" s="1049">
        <f t="shared" si="28"/>
        <v>-9.6243144746907816E-2</v>
      </c>
      <c r="M55" s="1128"/>
    </row>
    <row r="56" spans="2:13">
      <c r="B56" s="639" t="s">
        <v>1980</v>
      </c>
      <c r="C56" s="664">
        <f>+Print_Mois!$L$313</f>
        <v>86790.77999999997</v>
      </c>
      <c r="D56" s="664">
        <f>+Print_Mois!$I$313</f>
        <v>96414.239360298787</v>
      </c>
      <c r="E56" s="664">
        <f>+Print_Mois!$F$313</f>
        <v>96414.239360298787</v>
      </c>
      <c r="F56" s="664">
        <f>+Print_Mois!$Q$313</f>
        <v>127460.20000000003</v>
      </c>
      <c r="G56" s="666">
        <f t="shared" si="25"/>
        <v>-9623.459360298817</v>
      </c>
      <c r="H56" s="665">
        <f t="shared" si="25"/>
        <v>-9623.459360298817</v>
      </c>
      <c r="I56" s="667">
        <f t="shared" si="25"/>
        <v>-40669.420000000056</v>
      </c>
      <c r="J56" s="678">
        <f t="shared" si="26"/>
        <v>-9.9813673002553824E-2</v>
      </c>
      <c r="K56" s="679">
        <f t="shared" si="27"/>
        <v>-9.9813673002553824E-2</v>
      </c>
      <c r="L56" s="680">
        <f t="shared" si="28"/>
        <v>-0.31907544472706029</v>
      </c>
      <c r="M56" s="1128"/>
    </row>
    <row r="57" spans="2:13">
      <c r="B57" s="640" t="s">
        <v>1981</v>
      </c>
      <c r="C57" s="1043">
        <f>+Print_Mois!$J$294/Print_Mois!$J$171</f>
        <v>128.66120300751879</v>
      </c>
      <c r="D57" s="1043">
        <f>+IFERROR(Print_Mois!$G$294/Print_Mois!$G$171,"")</f>
        <v>149.40802223219555</v>
      </c>
      <c r="E57" s="1043">
        <f>+IFERROR(Print_Mois!$D$294/Print_Mois!$D$171,"")</f>
        <v>149.40802223219555</v>
      </c>
      <c r="F57" s="1043">
        <f>+Print_Mois!$O$294/Print_Mois!$O$171</f>
        <v>169.40069767441861</v>
      </c>
      <c r="G57" s="1044">
        <f t="shared" si="25"/>
        <v>-20.746819224676756</v>
      </c>
      <c r="H57" s="1045">
        <f t="shared" si="25"/>
        <v>-20.746819224676756</v>
      </c>
      <c r="I57" s="1046">
        <f t="shared" si="25"/>
        <v>-40.739494666899816</v>
      </c>
      <c r="J57" s="1047">
        <f t="shared" si="26"/>
        <v>-0.13886014227826435</v>
      </c>
      <c r="K57" s="1048">
        <f t="shared" si="27"/>
        <v>-0.13886014227826435</v>
      </c>
      <c r="L57" s="1049">
        <f t="shared" si="28"/>
        <v>-0.24049189422584022</v>
      </c>
      <c r="M57" s="1128"/>
    </row>
    <row r="58" spans="2:13">
      <c r="B58" s="640" t="s">
        <v>1982</v>
      </c>
      <c r="C58" s="1043">
        <f>+Print_Mois!$J$296/Print_Mois!$J$174</f>
        <v>236.53431372549019</v>
      </c>
      <c r="D58" s="1043">
        <f>+IFERROR(Print_Mois!$G$296/Print_Mois!$G$174,"")</f>
        <v>258.1604573305865</v>
      </c>
      <c r="E58" s="1043">
        <f>+IFERROR(Print_Mois!$D$296/Print_Mois!$D$174,"")</f>
        <v>258.1604573305865</v>
      </c>
      <c r="F58" s="1043">
        <f>+Print_Mois!$O$296/Print_Mois!$O$174</f>
        <v>279.39457446808512</v>
      </c>
      <c r="G58" s="1044">
        <f t="shared" si="25"/>
        <v>-21.626143605096303</v>
      </c>
      <c r="H58" s="1045">
        <f t="shared" si="25"/>
        <v>-21.626143605096303</v>
      </c>
      <c r="I58" s="1046">
        <f t="shared" si="25"/>
        <v>-42.860260742594932</v>
      </c>
      <c r="J58" s="1047">
        <f t="shared" si="26"/>
        <v>-8.3770163055618616E-2</v>
      </c>
      <c r="K58" s="1048">
        <f t="shared" si="27"/>
        <v>-8.3770163055618616E-2</v>
      </c>
      <c r="L58" s="1049">
        <f t="shared" si="28"/>
        <v>-0.15340405526554277</v>
      </c>
      <c r="M58" s="1128"/>
    </row>
    <row r="59" spans="2:13">
      <c r="B59" s="668" t="s">
        <v>114</v>
      </c>
      <c r="C59" s="1077">
        <f>+Print_Mois!$L$319</f>
        <v>18839.57</v>
      </c>
      <c r="D59" s="1077">
        <f>+Print_Mois!$I$319</f>
        <v>17319.701931377778</v>
      </c>
      <c r="E59" s="1077">
        <f>+Print_Mois!$F$319</f>
        <v>17319.701931377778</v>
      </c>
      <c r="F59" s="1077">
        <f>+Print_Mois!$Q$319</f>
        <v>14497.42</v>
      </c>
      <c r="G59" s="1065">
        <f t="shared" si="25"/>
        <v>1519.8680686222215</v>
      </c>
      <c r="H59" s="1066">
        <f t="shared" si="25"/>
        <v>1519.8680686222215</v>
      </c>
      <c r="I59" s="1067">
        <f t="shared" si="25"/>
        <v>4342.1499999999996</v>
      </c>
      <c r="J59" s="1068">
        <f t="shared" si="26"/>
        <v>8.7753708155260166E-2</v>
      </c>
      <c r="K59" s="1069">
        <f t="shared" si="27"/>
        <v>8.7753708155260166E-2</v>
      </c>
      <c r="L59" s="1070">
        <f t="shared" si="28"/>
        <v>0.29951191315420256</v>
      </c>
      <c r="M59" s="1129"/>
    </row>
    <row r="60" spans="2:13">
      <c r="M60" s="165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1095" t="s">
        <v>1972</v>
      </c>
    </row>
    <row r="62" spans="2:13">
      <c r="B62" s="1079" t="s">
        <v>1990</v>
      </c>
      <c r="C62" s="1073">
        <f>+Print_Mois!$AF$432/Print_Mois!$AF$406</f>
        <v>0.41913808468126057</v>
      </c>
      <c r="D62" s="1073">
        <f>+Print_Mois!$AC$432/Print_Mois!$AC$406</f>
        <v>0.58014112544451613</v>
      </c>
      <c r="E62" s="1073">
        <f>+Print_Mois!$Z$432/Print_Mois!$Z$406</f>
        <v>0.61301703915545003</v>
      </c>
      <c r="F62" s="1073">
        <f>+Print_Mois!$AL$432/Print_Mois!$AL$406</f>
        <v>0.61345610230000824</v>
      </c>
      <c r="G62" s="1074">
        <f t="shared" ref="G62:I67" si="30">+IFERROR($C62-D62,"")</f>
        <v>-0.16100304076325556</v>
      </c>
      <c r="H62" s="1075">
        <f t="shared" si="30"/>
        <v>-0.19387895447418946</v>
      </c>
      <c r="I62" s="1076">
        <f t="shared" si="30"/>
        <v>-0.19431801761874767</v>
      </c>
      <c r="J62" s="1047">
        <f t="shared" ref="J62:J67" si="31">+IFERROR(G62/ABS($D62),"")</f>
        <v>-0.27752392254538361</v>
      </c>
      <c r="K62" s="1048">
        <f t="shared" ref="K62:K67" si="32">+IFERROR(H62/ABS($E62),"")</f>
        <v>-0.31627009053662741</v>
      </c>
      <c r="L62" s="1049">
        <f t="shared" ref="L62:L67" si="33">+IFERROR(I62/ABS($F62),"")</f>
        <v>-0.31675945008974288</v>
      </c>
      <c r="M62" s="1127" t="s">
        <v>2936</v>
      </c>
    </row>
    <row r="63" spans="2:13">
      <c r="B63" s="1080" t="s">
        <v>1991</v>
      </c>
      <c r="C63" s="1081">
        <v>42</v>
      </c>
      <c r="D63" s="1081">
        <v>42</v>
      </c>
      <c r="E63" s="1081">
        <v>50.8</v>
      </c>
      <c r="F63" s="1081">
        <v>62</v>
      </c>
      <c r="G63" s="1082">
        <f t="shared" si="30"/>
        <v>0</v>
      </c>
      <c r="H63" s="1083">
        <f t="shared" si="30"/>
        <v>-8.7999999999999972</v>
      </c>
      <c r="I63" s="1084">
        <f t="shared" si="30"/>
        <v>-20</v>
      </c>
      <c r="J63" s="1047">
        <f t="shared" si="31"/>
        <v>0</v>
      </c>
      <c r="K63" s="1048">
        <f t="shared" si="32"/>
        <v>-0.17322834645669286</v>
      </c>
      <c r="L63" s="1049">
        <f t="shared" si="33"/>
        <v>-0.32258064516129031</v>
      </c>
      <c r="M63" s="1128"/>
    </row>
    <row r="64" spans="2:13">
      <c r="B64" s="1079" t="s">
        <v>1974</v>
      </c>
      <c r="C64" s="1043">
        <f>+Print_Mois!$AF$413+Print_Mois!$AF$433</f>
        <v>26467.94</v>
      </c>
      <c r="D64" s="1043">
        <f>+Print_Mois!$AC$413+Print_Mois!$AC$433</f>
        <v>23091.496801553105</v>
      </c>
      <c r="E64" s="1043">
        <f>+Print_Mois!$Z$413+Print_Mois!$Z$433</f>
        <v>23091.496801553105</v>
      </c>
      <c r="F64" s="1043">
        <f>+Print_Mois!$AL$413+Print_Mois!$AL$433</f>
        <v>32616.309999999998</v>
      </c>
      <c r="G64" s="1044">
        <f t="shared" si="30"/>
        <v>3376.4431984468938</v>
      </c>
      <c r="H64" s="1045">
        <f t="shared" si="30"/>
        <v>3376.4431984468938</v>
      </c>
      <c r="I64" s="1046">
        <f t="shared" si="30"/>
        <v>-6148.369999999999</v>
      </c>
      <c r="J64" s="1047">
        <f t="shared" si="31"/>
        <v>0.1462201964413064</v>
      </c>
      <c r="K64" s="1048">
        <f t="shared" si="32"/>
        <v>0.1462201964413064</v>
      </c>
      <c r="L64" s="1049">
        <f t="shared" si="33"/>
        <v>-0.18850599592657782</v>
      </c>
      <c r="M64" s="1128"/>
    </row>
    <row r="65" spans="2:13">
      <c r="B65" s="1079" t="s">
        <v>1993</v>
      </c>
      <c r="C65" s="1043">
        <f>+Print_Mois!$AF$451-Print_Mois!$AF$433</f>
        <v>83169.47</v>
      </c>
      <c r="D65" s="1043">
        <f>+Print_Mois!$AC$451-Print_Mois!$AC$433</f>
        <v>101826.57825456084</v>
      </c>
      <c r="E65" s="1043">
        <f>+Print_Mois!$Z$451-Print_Mois!$Z$433</f>
        <v>101826.57825456084</v>
      </c>
      <c r="F65" s="1043">
        <f>+Print_Mois!$AL$451-Print_Mois!$AL$433</f>
        <v>108300.76999999999</v>
      </c>
      <c r="G65" s="1044">
        <f t="shared" si="30"/>
        <v>-18657.108254560837</v>
      </c>
      <c r="H65" s="1045">
        <f t="shared" si="30"/>
        <v>-18657.108254560837</v>
      </c>
      <c r="I65" s="1046">
        <f t="shared" si="30"/>
        <v>-25131.299999999988</v>
      </c>
      <c r="J65" s="1047">
        <f t="shared" si="31"/>
        <v>-0.18322434647581984</v>
      </c>
      <c r="K65" s="1048">
        <f t="shared" si="32"/>
        <v>-0.18322434647581984</v>
      </c>
      <c r="L65" s="1049">
        <f t="shared" si="33"/>
        <v>-0.23205098172432193</v>
      </c>
      <c r="M65" s="1128"/>
    </row>
    <row r="66" spans="2:13">
      <c r="B66" s="1079" t="s">
        <v>1992</v>
      </c>
      <c r="C66" s="1043">
        <f>+Print_Mois!$AF$414</f>
        <v>14050.289999999999</v>
      </c>
      <c r="D66" s="1043">
        <f>+Print_Mois!$AC$414</f>
        <v>15962.736392579887</v>
      </c>
      <c r="E66" s="1043">
        <f>+Print_Mois!$Z$414</f>
        <v>15839.874914522146</v>
      </c>
      <c r="F66" s="1043">
        <f>+Print_Mois!$AL$414</f>
        <v>20497.559999999998</v>
      </c>
      <c r="G66" s="1044">
        <f t="shared" si="30"/>
        <v>-1912.4463925798882</v>
      </c>
      <c r="H66" s="1045">
        <f t="shared" si="30"/>
        <v>-1789.5849145221473</v>
      </c>
      <c r="I66" s="1046">
        <f t="shared" si="30"/>
        <v>-6447.2699999999986</v>
      </c>
      <c r="J66" s="1047">
        <f t="shared" si="31"/>
        <v>-0.11980692692944983</v>
      </c>
      <c r="K66" s="1048">
        <f t="shared" si="32"/>
        <v>-0.11297973779334829</v>
      </c>
      <c r="L66" s="1049">
        <f t="shared" si="33"/>
        <v>-0.31453841335261362</v>
      </c>
      <c r="M66" s="1128"/>
    </row>
    <row r="67" spans="2:13">
      <c r="B67" s="1085" t="s">
        <v>1995</v>
      </c>
      <c r="C67" s="1077">
        <f>+Print_Mois!$AF$480-C32-C15</f>
        <v>72972.09</v>
      </c>
      <c r="D67" s="1077">
        <f>+Print_Mois!$AC$480-D32-D15</f>
        <v>0</v>
      </c>
      <c r="E67" s="1077">
        <f>+Print_Mois!$Z$480-E32-E15</f>
        <v>0</v>
      </c>
      <c r="F67" s="1077">
        <f>+Print_Mois!$AL$480-F32-F15</f>
        <v>37185.799999999988</v>
      </c>
      <c r="G67" s="1065">
        <f t="shared" si="30"/>
        <v>72972.09</v>
      </c>
      <c r="H67" s="1066">
        <f t="shared" si="30"/>
        <v>72972.09</v>
      </c>
      <c r="I67" s="1067">
        <f t="shared" si="30"/>
        <v>35786.290000000008</v>
      </c>
      <c r="J67" s="1068" t="str">
        <f t="shared" si="31"/>
        <v/>
      </c>
      <c r="K67" s="1069" t="str">
        <f t="shared" si="32"/>
        <v/>
      </c>
      <c r="L67" s="1070">
        <f t="shared" si="33"/>
        <v>0.96236439716235822</v>
      </c>
      <c r="M67" s="1129"/>
    </row>
    <row r="68" spans="2:13">
      <c r="M68" s="165"/>
    </row>
    <row r="69" spans="2:13">
      <c r="B69" s="989" t="s">
        <v>2890</v>
      </c>
      <c r="C69" s="990" t="s">
        <v>1952</v>
      </c>
      <c r="D69" s="990" t="s">
        <v>1975</v>
      </c>
      <c r="E69" s="990" t="s">
        <v>6</v>
      </c>
      <c r="F69" s="990">
        <v>2019</v>
      </c>
      <c r="G69" s="991" t="s">
        <v>1978</v>
      </c>
      <c r="H69" s="992" t="s">
        <v>1976</v>
      </c>
      <c r="I69" s="993" t="s">
        <v>1953</v>
      </c>
      <c r="J69" s="991" t="s">
        <v>1979</v>
      </c>
      <c r="K69" s="992" t="s">
        <v>1977</v>
      </c>
      <c r="L69" s="993" t="s">
        <v>1954</v>
      </c>
      <c r="M69" s="1096" t="s">
        <v>1972</v>
      </c>
    </row>
    <row r="70" spans="2:13">
      <c r="B70" s="994" t="s">
        <v>2891</v>
      </c>
      <c r="C70" s="1086">
        <f>+Print_Mois!$AF$418-Print_Mois!$AF$414+Print_Mois!$AF$433+Print_Mois!$AF$434+Print_Mois!$AF$435</f>
        <v>171624.7</v>
      </c>
      <c r="D70" s="1086">
        <f>+Print_Mois!$AC$418-Print_Mois!$AC$414+Print_Mois!$AC$433+Print_Mois!$AC$434+Print_Mois!$AC$435</f>
        <v>141086.15579035156</v>
      </c>
      <c r="E70" s="1086">
        <f>+Print_Mois!$Z$418-Print_Mois!$Z$414+Print_Mois!$Z$433+Print_Mois!$Z$434+Print_Mois!$Z$435</f>
        <v>140613.66911741826</v>
      </c>
      <c r="F70" s="1086">
        <f>+Print_Mois!$AL$418-Print_Mois!$AL$414+Print_Mois!$AL$433+Print_Mois!$AL$434+Print_Mois!$AL$435</f>
        <v>145089.82</v>
      </c>
      <c r="G70" s="995">
        <f t="shared" ref="G70:I77" si="34">+IFERROR($C70-D70,"")</f>
        <v>30538.544209648448</v>
      </c>
      <c r="H70" s="996">
        <f t="shared" si="34"/>
        <v>31011.030882581748</v>
      </c>
      <c r="I70" s="997">
        <f t="shared" si="34"/>
        <v>26534.880000000005</v>
      </c>
      <c r="J70" s="1047">
        <f t="shared" ref="J70:J77" si="35">+IFERROR(G70/ABS($D70),"")</f>
        <v>0.21645315969220619</v>
      </c>
      <c r="K70" s="1048">
        <f t="shared" ref="K70:K77" si="36">+IFERROR(H70/ABS($E70),"")</f>
        <v>0.22054065637591924</v>
      </c>
      <c r="L70" s="1049">
        <f t="shared" ref="L70:L77" si="37">+IFERROR(I70/ABS($F70),"")</f>
        <v>0.18288588406822756</v>
      </c>
      <c r="M70" s="1127" t="s">
        <v>2937</v>
      </c>
    </row>
    <row r="71" spans="2:13">
      <c r="B71" s="994" t="s">
        <v>2892</v>
      </c>
      <c r="C71" s="1073">
        <f>+C70/Print_Mois!$AF$406</f>
        <v>0.30097523688042055</v>
      </c>
      <c r="D71" s="1073">
        <f>+D70/Print_Mois!$AC$406</f>
        <v>0.29822484523470683</v>
      </c>
      <c r="E71" s="1073">
        <f>+E70/Print_Mois!$Z$406</f>
        <v>0.31425675381306206</v>
      </c>
      <c r="F71" s="1073">
        <f>+F70/Print_Mois!$AL$406</f>
        <v>0.32618658075419893</v>
      </c>
      <c r="G71" s="998">
        <f t="shared" si="34"/>
        <v>2.7503916457137234E-3</v>
      </c>
      <c r="H71" s="999">
        <f t="shared" si="34"/>
        <v>-1.3281516932641513E-2</v>
      </c>
      <c r="I71" s="1000">
        <f t="shared" si="34"/>
        <v>-2.521134387377838E-2</v>
      </c>
      <c r="J71" s="1047">
        <f t="shared" si="35"/>
        <v>9.2225436266020339E-3</v>
      </c>
      <c r="K71" s="1048">
        <f t="shared" si="36"/>
        <v>-4.2263266489865545E-2</v>
      </c>
      <c r="L71" s="1049">
        <f t="shared" si="37"/>
        <v>-7.7291174319573358E-2</v>
      </c>
      <c r="M71" s="1128"/>
    </row>
    <row r="72" spans="2:13">
      <c r="B72" s="994" t="s">
        <v>2893</v>
      </c>
      <c r="C72" s="1043">
        <f>+Print_Mois!$AF$465+Print_Mois!$AF$432+Print_Mois!$AF$436+Print_Mois!$AF$438+SUM(Print_Mois!$AF$439:$AF$447)+Print_Mois!$AF$437</f>
        <v>344062.19</v>
      </c>
      <c r="D72" s="1043">
        <f>+Print_Mois!$AC$465+Print_Mois!$AC$432+Print_Mois!$AC$436+Print_Mois!$AC$438+SUM(Print_Mois!$AC$439:$AC$447)+Print_Mois!$AC$437</f>
        <v>394182.41335702105</v>
      </c>
      <c r="E72" s="1043">
        <f>+Print_Mois!$Z$465+Print_Mois!$Z$432+Print_Mois!$Z$436+Print_Mois!$Z$438+SUM(Print_Mois!$Z$439:$Z$447)+Print_Mois!$Z$437</f>
        <v>394018.93296818616</v>
      </c>
      <c r="F72" s="1043">
        <f>+Print_Mois!$AL$465+Print_Mois!$AL$432+Print_Mois!$AL$436+Print_Mois!$AL$438+SUM(Print_Mois!$AL$439:$AL$447)+Print_Mois!$AL$437</f>
        <v>404918.91000000003</v>
      </c>
      <c r="G72" s="1001">
        <f t="shared" si="34"/>
        <v>-50120.223357021052</v>
      </c>
      <c r="H72" s="1002">
        <f t="shared" si="34"/>
        <v>-49956.742968186154</v>
      </c>
      <c r="I72" s="1003">
        <f t="shared" si="34"/>
        <v>-60856.72000000003</v>
      </c>
      <c r="J72" s="1047">
        <f t="shared" si="35"/>
        <v>-0.12714982114543474</v>
      </c>
      <c r="K72" s="1048">
        <f>+IFERROR(H72/ABS($E72),"")</f>
        <v>-0.12678767132294061</v>
      </c>
      <c r="L72" s="1049">
        <f t="shared" si="37"/>
        <v>-0.15029359829107519</v>
      </c>
      <c r="M72" s="1128"/>
    </row>
    <row r="73" spans="2:13">
      <c r="B73" s="994" t="s">
        <v>2894</v>
      </c>
      <c r="C73" s="1073">
        <f>+C72/Print_Mois!$AF$406</f>
        <v>0.60337584937859323</v>
      </c>
      <c r="D73" s="1073">
        <f>+D72/Print_Mois!$AC$406</f>
        <v>0.8332142055973436</v>
      </c>
      <c r="E73" s="1073">
        <f>+E72/Print_Mois!$Z$406</f>
        <v>0.88059085288551309</v>
      </c>
      <c r="F73" s="1073">
        <f>+F72/Print_Mois!$AL$406</f>
        <v>0.91032654624299081</v>
      </c>
      <c r="G73" s="998">
        <f t="shared" si="34"/>
        <v>-0.22983835621875037</v>
      </c>
      <c r="H73" s="999">
        <f t="shared" si="34"/>
        <v>-0.27721500350691985</v>
      </c>
      <c r="I73" s="1000">
        <f t="shared" si="34"/>
        <v>-0.30695069686439758</v>
      </c>
      <c r="J73" s="1047">
        <f t="shared" si="35"/>
        <v>-0.27584546047672803</v>
      </c>
      <c r="K73" s="1048">
        <f t="shared" si="36"/>
        <v>-0.31480568143371457</v>
      </c>
      <c r="L73" s="1049">
        <f t="shared" si="37"/>
        <v>-0.33718746106132352</v>
      </c>
      <c r="M73" s="1128"/>
    </row>
    <row r="74" spans="2:13" s="1008" customFormat="1">
      <c r="B74" s="674" t="s">
        <v>2895</v>
      </c>
      <c r="C74" s="664">
        <f>+Print_Mois!$AF$482+Print_Mois!$AF$414</f>
        <v>288800.83999999979</v>
      </c>
      <c r="D74" s="664">
        <f>+Print_Mois!$AC$482+Print_Mois!$AC$414</f>
        <v>48642.785099913177</v>
      </c>
      <c r="E74" s="664">
        <f>+Print_Mois!$Z$482+Print_Mois!$Z$414</f>
        <v>67089.126447332717</v>
      </c>
      <c r="F74" s="664">
        <f>+Print_Mois!$AL$482+Print_Mois!$AL$414</f>
        <v>37576.290000000037</v>
      </c>
      <c r="G74" s="666">
        <f t="shared" si="34"/>
        <v>240158.0549000866</v>
      </c>
      <c r="H74" s="665">
        <f t="shared" si="34"/>
        <v>221711.71355266706</v>
      </c>
      <c r="I74" s="667">
        <f t="shared" si="34"/>
        <v>251224.54999999976</v>
      </c>
      <c r="J74" s="678">
        <f t="shared" si="35"/>
        <v>4.9371773101971348</v>
      </c>
      <c r="K74" s="679">
        <f t="shared" si="36"/>
        <v>3.3047339456225955</v>
      </c>
      <c r="L74" s="680">
        <f t="shared" si="37"/>
        <v>6.6857199047590781</v>
      </c>
      <c r="M74" s="1128"/>
    </row>
    <row r="75" spans="2:13">
      <c r="B75" s="640" t="s">
        <v>2896</v>
      </c>
      <c r="C75" s="1087">
        <f>+C74/Print_Mois!$AF$405</f>
        <v>5.3390513272865134E-2</v>
      </c>
      <c r="D75" s="1087">
        <f>+D74/Print_Mois!$AC$405</f>
        <v>2.3460726482155109E-2</v>
      </c>
      <c r="E75" s="1087">
        <f>+E74/Print_Mois!$Z$405</f>
        <v>3.2357514938230802E-2</v>
      </c>
      <c r="F75" s="1087">
        <f>+F74/Print_Mois!$AL$405</f>
        <v>8.7718833818946421E-3</v>
      </c>
      <c r="G75" s="998">
        <f t="shared" si="34"/>
        <v>2.9929786790710025E-2</v>
      </c>
      <c r="H75" s="999">
        <f t="shared" si="34"/>
        <v>2.1032998334634331E-2</v>
      </c>
      <c r="I75" s="1000">
        <f t="shared" si="34"/>
        <v>4.4618629890970492E-2</v>
      </c>
      <c r="J75" s="1047">
        <f t="shared" si="35"/>
        <v>1.2757399824543143</v>
      </c>
      <c r="K75" s="1048">
        <f t="shared" si="36"/>
        <v>0.65001896390329983</v>
      </c>
      <c r="L75" s="1049">
        <f t="shared" si="37"/>
        <v>5.086550738130458</v>
      </c>
      <c r="M75" s="1128"/>
    </row>
    <row r="76" spans="2:13" s="1008" customFormat="1">
      <c r="B76" s="674" t="s">
        <v>2897</v>
      </c>
      <c r="C76" s="664">
        <f>+Print_Mois!$AF$497</f>
        <v>264799.07999999978</v>
      </c>
      <c r="D76" s="664">
        <f>+Print_Mois!$AC$497</f>
        <v>22469.636420632127</v>
      </c>
      <c r="E76" s="664">
        <f>+Print_Mois!$Z$497</f>
        <v>41038.839246109404</v>
      </c>
      <c r="F76" s="664">
        <f>+Print_Mois!$AL$497</f>
        <v>2859.3200000000397</v>
      </c>
      <c r="G76" s="666">
        <f t="shared" si="34"/>
        <v>242329.44357936765</v>
      </c>
      <c r="H76" s="665">
        <f t="shared" si="34"/>
        <v>223760.24075389036</v>
      </c>
      <c r="I76" s="667">
        <f t="shared" si="34"/>
        <v>261939.75999999975</v>
      </c>
      <c r="J76" s="678">
        <f t="shared" si="35"/>
        <v>10.784751432686971</v>
      </c>
      <c r="K76" s="679">
        <f t="shared" si="36"/>
        <v>5.4524017946024985</v>
      </c>
      <c r="L76" s="680">
        <f t="shared" si="37"/>
        <v>91.609109858286629</v>
      </c>
      <c r="M76" s="1128"/>
    </row>
    <row r="77" spans="2:13">
      <c r="B77" s="1004" t="s">
        <v>2898</v>
      </c>
      <c r="C77" s="1088">
        <f>+C76/Print_Mois!$AF$405</f>
        <v>4.8953316047773532E-2</v>
      </c>
      <c r="D77" s="1088">
        <f>+D76/Print_Mois!$AC$405</f>
        <v>1.0837249411914574E-2</v>
      </c>
      <c r="E77" s="1088">
        <f>+E76/Print_Mois!$Z$405</f>
        <v>1.9793294744955378E-2</v>
      </c>
      <c r="F77" s="1088">
        <f>+F76/Print_Mois!$AL$405</f>
        <v>6.6748531032518937E-4</v>
      </c>
      <c r="G77" s="1005">
        <f t="shared" si="34"/>
        <v>3.811606663585896E-2</v>
      </c>
      <c r="H77" s="1006">
        <f t="shared" si="34"/>
        <v>2.9160021302818154E-2</v>
      </c>
      <c r="I77" s="1007">
        <f t="shared" si="34"/>
        <v>4.828583073744834E-2</v>
      </c>
      <c r="J77" s="1068">
        <f t="shared" si="35"/>
        <v>3.5171347624383174</v>
      </c>
      <c r="K77" s="1069">
        <f t="shared" si="36"/>
        <v>1.4732272559246373</v>
      </c>
      <c r="L77" s="1070">
        <f t="shared" si="37"/>
        <v>72.339915186933723</v>
      </c>
      <c r="M77" s="1129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C476" activePane="bottomRight" state="frozen"/>
      <selection activeCell="C101" sqref="C101"/>
      <selection pane="topRight" activeCell="C101" sqref="C101"/>
      <selection pane="bottomLeft" activeCell="C101" sqref="C101"/>
      <selection pane="bottomRight" activeCell="N496" sqref="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5" t="str">
        <f>"Budget 2021 Mensuel Révisé"&amp;" "&amp;Parametres!$B$1</f>
        <v>Budget 2021 Mensuel Révisé Volks</v>
      </c>
      <c r="C1" s="1125"/>
      <c r="D1" s="1125"/>
      <c r="E1" s="1125"/>
      <c r="F1" s="1125"/>
      <c r="G1" s="1125"/>
      <c r="H1" s="1125"/>
      <c r="I1" s="1125"/>
      <c r="J1" s="1125"/>
      <c r="K1" s="1125"/>
      <c r="L1" s="1125"/>
      <c r="M1" s="1125"/>
      <c r="N1" s="1125"/>
      <c r="O1" s="1125"/>
      <c r="P1" s="1125"/>
      <c r="Q1" s="1125"/>
      <c r="R1" s="1125"/>
      <c r="S1" s="1125"/>
      <c r="T1" s="1125"/>
      <c r="U1" s="1125"/>
      <c r="V1" s="1125"/>
      <c r="W1" s="1125"/>
      <c r="X1" s="1125"/>
      <c r="Y1" s="1125"/>
      <c r="Z1" s="1125"/>
      <c r="AA1" s="1125"/>
      <c r="AB1" s="1125"/>
      <c r="AC1" s="1125"/>
      <c r="AD1" s="1125"/>
      <c r="AE1" s="1125"/>
      <c r="AF1" s="1125"/>
      <c r="AG1" s="1125"/>
      <c r="AH1" s="1125"/>
      <c r="AI1" s="1125"/>
      <c r="AJ1" s="1125"/>
      <c r="AK1" s="1125"/>
      <c r="AL1" s="1125"/>
      <c r="AM1" s="1125"/>
      <c r="AN1" s="1125"/>
      <c r="AO1" s="1125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126" t="s">
        <v>75</v>
      </c>
      <c r="D4" s="1126"/>
      <c r="E4" s="1126"/>
      <c r="F4" s="1126"/>
      <c r="G4" s="1126"/>
      <c r="H4" s="1126"/>
      <c r="I4" s="1126"/>
      <c r="J4" s="1126"/>
      <c r="K4" s="1126"/>
      <c r="L4" s="1126"/>
      <c r="M4" s="1126"/>
      <c r="N4" s="1126"/>
      <c r="O4" s="1126"/>
      <c r="P4" s="1126"/>
      <c r="Q4" s="1126"/>
      <c r="R4" s="1126"/>
      <c r="S4" s="1126"/>
      <c r="T4" s="1126"/>
      <c r="U4" s="1126"/>
      <c r="V4" s="1126"/>
      <c r="W4" s="1126"/>
      <c r="X4" s="1126"/>
      <c r="Y4" s="1126"/>
      <c r="Z4" s="1126"/>
      <c r="AA4" s="1126"/>
      <c r="AB4" s="1126"/>
      <c r="AC4" s="1126"/>
      <c r="AD4" s="1126"/>
      <c r="AE4" s="1126"/>
      <c r="AF4" s="1126"/>
      <c r="AG4" s="1126"/>
      <c r="AH4" s="1126"/>
      <c r="AI4" s="1126"/>
      <c r="AJ4" s="1126"/>
      <c r="AK4" s="1126"/>
      <c r="AL4" s="1126"/>
      <c r="AM4" s="1126"/>
      <c r="AN4" s="1126"/>
      <c r="AO4" s="1126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31">
        <v>2021</v>
      </c>
      <c r="D6" s="1132"/>
      <c r="E6" s="1133"/>
      <c r="F6" s="1038" t="s">
        <v>1934</v>
      </c>
      <c r="G6" s="1039"/>
      <c r="H6" s="1040"/>
      <c r="I6" s="1038" t="s">
        <v>1935</v>
      </c>
      <c r="J6" s="1039"/>
      <c r="K6" s="1040"/>
      <c r="L6" s="1038" t="s">
        <v>1936</v>
      </c>
      <c r="M6" s="1039"/>
      <c r="N6" s="1040"/>
      <c r="O6" s="1038" t="s">
        <v>1937</v>
      </c>
      <c r="P6" s="1039"/>
      <c r="Q6" s="1040"/>
      <c r="R6" s="1038" t="s">
        <v>1938</v>
      </c>
      <c r="S6" s="1039"/>
      <c r="T6" s="1040"/>
      <c r="U6" s="1038" t="s">
        <v>1916</v>
      </c>
      <c r="V6" s="1039"/>
      <c r="W6" s="1040"/>
      <c r="X6" s="1038" t="s">
        <v>1939</v>
      </c>
      <c r="Y6" s="1039"/>
      <c r="Z6" s="1040"/>
      <c r="AA6" s="1038" t="s">
        <v>1940</v>
      </c>
      <c r="AB6" s="1039"/>
      <c r="AC6" s="1040"/>
      <c r="AD6" s="1038" t="s">
        <v>3</v>
      </c>
      <c r="AE6" s="1039"/>
      <c r="AF6" s="1040"/>
      <c r="AG6" s="1038" t="s">
        <v>1941</v>
      </c>
      <c r="AH6" s="1039"/>
      <c r="AI6" s="1040"/>
      <c r="AJ6" s="1038" t="s">
        <v>1942</v>
      </c>
      <c r="AK6" s="1039"/>
      <c r="AL6" s="1040"/>
      <c r="AM6" s="1038" t="s">
        <v>1943</v>
      </c>
      <c r="AN6" s="1039"/>
      <c r="AO6" s="1040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31">
        <v>2021</v>
      </c>
      <c r="D94" s="1132"/>
      <c r="E94" s="1133"/>
      <c r="F94" s="1038" t="s">
        <v>1934</v>
      </c>
      <c r="G94" s="1039"/>
      <c r="H94" s="1040"/>
      <c r="I94" s="1038" t="s">
        <v>1935</v>
      </c>
      <c r="J94" s="1039"/>
      <c r="K94" s="1040"/>
      <c r="L94" s="1038" t="s">
        <v>1936</v>
      </c>
      <c r="M94" s="1039"/>
      <c r="N94" s="1040"/>
      <c r="O94" s="1038" t="s">
        <v>1937</v>
      </c>
      <c r="P94" s="1039"/>
      <c r="Q94" s="1040"/>
      <c r="R94" s="1038" t="s">
        <v>1938</v>
      </c>
      <c r="S94" s="1039"/>
      <c r="T94" s="1040"/>
      <c r="U94" s="1038" t="s">
        <v>1916</v>
      </c>
      <c r="V94" s="1039"/>
      <c r="W94" s="1040"/>
      <c r="X94" s="1038" t="s">
        <v>1939</v>
      </c>
      <c r="Y94" s="1039"/>
      <c r="Z94" s="1040"/>
      <c r="AA94" s="1038" t="s">
        <v>1940</v>
      </c>
      <c r="AB94" s="1039"/>
      <c r="AC94" s="1040"/>
      <c r="AD94" s="1038" t="s">
        <v>3</v>
      </c>
      <c r="AE94" s="1039"/>
      <c r="AF94" s="1040"/>
      <c r="AG94" s="1038" t="s">
        <v>1941</v>
      </c>
      <c r="AH94" s="1039"/>
      <c r="AI94" s="1040"/>
      <c r="AJ94" s="1038" t="s">
        <v>1942</v>
      </c>
      <c r="AK94" s="1039"/>
      <c r="AL94" s="1040"/>
      <c r="AM94" s="1038" t="s">
        <v>1943</v>
      </c>
      <c r="AN94" s="1039"/>
      <c r="AO94" s="1040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31">
        <v>2021</v>
      </c>
      <c r="D172" s="1132"/>
      <c r="E172" s="1133"/>
      <c r="F172" s="1038" t="s">
        <v>1934</v>
      </c>
      <c r="G172" s="1039"/>
      <c r="H172" s="1040"/>
      <c r="I172" s="1038" t="s">
        <v>1935</v>
      </c>
      <c r="J172" s="1039"/>
      <c r="K172" s="1040"/>
      <c r="L172" s="1038" t="s">
        <v>1936</v>
      </c>
      <c r="M172" s="1039"/>
      <c r="N172" s="1040"/>
      <c r="O172" s="1038" t="s">
        <v>1937</v>
      </c>
      <c r="P172" s="1039"/>
      <c r="Q172" s="1040"/>
      <c r="R172" s="1038" t="s">
        <v>1938</v>
      </c>
      <c r="S172" s="1039"/>
      <c r="T172" s="1040"/>
      <c r="U172" s="1038" t="s">
        <v>1916</v>
      </c>
      <c r="V172" s="1039"/>
      <c r="W172" s="1040"/>
      <c r="X172" s="1038" t="s">
        <v>1939</v>
      </c>
      <c r="Y172" s="1039"/>
      <c r="Z172" s="1040"/>
      <c r="AA172" s="1038" t="s">
        <v>1940</v>
      </c>
      <c r="AB172" s="1039"/>
      <c r="AC172" s="1040"/>
      <c r="AD172" s="1038" t="s">
        <v>3</v>
      </c>
      <c r="AE172" s="1039"/>
      <c r="AF172" s="1040"/>
      <c r="AG172" s="1038" t="s">
        <v>1941</v>
      </c>
      <c r="AH172" s="1039"/>
      <c r="AI172" s="1040"/>
      <c r="AJ172" s="1038" t="s">
        <v>1942</v>
      </c>
      <c r="AK172" s="1039"/>
      <c r="AL172" s="1040"/>
      <c r="AM172" s="1038" t="s">
        <v>1943</v>
      </c>
      <c r="AN172" s="1039"/>
      <c r="AO172" s="1040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31">
        <v>2021</v>
      </c>
      <c r="D239" s="1132"/>
      <c r="E239" s="1133"/>
      <c r="F239" s="1038" t="s">
        <v>1934</v>
      </c>
      <c r="G239" s="1039"/>
      <c r="H239" s="1040"/>
      <c r="I239" s="1038" t="s">
        <v>1935</v>
      </c>
      <c r="J239" s="1039"/>
      <c r="K239" s="1040"/>
      <c r="L239" s="1038" t="s">
        <v>1936</v>
      </c>
      <c r="M239" s="1039"/>
      <c r="N239" s="1040"/>
      <c r="O239" s="1038" t="s">
        <v>1937</v>
      </c>
      <c r="P239" s="1039"/>
      <c r="Q239" s="1040"/>
      <c r="R239" s="1038" t="s">
        <v>1938</v>
      </c>
      <c r="S239" s="1039"/>
      <c r="T239" s="1040"/>
      <c r="U239" s="1038" t="s">
        <v>1916</v>
      </c>
      <c r="V239" s="1039"/>
      <c r="W239" s="1040"/>
      <c r="X239" s="1038" t="s">
        <v>1939</v>
      </c>
      <c r="Y239" s="1039"/>
      <c r="Z239" s="1040"/>
      <c r="AA239" s="1038" t="s">
        <v>1940</v>
      </c>
      <c r="AB239" s="1039"/>
      <c r="AC239" s="1040"/>
      <c r="AD239" s="1038" t="s">
        <v>3</v>
      </c>
      <c r="AE239" s="1039"/>
      <c r="AF239" s="1040"/>
      <c r="AG239" s="1038" t="s">
        <v>1941</v>
      </c>
      <c r="AH239" s="1039"/>
      <c r="AI239" s="1040"/>
      <c r="AJ239" s="1038" t="s">
        <v>1942</v>
      </c>
      <c r="AK239" s="1039"/>
      <c r="AL239" s="1040"/>
      <c r="AM239" s="1038" t="s">
        <v>1943</v>
      </c>
      <c r="AN239" s="1039"/>
      <c r="AO239" s="1040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31">
        <v>2021</v>
      </c>
      <c r="D293" s="1132"/>
      <c r="E293" s="1133"/>
      <c r="F293" s="1038" t="s">
        <v>1934</v>
      </c>
      <c r="G293" s="1039"/>
      <c r="H293" s="1040"/>
      <c r="I293" s="1038" t="s">
        <v>1935</v>
      </c>
      <c r="J293" s="1039"/>
      <c r="K293" s="1040"/>
      <c r="L293" s="1038" t="s">
        <v>1936</v>
      </c>
      <c r="M293" s="1039"/>
      <c r="N293" s="1040"/>
      <c r="O293" s="1038" t="s">
        <v>1937</v>
      </c>
      <c r="P293" s="1039"/>
      <c r="Q293" s="1040"/>
      <c r="R293" s="1038" t="s">
        <v>1938</v>
      </c>
      <c r="S293" s="1039"/>
      <c r="T293" s="1040"/>
      <c r="U293" s="1038" t="s">
        <v>1916</v>
      </c>
      <c r="V293" s="1039"/>
      <c r="W293" s="1040"/>
      <c r="X293" s="1038" t="s">
        <v>1939</v>
      </c>
      <c r="Y293" s="1039"/>
      <c r="Z293" s="1040"/>
      <c r="AA293" s="1038" t="s">
        <v>1940</v>
      </c>
      <c r="AB293" s="1039"/>
      <c r="AC293" s="1040"/>
      <c r="AD293" s="1038" t="s">
        <v>3</v>
      </c>
      <c r="AE293" s="1039"/>
      <c r="AF293" s="1040"/>
      <c r="AG293" s="1038" t="s">
        <v>1941</v>
      </c>
      <c r="AH293" s="1039"/>
      <c r="AI293" s="1040"/>
      <c r="AJ293" s="1038" t="s">
        <v>1942</v>
      </c>
      <c r="AK293" s="1039"/>
      <c r="AL293" s="1040"/>
      <c r="AM293" s="1038" t="s">
        <v>1943</v>
      </c>
      <c r="AN293" s="1039"/>
      <c r="AO293" s="1040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31">
        <v>2021</v>
      </c>
      <c r="D357" s="1132"/>
      <c r="E357" s="1133"/>
      <c r="F357" s="1038" t="s">
        <v>1934</v>
      </c>
      <c r="G357" s="1039"/>
      <c r="H357" s="1040"/>
      <c r="I357" s="1038" t="s">
        <v>1935</v>
      </c>
      <c r="J357" s="1039"/>
      <c r="K357" s="1040"/>
      <c r="L357" s="1038" t="s">
        <v>1936</v>
      </c>
      <c r="M357" s="1039"/>
      <c r="N357" s="1040"/>
      <c r="O357" s="1038" t="s">
        <v>1937</v>
      </c>
      <c r="P357" s="1039"/>
      <c r="Q357" s="1040"/>
      <c r="R357" s="1038" t="s">
        <v>1938</v>
      </c>
      <c r="S357" s="1039"/>
      <c r="T357" s="1040"/>
      <c r="U357" s="1038" t="s">
        <v>1916</v>
      </c>
      <c r="V357" s="1039"/>
      <c r="W357" s="1040"/>
      <c r="X357" s="1038" t="s">
        <v>1939</v>
      </c>
      <c r="Y357" s="1039"/>
      <c r="Z357" s="1040"/>
      <c r="AA357" s="1038" t="s">
        <v>1940</v>
      </c>
      <c r="AB357" s="1039"/>
      <c r="AC357" s="1040"/>
      <c r="AD357" s="1038" t="s">
        <v>3</v>
      </c>
      <c r="AE357" s="1039"/>
      <c r="AF357" s="1040"/>
      <c r="AG357" s="1038" t="s">
        <v>1941</v>
      </c>
      <c r="AH357" s="1039"/>
      <c r="AI357" s="1040"/>
      <c r="AJ357" s="1038" t="s">
        <v>1942</v>
      </c>
      <c r="AK357" s="1039"/>
      <c r="AL357" s="1040"/>
      <c r="AM357" s="1038" t="s">
        <v>1943</v>
      </c>
      <c r="AN357" s="1039"/>
      <c r="AO357" s="1040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31">
        <v>2021</v>
      </c>
      <c r="D403" s="1132"/>
      <c r="E403" s="1133"/>
      <c r="F403" s="1038" t="s">
        <v>1934</v>
      </c>
      <c r="G403" s="1039"/>
      <c r="H403" s="1040"/>
      <c r="I403" s="1038" t="s">
        <v>1935</v>
      </c>
      <c r="J403" s="1039"/>
      <c r="K403" s="1040"/>
      <c r="L403" s="1038" t="s">
        <v>1936</v>
      </c>
      <c r="M403" s="1039"/>
      <c r="N403" s="1040"/>
      <c r="O403" s="1038" t="s">
        <v>1937</v>
      </c>
      <c r="P403" s="1039"/>
      <c r="Q403" s="1040"/>
      <c r="R403" s="1038" t="s">
        <v>1938</v>
      </c>
      <c r="S403" s="1039"/>
      <c r="T403" s="1040"/>
      <c r="U403" s="1038" t="s">
        <v>1916</v>
      </c>
      <c r="V403" s="1039"/>
      <c r="W403" s="1040"/>
      <c r="X403" s="1038" t="s">
        <v>1939</v>
      </c>
      <c r="Y403" s="1039"/>
      <c r="Z403" s="1040"/>
      <c r="AA403" s="1038" t="s">
        <v>1940</v>
      </c>
      <c r="AB403" s="1039"/>
      <c r="AC403" s="1040"/>
      <c r="AD403" s="1038" t="s">
        <v>3</v>
      </c>
      <c r="AE403" s="1039"/>
      <c r="AF403" s="1040"/>
      <c r="AG403" s="1038" t="s">
        <v>1941</v>
      </c>
      <c r="AH403" s="1039"/>
      <c r="AI403" s="1040"/>
      <c r="AJ403" s="1038" t="s">
        <v>1942</v>
      </c>
      <c r="AK403" s="1039"/>
      <c r="AL403" s="1040"/>
      <c r="AM403" s="1038" t="s">
        <v>1943</v>
      </c>
      <c r="AN403" s="1039"/>
      <c r="AO403" s="1040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tabSelected="1" view="pageBreakPreview" topLeftCell="C1" zoomScale="55" zoomScaleNormal="55" zoomScaleSheetLayoutView="55" workbookViewId="0">
      <selection activeCell="AC457" sqref="AC457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34" t="s">
        <v>77</v>
      </c>
      <c r="E3" s="1135"/>
      <c r="F3" s="1136"/>
      <c r="G3" s="1137" t="s">
        <v>78</v>
      </c>
      <c r="H3" s="1135"/>
      <c r="I3" s="1136"/>
      <c r="J3" s="1137" t="s">
        <v>79</v>
      </c>
      <c r="K3" s="1135"/>
      <c r="L3" s="1136"/>
      <c r="M3" s="1137" t="s">
        <v>80</v>
      </c>
      <c r="N3" s="1136"/>
      <c r="O3" s="1134" t="s">
        <v>81</v>
      </c>
      <c r="P3" s="1135"/>
      <c r="Q3" s="1136"/>
      <c r="R3" s="1137" t="s">
        <v>82</v>
      </c>
      <c r="S3" s="1138"/>
      <c r="T3" s="25"/>
      <c r="U3" s="25"/>
      <c r="V3" s="969" t="s">
        <v>2884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2885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678330.08198413614</v>
      </c>
      <c r="G5" s="310"/>
      <c r="H5" s="422"/>
      <c r="I5" s="627">
        <f>+INDEX('Budget révisé'!$A$2:$AO$496,MATCH($A5,'Budget révisé'!$A$2:$A$496,0),MATCH(I$2,'Budget révisé'!$A$2:$AO$2,0))</f>
        <v>678330.08198413614</v>
      </c>
      <c r="J5" s="310"/>
      <c r="K5" s="184"/>
      <c r="L5" s="177">
        <f>-SUMIFS(BV_Data_An_Cour!$O:$O,BV_Data_An_Cour!$X:$X,"Oui",BV_Data_An_Cour!$U:$U,$B5)</f>
        <v>3240605.2</v>
      </c>
      <c r="M5" s="423"/>
      <c r="N5" s="424"/>
      <c r="O5" s="310"/>
      <c r="P5" s="184"/>
      <c r="Q5" s="177">
        <f>-SUMIFS(BV_Data_An_Prec!$O:$O,BV_Data_An_Prec!$X:$X,"Oui",BV_Data_An_Prec!$U:$U,$B5)</f>
        <v>2855919.92</v>
      </c>
      <c r="R5" s="423"/>
      <c r="S5" s="425"/>
      <c r="T5" s="222"/>
      <c r="U5" s="222"/>
      <c r="V5" s="983" t="s">
        <v>2886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24.706978036209659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14930.190357854748</v>
      </c>
      <c r="G6" s="182">
        <f>+INDEX('Budget révisé'!$A$2:$AO$496,MATCH($A6,'Budget révisé'!$A$2:$A$496,0),MATCH(G$2,'Budget révisé'!$A$2:$AO$2,0))</f>
        <v>24.706978036209659</v>
      </c>
      <c r="H6" s="179">
        <f>IF(G6=0,0,I6/G6)</f>
        <v>955.05621789951272</v>
      </c>
      <c r="I6" s="179">
        <f>+INDEX('Budget révisé'!$A$2:$AO$496,MATCH($A6,'Budget révisé'!$A$2:$A$496,0),MATCH(I$2,'Budget révisé'!$A$2:$AO$2,0))</f>
        <v>23596.552998988725</v>
      </c>
      <c r="J6" s="182">
        <f>-SUMIFS(BV_Data_An_Cour!$O:$O,BV_Data_An_Cour!$U:$U,$B6,BV_Data_An_Cour!$V:$V,$C6,BV_Data_An_Cour!$W:$W,J$2)</f>
        <v>32</v>
      </c>
      <c r="K6" s="179">
        <f>IF(J6=0,0,L6/J6)</f>
        <v>1097.7471874999956</v>
      </c>
      <c r="L6" s="554">
        <f>-SUMIFS(BV_Data_An_Cour!$O:$O,BV_Data_An_Cour!$U:$U,$B6,BV_Data_An_Cour!$V:$V,$C6,BV_Data_An_Cour!$W:$W,L$2)</f>
        <v>35127.909999999858</v>
      </c>
      <c r="M6" s="182">
        <f t="shared" ref="M6" si="2">J6-G6</f>
        <v>7.2930219637903413</v>
      </c>
      <c r="N6" s="180">
        <f>L6-I6</f>
        <v>11531.357001011133</v>
      </c>
      <c r="O6" s="1041">
        <f>-SUMIFS(BV_Data_An_Prec!$O:$O,BV_Data_An_Prec!$U:$U,$B6,BV_Data_An_Prec!$V:$V,$C6,BV_Data_An_Prec!$W:$W,O$2)-3</f>
        <v>41</v>
      </c>
      <c r="P6" s="179">
        <f>IF(O6=0,0,Q6/O6)</f>
        <v>492.62536585365604</v>
      </c>
      <c r="Q6" s="554">
        <f>-SUMIFS(BV_Data_An_Prec!$O:$O,BV_Data_An_Prec!$U:$U,$B6,BV_Data_An_Prec!$V:$V,$C6,BV_Data_An_Prec!$W:$W,Q$2)</f>
        <v>20197.639999999898</v>
      </c>
      <c r="R6" s="182">
        <f t="shared" ref="R6" si="3">J6-O6</f>
        <v>-9</v>
      </c>
      <c r="S6" s="399">
        <f t="shared" ref="S6" si="4">L6-Q6</f>
        <v>14930.26999999996</v>
      </c>
      <c r="T6" s="222"/>
      <c r="U6" s="222"/>
      <c r="V6" s="983" t="s">
        <v>2887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33.187260926525845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43657.14864880083</v>
      </c>
      <c r="G7" s="182">
        <f>+INDEX('Budget révisé'!$A$2:$AO$496,MATCH($A7,'Budget révisé'!$A$2:$A$496,0),MATCH(G$2,'Budget révisé'!$A$2:$AO$2,0))</f>
        <v>33.187260926525845</v>
      </c>
      <c r="H7" s="179">
        <f t="shared" ref="H7:H12" si="7">IF(G7=0,0,I7/G7)</f>
        <v>1702.6668817908317</v>
      </c>
      <c r="I7" s="179">
        <f>+INDEX('Budget révisé'!$A$2:$AO$496,MATCH($A7,'Budget révisé'!$A$2:$A$496,0),MATCH(I$2,'Budget révisé'!$A$2:$AO$2,0))</f>
        <v>56506.850076946466</v>
      </c>
      <c r="J7" s="182">
        <f>-SUMIFS(BV_Data_An_Cour!$O:$O,BV_Data_An_Cour!$U:$U,$B7,BV_Data_An_Cour!$V:$V,$C7,BV_Data_An_Cour!$W:$W,J$2)</f>
        <v>37</v>
      </c>
      <c r="K7" s="179">
        <f t="shared" ref="K7:K12" si="8">IF(J7=0,0,L7/J7)</f>
        <v>2171.0772972972968</v>
      </c>
      <c r="L7" s="554">
        <f>-SUMIFS(BV_Data_An_Cour!$O:$O,BV_Data_An_Cour!$U:$U,$B7,BV_Data_An_Cour!$V:$V,$C7,BV_Data_An_Cour!$W:$W,L$2)</f>
        <v>80329.859999999986</v>
      </c>
      <c r="M7" s="182">
        <f t="shared" ref="M7:M12" si="9">J7-G7</f>
        <v>3.8127390734741553</v>
      </c>
      <c r="N7" s="180">
        <f t="shared" ref="N7:N12" si="10">L7-I7</f>
        <v>23823.00992305352</v>
      </c>
      <c r="O7" s="182">
        <f>-SUMIFS(BV_Data_An_Prec!$O:$O,BV_Data_An_Prec!$U:$U,$B7,BV_Data_An_Prec!$V:$V,$C7,BV_Data_An_Prec!$W:$W,O$2)</f>
        <v>34</v>
      </c>
      <c r="P7" s="179">
        <f t="shared" ref="P7:P12" si="11">IF(O7=0,0,Q7/O7)</f>
        <v>622.44558823529826</v>
      </c>
      <c r="Q7" s="554">
        <f>-SUMIFS(BV_Data_An_Prec!$O:$O,BV_Data_An_Prec!$U:$U,$B7,BV_Data_An_Prec!$V:$V,$C7,BV_Data_An_Prec!$W:$W,Q$2)</f>
        <v>21163.15000000014</v>
      </c>
      <c r="R7" s="182">
        <f t="shared" ref="R7:R12" si="12">J7-O7</f>
        <v>3</v>
      </c>
      <c r="S7" s="399">
        <f t="shared" ref="S7:S12" si="13">L7-Q7</f>
        <v>59166.709999999846</v>
      </c>
      <c r="T7" s="222"/>
      <c r="U7" s="222"/>
      <c r="V7" s="969" t="s">
        <v>2888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57.8942389627355</v>
      </c>
      <c r="E13" s="401">
        <f>IF(D13&lt;=0,0,F13/D13)</f>
        <v>1011.9718309859156</v>
      </c>
      <c r="F13" s="402">
        <f>+SUM(F6:F12)</f>
        <v>58587.33900665558</v>
      </c>
      <c r="G13" s="403">
        <f>+SUM(G6:G12)</f>
        <v>57.8942389627355</v>
      </c>
      <c r="H13" s="401">
        <f>IF(G13&lt;=0,0,I13/G13)</f>
        <v>1383.616133679466</v>
      </c>
      <c r="I13" s="402">
        <f>+SUM(I6:I12)</f>
        <v>80103.403075935188</v>
      </c>
      <c r="J13" s="403">
        <f>+SUM(J6:J12)</f>
        <v>69</v>
      </c>
      <c r="K13" s="401">
        <f>IF(J13&lt;=0,0,L13/J13)</f>
        <v>1673.3010144927514</v>
      </c>
      <c r="L13" s="402">
        <f>+SUM(L6:L12)</f>
        <v>115457.76999999984</v>
      </c>
      <c r="M13" s="403">
        <f>+SUM(M6:M12)</f>
        <v>11.105761037264497</v>
      </c>
      <c r="N13" s="402">
        <f>+SUM(N6:N12)</f>
        <v>35354.366924064656</v>
      </c>
      <c r="O13" s="403">
        <f>+SUM(O6:O12)</f>
        <v>75</v>
      </c>
      <c r="P13" s="401">
        <f>IF(O13&lt;=0,0,Q13/O13)</f>
        <v>551.47720000000049</v>
      </c>
      <c r="Q13" s="402">
        <f>+SUM(Q6:Q12)</f>
        <v>41360.790000000037</v>
      </c>
      <c r="R13" s="403">
        <f>+SUM(R6:R12)</f>
        <v>-6</v>
      </c>
      <c r="S13" s="404">
        <f>+SUM(S6:S12)</f>
        <v>74096.979999999807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0.19182843122634166</v>
      </c>
      <c r="N14" s="332">
        <f>IF(I13=0,0,N13/I13)</f>
        <v>0.44135911292744917</v>
      </c>
      <c r="O14" s="303"/>
      <c r="P14" s="179"/>
      <c r="Q14" s="312"/>
      <c r="R14" s="362">
        <f>R13/O13</f>
        <v>-0.08</v>
      </c>
      <c r="S14" s="333">
        <f>IF(Q13=0,0,(S13/Q13))</f>
        <v>1.7914788378074922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6.0340474411865177</v>
      </c>
      <c r="E15" s="184">
        <f t="shared" ref="E15" si="15">IF(D15=0,0,F15/D15)</f>
        <v>400.00000000000006</v>
      </c>
      <c r="F15" s="177">
        <f>+INDEX('Budget original'!$A$2:$AO$496,MATCH($A15,'Budget original'!$A$2:$A$496,0),MATCH(F$2,'Budget original'!$A$2:$AO$2,0))</f>
        <v>2413.6189764746073</v>
      </c>
      <c r="G15" s="183">
        <f>+INDEX('Budget révisé'!$A$2:$AO$496,MATCH($A15,'Budget révisé'!$A$2:$A$496,0),MATCH(G$2,'Budget révisé'!$A$2:$AO$2,0))</f>
        <v>6.0340474411865177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4767.1013303402733</v>
      </c>
      <c r="J15" s="1042">
        <f>-SUMIFS(BV_Data_An_Cour!$O:$O,BV_Data_An_Cour!$U:$U,$B15,BV_Data_An_Cour!$V:$V,$C15,BV_Data_An_Cour!$W:$W,J$2)</f>
        <v>9</v>
      </c>
      <c r="K15" s="549">
        <f>IF(J15=0,0,L15/J15)</f>
        <v>754.3644444444443</v>
      </c>
      <c r="L15" s="549">
        <f>-SUMIFS(BV_Data_An_Cour!$O:$O,BV_Data_An_Cour!$U:$U,$B15,BV_Data_An_Cour!$V:$V,$C15,BV_Data_An_Cour!$W:$W,L$2)</f>
        <v>6789.2799999999988</v>
      </c>
      <c r="M15" s="406">
        <f>J15-G15</f>
        <v>2.9659525588134823</v>
      </c>
      <c r="N15" s="405">
        <f>L15-I15</f>
        <v>2022.1786696597255</v>
      </c>
      <c r="O15" s="548">
        <f>-SUMIFS(BV_Data_An_Prec!$O:$O,BV_Data_An_Prec!$U:$U,$B15,BV_Data_An_Prec!$V:$V,$C15,BV_Data_An_Prec!$W:$W,O$2)</f>
        <v>0</v>
      </c>
      <c r="P15" s="549">
        <f>IF(O15=0,0,Q15/O15)</f>
        <v>0</v>
      </c>
      <c r="Q15" s="549">
        <f>-SUMIFS(BV_Data_An_Prec!$O:$O,BV_Data_An_Prec!$U:$U,$B15,BV_Data_An_Prec!$V:$V,$C15,BV_Data_An_Prec!$W:$W,Q$2)</f>
        <v>0</v>
      </c>
      <c r="R15" s="406">
        <f>J15-O15</f>
        <v>9</v>
      </c>
      <c r="S15" s="427">
        <f>L15-Q15</f>
        <v>6789.2799999999988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2.210773577378093</v>
      </c>
      <c r="H17" s="179">
        <f t="shared" ref="H17" si="18">IF(G17=0,0,I17/G17)</f>
        <v>800</v>
      </c>
      <c r="I17" s="179">
        <f>+INDEX('Budget révisé'!$A$2:$AO$496,MATCH($A17,'Budget révisé'!$A$2:$A$496,0),MATCH(I$2,'Budget révisé'!$A$2:$AO$2,0))</f>
        <v>1768.6188619024745</v>
      </c>
      <c r="J17" s="406">
        <f>-SUMIFS(BV_Data_An_Cour!$O:$O,BV_Data_An_Cour!$U:$U,$B17,BV_Data_An_Cour!$V:$V,$C17,BV_Data_An_Cour!$W:$W,J$2)</f>
        <v>3</v>
      </c>
      <c r="K17" s="179">
        <f>IF(J17=0,0,L17/J17)</f>
        <v>1019.75</v>
      </c>
      <c r="L17" s="180">
        <f>-SUMIFS(BV_Data_An_Cour!$O:$O,BV_Data_An_Cour!$U:$U,$B17,BV_Data_An_Cour!$V:$V,$C17,BV_Data_An_Cour!$W:$W,L$2)</f>
        <v>3059.25</v>
      </c>
      <c r="M17" s="406">
        <f>J17-G17</f>
        <v>0.78922642262190701</v>
      </c>
      <c r="N17" s="180">
        <f>L17-I17</f>
        <v>1290.6311380975255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3</v>
      </c>
      <c r="S17" s="399">
        <f>L17-Q17</f>
        <v>3059.25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6884.3699999999953</v>
      </c>
      <c r="M19" s="182"/>
      <c r="N19" s="180">
        <f>L19-I19</f>
        <v>1884.3699999999953</v>
      </c>
      <c r="O19" s="183"/>
      <c r="P19" s="179"/>
      <c r="Q19" s="180">
        <f>-SUMIFS(BV_Data_An_Prec!$O:$O,BV_Data_An_Prec!$U:$U,$B19,BV_Data_An_Prec!$V:$V,$C19,BV_Data_An_Prec!$W:$W,Q$2)</f>
        <v>6677.4500000000116</v>
      </c>
      <c r="R19" s="182">
        <f>O19-K19</f>
        <v>0</v>
      </c>
      <c r="S19" s="399">
        <f>L19-Q19</f>
        <v>206.9199999999837</v>
      </c>
      <c r="T19" s="222"/>
      <c r="U19" s="25" t="s">
        <v>6</v>
      </c>
      <c r="V19" s="1089">
        <f>G13+G15+G17</f>
        <v>66.139059981300107</v>
      </c>
      <c r="W19" s="1089">
        <f>I13+I15+I17</f>
        <v>86639.123268177937</v>
      </c>
      <c r="X19" s="1090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89">
        <f>J13+J15+J17</f>
        <v>81</v>
      </c>
      <c r="W20" s="1089">
        <f>L13+L15+L17</f>
        <v>125306.29999999984</v>
      </c>
      <c r="X20" s="1090">
        <f>W20/V20</f>
        <v>1546.9913580246894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6014.3600207550835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6014.3600207550835</v>
      </c>
      <c r="J21" s="182"/>
      <c r="K21" s="179">
        <f>IF(J13=0,0,L21/(J13+J15))</f>
        <v>-13.910512820512821</v>
      </c>
      <c r="L21" s="180">
        <f>-SUMIFS(BV_Data_An_Cour!$O:$O,BV_Data_An_Cour!$U:$U,$B21,BV_Data_An_Cour!$V:$V,$C21,BV_Data_An_Cour!$W:$W,L$2)</f>
        <v>-1085.02</v>
      </c>
      <c r="M21" s="182"/>
      <c r="N21" s="180">
        <f t="shared" ref="N21:N24" si="23">L21-I21</f>
        <v>-7099.380020755083</v>
      </c>
      <c r="O21" s="182"/>
      <c r="P21" s="179">
        <f>IF(O13=0,0,Q21/(O13+O15))</f>
        <v>88.860133333333337</v>
      </c>
      <c r="Q21" s="180">
        <f>-SUMIFS(BV_Data_An_Prec!$O:$O,BV_Data_An_Prec!$U:$U,$B21,BV_Data_An_Prec!$V:$V,$C21,BV_Data_An_Prec!$W:$W,Q$2)</f>
        <v>6664.51</v>
      </c>
      <c r="R21" s="182">
        <f t="shared" ref="R21:R23" si="24">O21-K21</f>
        <v>13.910512820512821</v>
      </c>
      <c r="S21" s="399">
        <f t="shared" ref="S21:S24" si="25">L21-Q21</f>
        <v>-7749.5300000000007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47135.79830219681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47135.79830219681</v>
      </c>
      <c r="J22" s="182"/>
      <c r="K22" s="179">
        <f>IF(J13=0,0,L22/(J13+J15))</f>
        <v>674.86</v>
      </c>
      <c r="L22" s="180">
        <f>-SUMIFS(BV_Data_An_Cour!$O:$O,BV_Data_An_Cour!$U:$U,$B22,BV_Data_An_Cour!$V:$V,$C22,BV_Data_An_Cour!$W:$W,L$2)</f>
        <v>52639.08</v>
      </c>
      <c r="M22" s="182"/>
      <c r="N22" s="180">
        <f t="shared" si="23"/>
        <v>5503.2816978031915</v>
      </c>
      <c r="O22" s="182"/>
      <c r="P22" s="179">
        <f>IF(O13=0,0,Q22/(O13+O15))</f>
        <v>502.97666666666669</v>
      </c>
      <c r="Q22" s="180">
        <f>-SUMIFS(BV_Data_An_Prec!$O:$O,BV_Data_An_Prec!$U:$U,$B22,BV_Data_An_Prec!$V:$V,$C22,BV_Data_An_Prec!$W:$W,Q$2)</f>
        <v>37723.25</v>
      </c>
      <c r="R22" s="182">
        <f t="shared" si="24"/>
        <v>-674.86</v>
      </c>
      <c r="S22" s="399">
        <f t="shared" si="25"/>
        <v>14915.830000000002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1188.8851203818188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1188.8851203818188</v>
      </c>
      <c r="J23" s="182"/>
      <c r="K23" s="179">
        <f>IF(J13=0,0,L23/(J13+J15))</f>
        <v>25.959230769230768</v>
      </c>
      <c r="L23" s="180">
        <f>-SUMIFS(BV_Data_An_Cour!$O:$O,BV_Data_An_Cour!$U:$U,$B23,BV_Data_An_Cour!$V:$V,$C23,BV_Data_An_Cour!$W:$W,L$2)</f>
        <v>2024.82</v>
      </c>
      <c r="M23" s="406"/>
      <c r="N23" s="180">
        <f t="shared" si="23"/>
        <v>835.93487961818118</v>
      </c>
      <c r="O23" s="182"/>
      <c r="P23" s="179">
        <f>IF(O13=0,0,Q23/(O13+O15))</f>
        <v>24.851066666666664</v>
      </c>
      <c r="Q23" s="180">
        <f>-SUMIFS(BV_Data_An_Prec!$O:$O,BV_Data_An_Prec!$U:$U,$B23,BV_Data_An_Prec!$V:$V,$C23,BV_Data_An_Prec!$W:$W,Q$2)</f>
        <v>1863.83</v>
      </c>
      <c r="R23" s="182">
        <f t="shared" si="24"/>
        <v>-25.959230769230768</v>
      </c>
      <c r="S23" s="399">
        <f t="shared" si="25"/>
        <v>160.99</v>
      </c>
      <c r="T23" s="222"/>
      <c r="U23" s="222"/>
      <c r="V23" s="514" t="s">
        <v>2923</v>
      </c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63.928286403922016</v>
      </c>
      <c r="E24" s="401">
        <f>IF(D24&lt;=0,0,F24/D24)</f>
        <v>850</v>
      </c>
      <c r="F24" s="402">
        <f>F21+F22+F23</f>
        <v>54339.043443333714</v>
      </c>
      <c r="G24" s="403">
        <f>+G15+G13</f>
        <v>63.928286403922016</v>
      </c>
      <c r="H24" s="401">
        <f>IF(G24&lt;=0,0,I24/G24)</f>
        <v>850</v>
      </c>
      <c r="I24" s="402">
        <f>I21+I22+I23</f>
        <v>54339.043443333714</v>
      </c>
      <c r="J24" s="403">
        <f>+J15+J13</f>
        <v>78</v>
      </c>
      <c r="K24" s="401">
        <f>IF(J24&lt;=0,0,L24/J24)</f>
        <v>686.90871794871805</v>
      </c>
      <c r="L24" s="402">
        <f>L21+L22+L23</f>
        <v>53578.880000000005</v>
      </c>
      <c r="M24" s="431">
        <f>J24-G24</f>
        <v>14.071713596077984</v>
      </c>
      <c r="N24" s="402">
        <f t="shared" si="23"/>
        <v>-760.16344333370944</v>
      </c>
      <c r="O24" s="403">
        <f>+O15+O13</f>
        <v>75</v>
      </c>
      <c r="P24" s="401">
        <f>IF(O24&lt;=0,0,Q24/O24)</f>
        <v>616.68786666666676</v>
      </c>
      <c r="Q24" s="402">
        <f>Q21+Q22+Q23</f>
        <v>46251.590000000004</v>
      </c>
      <c r="R24" s="411"/>
      <c r="S24" s="404">
        <f t="shared" si="25"/>
        <v>7327.2900000000009</v>
      </c>
      <c r="T24" s="222"/>
      <c r="U24" s="222"/>
      <c r="V24" s="514" t="s">
        <v>2924</v>
      </c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-1.3989268032044571E-2</v>
      </c>
      <c r="O25" s="303"/>
      <c r="P25" s="178"/>
      <c r="Q25" s="304"/>
      <c r="R25" s="325"/>
      <c r="S25" s="333">
        <f>IF(Q24=0,0,(S24/Q24))</f>
        <v>0.15842244558511395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63.928286403922016</v>
      </c>
      <c r="E27" s="27">
        <f>IF(D27&lt;=0,0,F27/D27)</f>
        <v>1882.4218228862305</v>
      </c>
      <c r="F27" s="28">
        <f>F13+F17+F24+F19+F15</f>
        <v>120340.0014264639</v>
      </c>
      <c r="G27" s="29">
        <f>+G13+G15+G17</f>
        <v>66.139059981300107</v>
      </c>
      <c r="H27" s="30">
        <f>IF(G27&lt;=0,0,I27/G27)</f>
        <v>2207.1400281888637</v>
      </c>
      <c r="I27" s="28">
        <f>I13+I17+I24+I19+I15</f>
        <v>145978.16671151167</v>
      </c>
      <c r="J27" s="29">
        <f>+J13+J15+J17</f>
        <v>81</v>
      </c>
      <c r="K27" s="30">
        <f>IF(J27&lt;=0,0,L27/J27)</f>
        <v>2293.4512345678995</v>
      </c>
      <c r="L27" s="28">
        <f>L13+L17+L24+L19+L15</f>
        <v>185769.54999999984</v>
      </c>
      <c r="M27" s="29">
        <f>J27-G27</f>
        <v>14.860940018699893</v>
      </c>
      <c r="N27" s="28">
        <f>L27-I27</f>
        <v>39791.38328848817</v>
      </c>
      <c r="O27" s="29">
        <f>+O13+O15+O17</f>
        <v>75</v>
      </c>
      <c r="P27" s="30">
        <f>IF(O27&lt;=0,0,Q27/O27)</f>
        <v>1257.1977333333339</v>
      </c>
      <c r="Q27" s="28">
        <f>Q13+Q17+Q24+Q19+Q15</f>
        <v>94289.830000000045</v>
      </c>
      <c r="R27" s="29">
        <f>J27-O27</f>
        <v>6</v>
      </c>
      <c r="S27" s="363">
        <f>L27-Q27</f>
        <v>91479.719999999797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0.22469233797549609</v>
      </c>
      <c r="N28" s="34">
        <f>N27/I27</f>
        <v>0.27258448427514242</v>
      </c>
      <c r="O28" s="31"/>
      <c r="P28" s="365"/>
      <c r="Q28" s="32"/>
      <c r="R28" s="33">
        <f>R27/O27</f>
        <v>0.08</v>
      </c>
      <c r="S28" s="272">
        <f>IF(Q27=0,0,S27/Q27)</f>
        <v>0.97019710397186798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385.81459999408111</v>
      </c>
      <c r="F31" s="179">
        <f>+INDEX('Budget original'!$A$2:$AO$496,MATCH($A31,'Budget original'!$A$2:$A$496,0),MATCH(F$2,'Budget original'!$A$2:$AO$2,0))</f>
        <v>24664.466247236225</v>
      </c>
      <c r="G31" s="976">
        <f>I31/(I15+I13)</f>
        <v>0.2961800815962965</v>
      </c>
      <c r="H31" s="197">
        <f t="shared" ref="H31:H36" si="27">I31/G$24</f>
        <v>393.2054859306748</v>
      </c>
      <c r="I31" s="179">
        <f>+INDEX('Budget révisé'!$A$2:$AO$496,MATCH($A31,'Budget révisé'!$A$2:$A$496,0),MATCH(I$2,'Budget révisé'!$A$2:$AO$2,0))</f>
        <v>25136.952920169508</v>
      </c>
      <c r="J31" s="976">
        <f>L31/(L15+L13)</f>
        <v>0.34340967737053824</v>
      </c>
      <c r="K31" s="197">
        <f t="shared" ref="K31:K36" si="28">IF(L31=0,0,L31/J$24)</f>
        <v>538.21564102564105</v>
      </c>
      <c r="L31" s="179">
        <f>SUMIFS(BV_Data_An_Cour!$O:$O,BV_Data_An_Cour!$U:$U,$B31,BV_Data_An_Cour!$V:$V,$C31,BV_Data_An_Cour!$W:$W,L$2)</f>
        <v>41980.82</v>
      </c>
      <c r="M31" s="303"/>
      <c r="N31" s="304">
        <f t="shared" ref="N31:N53" si="29">L31-I31</f>
        <v>16843.867079830492</v>
      </c>
      <c r="O31" s="303"/>
      <c r="P31" s="197">
        <f t="shared" ref="P31:P36" si="30">IF(Q31=0,0,Q31/O$24)</f>
        <v>400.19333333333333</v>
      </c>
      <c r="Q31" s="180">
        <f>SUMIFS(BV_Data_An_Prec!$O:$O,BV_Data_An_Prec!$U:$U,$B31,BV_Data_An_Prec!$V:$V,$C31,BV_Data_An_Prec!$W:$W,Q$2)</f>
        <v>30014.5</v>
      </c>
      <c r="R31" s="303"/>
      <c r="S31" s="199">
        <f t="shared" ref="S31:S41" si="31">L31-Q31</f>
        <v>11966.32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+INDEX('Budget original'!$A$2:$AO$496,MATCH($A32,'Budget original'!$A$2:$A$496,0),MATCH(F$2,'Budget original'!$A$2:$AO$2,0))</f>
        <v>16301.713033000113</v>
      </c>
      <c r="G32" s="977">
        <f>I32/I24</f>
        <v>0.3</v>
      </c>
      <c r="H32" s="190">
        <f t="shared" si="27"/>
        <v>254.99999999999997</v>
      </c>
      <c r="I32" s="177">
        <f>+INDEX('Budget révisé'!$A$2:$AO$496,MATCH($A32,'Budget révisé'!$A$2:$A$496,0),MATCH(I$2,'Budget révisé'!$A$2:$AO$2,0))</f>
        <v>16301.713033000113</v>
      </c>
      <c r="J32" s="977">
        <f>L32/L24</f>
        <v>0.29627308372254141</v>
      </c>
      <c r="K32" s="413">
        <f t="shared" si="28"/>
        <v>203.51256410256408</v>
      </c>
      <c r="L32" s="177">
        <f>SUMIFS(BV_Data_An_Cour!$O:$O,BV_Data_An_Cour!$U:$U,$B32,BV_Data_An_Cour!$V:$V,$C32,BV_Data_An_Cour!$W:$W,L$2)</f>
        <v>15873.98</v>
      </c>
      <c r="M32" s="310"/>
      <c r="N32" s="311">
        <f t="shared" si="29"/>
        <v>-427.73303300011321</v>
      </c>
      <c r="O32" s="310"/>
      <c r="P32" s="413">
        <f t="shared" si="30"/>
        <v>279.69799999999998</v>
      </c>
      <c r="Q32" s="177">
        <f>SUMIFS(BV_Data_An_Prec!$O:$O,BV_Data_An_Prec!$U:$U,$B32,BV_Data_An_Prec!$V:$V,$C32,BV_Data_An_Prec!$W:$W,Q$2)</f>
        <v>20977.35</v>
      </c>
      <c r="R32" s="310"/>
      <c r="S32" s="202">
        <f t="shared" si="31"/>
        <v>-5103.369999999999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12593.872421572638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12593.872421572638</v>
      </c>
      <c r="J33" s="303"/>
      <c r="K33" s="197">
        <f t="shared" si="28"/>
        <v>135.56884615384615</v>
      </c>
      <c r="L33" s="179">
        <f>SUMIFS(BV_Data_An_Cour!$O:$O,BV_Data_An_Cour!$U:$U,$B33,BV_Data_An_Cour!$V:$V,$C33,BV_Data_An_Cour!$W:$W,L$2)</f>
        <v>10574.37</v>
      </c>
      <c r="M33" s="303"/>
      <c r="N33" s="304">
        <f t="shared" si="29"/>
        <v>-2019.5024215726371</v>
      </c>
      <c r="O33" s="303"/>
      <c r="P33" s="197">
        <f t="shared" si="30"/>
        <v>161.3544</v>
      </c>
      <c r="Q33" s="180">
        <f>SUMIFS(BV_Data_An_Prec!$O:$O,BV_Data_An_Prec!$U:$U,$B33,BV_Data_An_Prec!$V:$V,$C33,BV_Data_An_Prec!$W:$W,Q$2)</f>
        <v>12101.58</v>
      </c>
      <c r="R33" s="303"/>
      <c r="S33" s="199">
        <f t="shared" si="31"/>
        <v>-1527.2099999999991</v>
      </c>
      <c r="T33" s="222"/>
      <c r="U33" s="222"/>
      <c r="V33" s="514"/>
      <c r="W33" s="514">
        <f>L24*0.25</f>
        <v>13394.720000000001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383.56971842353209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383.56971842353209</v>
      </c>
      <c r="J34" s="303"/>
      <c r="K34" s="197">
        <f t="shared" si="28"/>
        <v>0</v>
      </c>
      <c r="L34" s="179">
        <f>SUMIFS(BV_Data_An_Cour!$O:$O,BV_Data_An_Cour!$U:$U,$B34,BV_Data_An_Cour!$V:$V,$C34,BV_Data_An_Cour!$W:$W,L$2)</f>
        <v>0</v>
      </c>
      <c r="M34" s="303"/>
      <c r="N34" s="304">
        <f t="shared" si="29"/>
        <v>-383.56971842353209</v>
      </c>
      <c r="O34" s="303"/>
      <c r="P34" s="197">
        <f t="shared" si="30"/>
        <v>12.813066666666668</v>
      </c>
      <c r="Q34" s="180">
        <f>SUMIFS(BV_Data_An_Prec!$O:$O,BV_Data_An_Prec!$U:$U,$B34,BV_Data_An_Prec!$V:$V,$C34,BV_Data_An_Prec!$W:$W,Q$2)</f>
        <v>960.98</v>
      </c>
      <c r="R34" s="303"/>
      <c r="S34" s="199">
        <f t="shared" si="31"/>
        <v>-960.98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33.999999999999993</v>
      </c>
      <c r="F35" s="177">
        <f>+INDEX('Budget original'!$A$2:$AO$496,MATCH($A35,'Budget original'!$A$2:$A$496,0),MATCH(F$2,'Budget original'!$A$2:$AO$2,0))</f>
        <v>2173.5617377333483</v>
      </c>
      <c r="G35" s="309"/>
      <c r="H35" s="190">
        <f t="shared" si="27"/>
        <v>33.999999999999993</v>
      </c>
      <c r="I35" s="177">
        <f>+INDEX('Budget révisé'!$A$2:$AO$496,MATCH($A35,'Budget révisé'!$A$2:$A$496,0),MATCH(I$2,'Budget révisé'!$A$2:$AO$2,0))</f>
        <v>2173.5617377333483</v>
      </c>
      <c r="J35" s="310"/>
      <c r="K35" s="413">
        <f t="shared" si="28"/>
        <v>0.51282051282051277</v>
      </c>
      <c r="L35" s="177">
        <f>SUMIFS(BV_Data_An_Cour!$O:$O,BV_Data_An_Cour!$U:$U,$B35,BV_Data_An_Cour!$V:$V,$C35,BV_Data_An_Cour!$W:$W,L$2)</f>
        <v>40</v>
      </c>
      <c r="M35" s="310"/>
      <c r="N35" s="311">
        <f t="shared" si="29"/>
        <v>-2133.5617377333483</v>
      </c>
      <c r="O35" s="310"/>
      <c r="P35" s="413">
        <f t="shared" si="30"/>
        <v>48.264800000000001</v>
      </c>
      <c r="Q35" s="180">
        <f>SUMIFS(BV_Data_An_Prec!$O:$O,BV_Data_An_Prec!$U:$U,$B35,BV_Data_An_Prec!$V:$V,$C35,BV_Data_An_Prec!$W:$W,Q$2)</f>
        <v>3619.86</v>
      </c>
      <c r="R35" s="310"/>
      <c r="S35" s="202">
        <f t="shared" si="31"/>
        <v>-3579.86</v>
      </c>
      <c r="T35" s="222"/>
      <c r="U35" s="222"/>
      <c r="V35" s="514"/>
      <c r="W35" s="978">
        <f>L32-W33</f>
        <v>2479.2599999999984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</v>
      </c>
      <c r="F36" s="179">
        <f>+INDEX('Budget original'!$A$2:$AO$496,MATCH($A36,'Budget original'!$A$2:$A$496,0),MATCH(F$2,'Budget original'!$A$2:$AO$2,0))</f>
        <v>11549.900673065729</v>
      </c>
      <c r="G36" s="302"/>
      <c r="H36" s="197">
        <f t="shared" si="27"/>
        <v>180.6696428571428</v>
      </c>
      <c r="I36" s="179">
        <f>+INDEX('Budget révisé'!$A$2:$AO$496,MATCH($A36,'Budget révisé'!$A$2:$A$496,0),MATCH(I$2,'Budget révisé'!$A$2:$AO$2,0))</f>
        <v>11549.900673065729</v>
      </c>
      <c r="J36" s="303"/>
      <c r="K36" s="197">
        <f t="shared" si="28"/>
        <v>97.126794871794871</v>
      </c>
      <c r="L36" s="630">
        <f>SUMIFS(BV_Data_An_Cour!$O:$O,BV_Data_An_Cour!$U:$U,$B36,BV_Data_An_Cour!$V:$V,$C36,BV_Data_An_Cour!$W:$W,L$2)</f>
        <v>7575.8899999999994</v>
      </c>
      <c r="M36" s="178"/>
      <c r="N36" s="304">
        <f t="shared" si="29"/>
        <v>-3974.0106730657299</v>
      </c>
      <c r="O36" s="303"/>
      <c r="P36" s="197">
        <f t="shared" si="30"/>
        <v>70.533333333333331</v>
      </c>
      <c r="Q36" s="429">
        <f>SUMIFS(BV_Data_An_Prec!$O:$O,BV_Data_An_Prec!$U:$U,$B36,BV_Data_An_Prec!$V:$V,$C36,BV_Data_An_Prec!$W:$W,Q$2)</f>
        <v>5290</v>
      </c>
      <c r="R36" s="303"/>
      <c r="S36" s="199">
        <f t="shared" si="31"/>
        <v>2285.8899999999994</v>
      </c>
      <c r="T36" s="222"/>
      <c r="U36" s="222"/>
      <c r="V36" s="514" t="s">
        <v>2926</v>
      </c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229.32442912116127</v>
      </c>
      <c r="F37" s="179">
        <f>+INDEX('Budget original'!$A$2:$AO$496,MATCH($A37,'Budget original'!$A$2:$A$496,0),MATCH(F$2,'Budget original'!$A$2:$AO$2,0))</f>
        <v>14660.317784273513</v>
      </c>
      <c r="G37" s="302"/>
      <c r="H37" s="197">
        <f t="shared" ref="H37:H40" si="34">I37/G$24</f>
        <v>231.24629321245661</v>
      </c>
      <c r="I37" s="179">
        <f>+INDEX('Budget révisé'!$A$2:$AO$496,MATCH($A37,'Budget révisé'!$A$2:$A$496,0),MATCH(I$2,'Budget révisé'!$A$2:$AO$2,0))</f>
        <v>14783.179262331254</v>
      </c>
      <c r="J37" s="303"/>
      <c r="K37" s="197">
        <f t="shared" ref="K37:K40" si="35">IF(L37=0,0,L37/J$24)</f>
        <v>172.06923076923076</v>
      </c>
      <c r="L37" s="631">
        <f>SUMIFS(BV_Data_An_Cour!$O:$O,BV_Data_An_Cour!$U:$U,$B37,BV_Data_An_Cour!$V:$V,$C37,BV_Data_An_Cour!$W:$W,L$2)</f>
        <v>13421.4</v>
      </c>
      <c r="M37" s="178"/>
      <c r="N37" s="304">
        <f t="shared" ref="N37:N40" si="36">L37-I37</f>
        <v>-1361.7792623312544</v>
      </c>
      <c r="O37" s="303"/>
      <c r="P37" s="197">
        <f t="shared" ref="P37:P40" si="37">IF(Q37=0,0,Q37/O$24)</f>
        <v>271.55520000000001</v>
      </c>
      <c r="Q37" s="180">
        <f>SUMIFS(BV_Data_An_Prec!$O:$O,BV_Data_An_Prec!$U:$U,$B37,BV_Data_An_Prec!$V:$V,$C37,BV_Data_An_Prec!$W:$W,Q$2)</f>
        <v>20366.64</v>
      </c>
      <c r="R37" s="303"/>
      <c r="S37" s="199">
        <f t="shared" ref="S37:S40" si="38">L37-Q37</f>
        <v>-6945.24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0.68412332258125208</v>
      </c>
      <c r="F41" s="41">
        <f>SUM(F31:F40)</f>
        <v>82327.401615305105</v>
      </c>
      <c r="G41" s="42" t="s">
        <v>111</v>
      </c>
      <c r="H41" s="40">
        <f>I41/I$27</f>
        <v>0.56804898728569198</v>
      </c>
      <c r="I41" s="41">
        <f>SUM(I31:I40)</f>
        <v>82922.749766296125</v>
      </c>
      <c r="J41" s="42" t="s">
        <v>111</v>
      </c>
      <c r="K41" s="40">
        <f>L41/L$27</f>
        <v>0.48159916412566034</v>
      </c>
      <c r="L41" s="41">
        <f>SUM(L31:L40)</f>
        <v>89466.459999999992</v>
      </c>
      <c r="M41" s="583"/>
      <c r="N41" s="41">
        <f t="shared" si="29"/>
        <v>6543.7102337038668</v>
      </c>
      <c r="O41" s="42" t="s">
        <v>111</v>
      </c>
      <c r="P41" s="40">
        <f>Q41/Q$27</f>
        <v>0.98983008029603992</v>
      </c>
      <c r="Q41" s="582">
        <f>SUM(Q31:Q40)</f>
        <v>93330.91</v>
      </c>
      <c r="R41" s="44"/>
      <c r="S41" s="316">
        <f t="shared" si="31"/>
        <v>-3864.4500000000116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25919.969540229882</v>
      </c>
      <c r="G42" s="303"/>
      <c r="H42" s="178"/>
      <c r="I42" s="179">
        <f>+INDEX('Budget révisé'!$A$2:$AO$496,MATCH($A42,'Budget révisé'!$A$2:$A$496,0),MATCH(I$2,'Budget révisé'!$A$2:$AO$2,0))</f>
        <v>25919.969540229882</v>
      </c>
      <c r="J42" s="303"/>
      <c r="K42" s="178"/>
      <c r="L42" s="281">
        <f>SUMIFS(BV_Data_An_Cour!$O:$O,BV_Data_An_Cour!$U:$U,$B42,BV_Data_An_Cour!$V:$V,$C42,BV_Data_An_Cour!$W:$W,L$2)</f>
        <v>15654.54</v>
      </c>
      <c r="M42" s="303"/>
      <c r="N42" s="304">
        <f t="shared" si="29"/>
        <v>-10265.429540229881</v>
      </c>
      <c r="O42" s="303"/>
      <c r="P42" s="178"/>
      <c r="Q42" s="180">
        <f>SUMIFS(BV_Data_An_Prec!$O:$O,BV_Data_An_Prec!$U:$U,$B42,BV_Data_An_Prec!$V:$V,$C42,BV_Data_An_Prec!$W:$W,Q$2)</f>
        <v>32957.339999999997</v>
      </c>
      <c r="R42" s="303"/>
      <c r="S42" s="199">
        <f t="shared" ref="S42:S53" si="39">L42-Q42</f>
        <v>-17302.799999999996</v>
      </c>
      <c r="T42" s="222"/>
      <c r="U42" s="222" t="s">
        <v>2876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10485.240564689655</v>
      </c>
      <c r="G43" s="302"/>
      <c r="H43" s="178"/>
      <c r="I43" s="177">
        <f>+INDEX('Budget révisé'!$A$2:$AO$496,MATCH($A43,'Budget révisé'!$A$2:$A$496,0),MATCH(I$2,'Budget révisé'!$A$2:$AO$2,0))</f>
        <v>10485.240564689655</v>
      </c>
      <c r="J43" s="303"/>
      <c r="K43" s="178"/>
      <c r="L43" s="281">
        <f>SUMIFS(BV_Data_An_Cour!$O:$O,BV_Data_An_Cour!$U:$U,$B43,BV_Data_An_Cour!$V:$V,$C43,BV_Data_An_Cour!$W:$W,L$2)</f>
        <v>9351.0400000000009</v>
      </c>
      <c r="M43" s="303"/>
      <c r="N43" s="304">
        <f t="shared" si="29"/>
        <v>-1134.2005646896541</v>
      </c>
      <c r="O43" s="303"/>
      <c r="P43" s="178"/>
      <c r="Q43" s="180">
        <f>SUMIFS(BV_Data_An_Prec!$O:$O,BV_Data_An_Prec!$U:$U,$B43,BV_Data_An_Prec!$V:$V,$C43,BV_Data_An_Prec!$W:$W,Q$2)</f>
        <v>10372.43</v>
      </c>
      <c r="R43" s="303"/>
      <c r="S43" s="199">
        <f t="shared" si="39"/>
        <v>-1021.3899999999994</v>
      </c>
      <c r="T43" s="222"/>
      <c r="U43" s="222"/>
      <c r="V43" s="514" t="s">
        <v>2880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6607.2069857839078</v>
      </c>
      <c r="G44" s="393"/>
      <c r="H44" s="352"/>
      <c r="I44" s="179">
        <f>+INDEX('Budget révisé'!$A$2:$AO$496,MATCH($A44,'Budget révisé'!$A$2:$A$496,0),MATCH(I$2,'Budget révisé'!$A$2:$AO$2,0))</f>
        <v>6607.2069857839078</v>
      </c>
      <c r="J44" s="368"/>
      <c r="K44" s="352"/>
      <c r="L44" s="181">
        <f>SUMIFS(BV_Data_An_Cour!$O:$O,BV_Data_An_Cour!$U:$U,$B44,BV_Data_An_Cour!$V:$V,$C44,BV_Data_An_Cour!$W:$W,L$2)</f>
        <v>7584.35</v>
      </c>
      <c r="M44" s="368"/>
      <c r="N44" s="356">
        <f t="shared" si="29"/>
        <v>977.14301421609252</v>
      </c>
      <c r="O44" s="368"/>
      <c r="P44" s="352"/>
      <c r="Q44" s="181">
        <f>SUMIFS(BV_Data_An_Prec!$O:$O,BV_Data_An_Prec!$U:$U,$B44,BV_Data_An_Prec!$V:$V,$C44,BV_Data_An_Prec!$W:$W,Q$2)</f>
        <v>4969.0200000000004</v>
      </c>
      <c r="R44" s="368"/>
      <c r="S44" s="201">
        <f t="shared" si="39"/>
        <v>2615.33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10077.431564512774</v>
      </c>
      <c r="G49" s="302"/>
      <c r="H49" s="178"/>
      <c r="I49" s="177">
        <f>+INDEX('Budget révisé'!$A$2:$AO$496,MATCH($A49,'Budget révisé'!$A$2:$A$496,0),MATCH(I$2,'Budget révisé'!$A$2:$AO$2,0))</f>
        <v>10134.129965264767</v>
      </c>
      <c r="J49" s="303"/>
      <c r="K49" s="178"/>
      <c r="L49" s="177">
        <f>SUMIFS(BV_Data_An_Cour!$O:$O,BV_Data_An_Cour!$U:$U,$B49,BV_Data_An_Cour!$V:$V,$C49,BV_Data_An_Cour!$W:$W,L$2)</f>
        <v>9708.4</v>
      </c>
      <c r="M49" s="303"/>
      <c r="N49" s="304">
        <f t="shared" si="29"/>
        <v>-425.72996526476709</v>
      </c>
      <c r="O49" s="303"/>
      <c r="P49" s="178"/>
      <c r="Q49" s="177">
        <f>SUMIFS(BV_Data_An_Prec!$O:$O,BV_Data_An_Prec!$U:$U,$B49,BV_Data_An_Prec!$V:$V,$C49,BV_Data_An_Prec!$W:$W,Q$2)</f>
        <v>13634.47</v>
      </c>
      <c r="R49" s="303"/>
      <c r="S49" s="199">
        <f t="shared" si="39"/>
        <v>-3926.0699999999997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10077.431564512774</v>
      </c>
      <c r="G50" s="393"/>
      <c r="H50" s="352"/>
      <c r="I50" s="179">
        <f>+INDEX('Budget révisé'!$A$2:$AO$496,MATCH($A50,'Budget révisé'!$A$2:$A$496,0),MATCH(I$2,'Budget révisé'!$A$2:$AO$2,0))</f>
        <v>10134.129965264767</v>
      </c>
      <c r="J50" s="368"/>
      <c r="K50" s="352"/>
      <c r="L50" s="1099">
        <f>SUMIFS(BV_Data_An_Cour!$O:$O,BV_Data_An_Cour!$U:$U,$B50,BV_Data_An_Cour!$V:$V,$C50,BV_Data_An_Cour!$W:$W,L$2)</f>
        <v>-707.4</v>
      </c>
      <c r="M50" s="368"/>
      <c r="N50" s="356">
        <f t="shared" si="29"/>
        <v>-10841.529965264766</v>
      </c>
      <c r="O50" s="368"/>
      <c r="P50" s="352"/>
      <c r="Q50" s="180">
        <f>SUMIFS(BV_Data_An_Prec!$O:$O,BV_Data_An_Prec!$U:$U,$B50,BV_Data_An_Prec!$V:$V,$C50,BV_Data_An_Prec!$W:$W,Q$2)</f>
        <v>12017.04</v>
      </c>
      <c r="R50" s="368"/>
      <c r="S50" s="201">
        <f t="shared" si="39"/>
        <v>-12724.44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7222.1592879008203</v>
      </c>
      <c r="G51" s="302"/>
      <c r="H51" s="178"/>
      <c r="I51" s="179">
        <f>+INDEX('Budget révisé'!$A$2:$AO$496,MATCH($A51,'Budget révisé'!$A$2:$A$496,0),MATCH(I$2,'Budget révisé'!$A$2:$AO$2,0))</f>
        <v>7262.7931417730824</v>
      </c>
      <c r="J51" s="303"/>
      <c r="K51" s="178"/>
      <c r="L51" s="180">
        <f>SUMIFS(BV_Data_An_Cour!$O:$O,BV_Data_An_Cour!$U:$U,$B51,BV_Data_An_Cour!$V:$V,$C51,BV_Data_An_Cour!$W:$W,L$2)</f>
        <v>8170.62</v>
      </c>
      <c r="M51" s="303"/>
      <c r="N51" s="304">
        <f t="shared" si="29"/>
        <v>907.82685822691747</v>
      </c>
      <c r="O51" s="303"/>
      <c r="P51" s="178"/>
      <c r="Q51" s="180">
        <f>SUMIFS(BV_Data_An_Prec!$O:$O,BV_Data_An_Prec!$U:$U,$B51,BV_Data_An_Prec!$V:$V,$C51,BV_Data_An_Prec!$W:$W,Q$2)</f>
        <v>8128.51</v>
      </c>
      <c r="R51" s="303"/>
      <c r="S51" s="199">
        <f t="shared" si="39"/>
        <v>42.109999999999673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1679.5719274187957</v>
      </c>
      <c r="G52" s="302"/>
      <c r="H52" s="178"/>
      <c r="I52" s="179">
        <f>+INDEX('Budget révisé'!$A$2:$AO$496,MATCH($A52,'Budget révisé'!$A$2:$A$496,0),MATCH(I$2,'Budget révisé'!$A$2:$AO$2,0))</f>
        <v>1689.0216608774613</v>
      </c>
      <c r="J52" s="303"/>
      <c r="K52" s="178"/>
      <c r="L52" s="180">
        <f>SUMIFS(BV_Data_An_Cour!$O:$O,BV_Data_An_Cour!$U:$U,$B52,BV_Data_An_Cour!$V:$V,$C52,BV_Data_An_Cour!$W:$W,L$2)</f>
        <v>1660.71</v>
      </c>
      <c r="M52" s="303"/>
      <c r="N52" s="304">
        <f t="shared" si="29"/>
        <v>-28.311660877461236</v>
      </c>
      <c r="O52" s="303"/>
      <c r="P52" s="178"/>
      <c r="Q52" s="180">
        <f>SUMIFS(BV_Data_An_Prec!$O:$O,BV_Data_An_Prec!$U:$U,$B52,BV_Data_An_Prec!$V:$V,$C52,BV_Data_An_Prec!$W:$W,Q$2)</f>
        <v>2994.03</v>
      </c>
      <c r="R52" s="303"/>
      <c r="S52" s="199">
        <f t="shared" si="39"/>
        <v>-1333.3200000000002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0.59887826641823483</v>
      </c>
      <c r="F54" s="41">
        <f>+SUM(F42:F53)</f>
        <v>72069.011435048611</v>
      </c>
      <c r="G54" s="42" t="s">
        <v>111</v>
      </c>
      <c r="H54" s="40">
        <f>I54/I$27</f>
        <v>0.49481709115194245</v>
      </c>
      <c r="I54" s="41">
        <f>+SUM(I42:I53)</f>
        <v>72232.491823883523</v>
      </c>
      <c r="J54" s="42" t="s">
        <v>111</v>
      </c>
      <c r="K54" s="40">
        <f>L54/L$27</f>
        <v>0.2768067210153658</v>
      </c>
      <c r="L54" s="41">
        <f>+SUM(L42:L53)</f>
        <v>51422.26</v>
      </c>
      <c r="M54" s="44"/>
      <c r="N54" s="41">
        <f>+SUM(N42:N53)</f>
        <v>-20810.231823883518</v>
      </c>
      <c r="O54" s="42" t="s">
        <v>111</v>
      </c>
      <c r="P54" s="40">
        <f>Q54/Q$27</f>
        <v>0.90224831246381443</v>
      </c>
      <c r="Q54" s="41">
        <f>+SUM(Q42:Q53)</f>
        <v>85072.839999999982</v>
      </c>
      <c r="R54" s="44"/>
      <c r="S54" s="316">
        <f>+SUM(S42:S53)</f>
        <v>-33650.579999999994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5758.38</v>
      </c>
      <c r="M57" s="310"/>
      <c r="N57" s="434">
        <f t="shared" si="43"/>
        <v>-3330.4975000000004</v>
      </c>
      <c r="O57" s="310"/>
      <c r="P57" s="308"/>
      <c r="Q57" s="177">
        <f>SUMIFS(BV_Data_An_Prec!$O:$O,BV_Data_An_Prec!$U:$U,$B57,BV_Data_An_Prec!$V:$V,$C57,BV_Data_An_Prec!$W:$W,Q$2)</f>
        <v>8667.2900000000009</v>
      </c>
      <c r="R57" s="310"/>
      <c r="S57" s="202">
        <f t="shared" si="44"/>
        <v>-2908.9100000000008</v>
      </c>
      <c r="T57" s="525"/>
      <c r="U57" s="222" t="s">
        <v>2944</v>
      </c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5346.08</v>
      </c>
      <c r="M58" s="303"/>
      <c r="N58" s="304">
        <f t="shared" si="43"/>
        <v>-1331.3162666666676</v>
      </c>
      <c r="O58" s="303"/>
      <c r="P58" s="178"/>
      <c r="Q58" s="180">
        <f>SUMIFS(BV_Data_An_Prec!$O:$O,BV_Data_An_Prec!$U:$U,$B58,BV_Data_An_Prec!$V:$V,$C58,BV_Data_An_Prec!$W:$W,Q$2)</f>
        <v>6718.5</v>
      </c>
      <c r="R58" s="303"/>
      <c r="S58" s="199">
        <f t="shared" si="44"/>
        <v>-1372.42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587.39</v>
      </c>
      <c r="M59" s="303"/>
      <c r="N59" s="304">
        <f t="shared" si="43"/>
        <v>-1009.1067999999999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-1357.25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9409.894666666667</v>
      </c>
      <c r="G60" s="309"/>
      <c r="H60" s="308"/>
      <c r="I60" s="177">
        <f>+INDEX('Budget révisé'!$A$2:$AO$496,MATCH($A60,'Budget révisé'!$A$2:$A$496,0),MATCH(I$2,'Budget révisé'!$A$2:$AO$2,0))</f>
        <v>9409.894666666667</v>
      </c>
      <c r="J60" s="310"/>
      <c r="K60" s="308"/>
      <c r="L60" s="177">
        <f>SUMIFS(BV_Data_An_Cour!$O:$O,BV_Data_An_Cour!$U:$U,$B60,BV_Data_An_Cour!$V:$V,$C60,BV_Data_An_Cour!$W:$W,L$2)</f>
        <v>6225.94</v>
      </c>
      <c r="M60" s="310"/>
      <c r="N60" s="311">
        <f t="shared" si="43"/>
        <v>-3183.9546666666674</v>
      </c>
      <c r="O60" s="310"/>
      <c r="P60" s="308"/>
      <c r="Q60" s="177">
        <f>SUMIFS(BV_Data_An_Prec!$O:$O,BV_Data_An_Prec!$U:$U,$B60,BV_Data_An_Prec!$V:$V,$C60,BV_Data_An_Prec!$W:$W,Q$2)</f>
        <v>8135.35</v>
      </c>
      <c r="R60" s="310"/>
      <c r="S60" s="202">
        <f t="shared" si="44"/>
        <v>-1909.4100000000008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255.71314561568806</v>
      </c>
      <c r="G61" s="302"/>
      <c r="H61" s="178"/>
      <c r="I61" s="179">
        <f>+INDEX('Budget révisé'!$A$2:$AO$496,MATCH($A61,'Budget révisé'!$A$2:$A$496,0),MATCH(I$2,'Budget révisé'!$A$2:$AO$2,0))</f>
        <v>255.71314561568806</v>
      </c>
      <c r="J61" s="303"/>
      <c r="K61" s="178"/>
      <c r="L61" s="180">
        <f>SUMIFS(BV_Data_An_Cour!$O:$O,BV_Data_An_Cour!$U:$U,$B61,BV_Data_An_Cour!$V:$V,$C61,BV_Data_An_Cour!$W:$W,L$2)</f>
        <v>0</v>
      </c>
      <c r="M61" s="303"/>
      <c r="N61" s="304">
        <f t="shared" si="43"/>
        <v>-255.71314561568806</v>
      </c>
      <c r="O61" s="303"/>
      <c r="P61" s="178"/>
      <c r="Q61" s="180">
        <f>SUMIFS(BV_Data_An_Prec!$O:$O,BV_Data_An_Prec!$U:$U,$B61,BV_Data_An_Prec!$V:$V,$C61,BV_Data_An_Prec!$W:$W,Q$2)</f>
        <v>231</v>
      </c>
      <c r="R61" s="303"/>
      <c r="S61" s="199">
        <f t="shared" si="44"/>
        <v>-231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500.69</v>
      </c>
      <c r="M63" s="303"/>
      <c r="N63" s="304">
        <f t="shared" si="43"/>
        <v>-196.91000000000003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-91.31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238.05</v>
      </c>
      <c r="M64" s="303"/>
      <c r="N64" s="304">
        <f t="shared" si="43"/>
        <v>-351.86200000000002</v>
      </c>
      <c r="O64" s="303"/>
      <c r="P64" s="178"/>
      <c r="Q64" s="180">
        <f>SUMIFS(BV_Data_An_Prec!$O:$O,BV_Data_An_Prec!$U:$U,$B64,BV_Data_An_Prec!$V:$V,$C64,BV_Data_An_Prec!$W:$W,Q$2)</f>
        <v>633.66999999999996</v>
      </c>
      <c r="R64" s="303"/>
      <c r="S64" s="199">
        <f t="shared" si="44"/>
        <v>-395.61999999999995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136.35</v>
      </c>
      <c r="M65" s="303"/>
      <c r="N65" s="304">
        <f t="shared" si="43"/>
        <v>-140.45000000000002</v>
      </c>
      <c r="O65" s="303"/>
      <c r="P65" s="178"/>
      <c r="Q65" s="180">
        <f>SUMIFS(BV_Data_An_Prec!$O:$O,BV_Data_An_Prec!$U:$U,$B65,BV_Data_An_Prec!$V:$V,$C65,BV_Data_An_Prec!$W:$W,Q$2)</f>
        <v>82.32</v>
      </c>
      <c r="R65" s="303"/>
      <c r="S65" s="199">
        <f t="shared" si="44"/>
        <v>54.03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3441.41</v>
      </c>
      <c r="M66" s="303"/>
      <c r="N66" s="304">
        <f t="shared" si="43"/>
        <v>2092.29</v>
      </c>
      <c r="O66" s="303"/>
      <c r="P66" s="178"/>
      <c r="Q66" s="180">
        <f>SUMIFS(BV_Data_An_Prec!$O:$O,BV_Data_An_Prec!$U:$U,$B66,BV_Data_An_Prec!$V:$V,$C66,BV_Data_An_Prec!$W:$W,Q$2)</f>
        <v>1545.45</v>
      </c>
      <c r="R66" s="303"/>
      <c r="S66" s="199">
        <f t="shared" si="44"/>
        <v>1895.9599999999998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523.33000000000004</v>
      </c>
      <c r="M67" s="303"/>
      <c r="N67" s="304">
        <f t="shared" ref="N67" si="46">L67-I67</f>
        <v>-915.01666666666677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-4032.5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2083.3141574587762</v>
      </c>
      <c r="G68" s="302"/>
      <c r="H68" s="178"/>
      <c r="I68" s="179">
        <f>+INDEX('Budget révisé'!$A$2:$AO$496,MATCH($A68,'Budget révisé'!$A$2:$A$496,0),MATCH(I$2,'Budget révisé'!$A$2:$AO$2,0))</f>
        <v>2083.3141574587762</v>
      </c>
      <c r="J68" s="303"/>
      <c r="K68" s="178"/>
      <c r="L68" s="985">
        <f>AF447*W3</f>
        <v>3004.1010000000001</v>
      </c>
      <c r="M68" s="303"/>
      <c r="N68" s="304">
        <f t="shared" ref="N68:N69" si="48">L68-I68</f>
        <v>920.7868425412239</v>
      </c>
      <c r="O68" s="303"/>
      <c r="P68" s="178"/>
      <c r="Q68" s="180">
        <f>SUMIFS(BV_Data_An_Prec!$O:$O,BV_Data_An_Prec!$U:$U,$B68,BV_Data_An_Prec!$V:$V,$C68,BV_Data_An_Prec!$W:$W,Q$2)</f>
        <v>5960.74</v>
      </c>
      <c r="R68" s="303"/>
      <c r="S68" s="199">
        <f t="shared" ref="S68:S69" si="49">L68-Q68</f>
        <v>-2956.6389999999997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0.27836522192119434</v>
      </c>
      <c r="F72" s="41">
        <f>+SUM(F55:F71)</f>
        <v>33498.47120307447</v>
      </c>
      <c r="G72" s="42" t="s">
        <v>111</v>
      </c>
      <c r="H72" s="40">
        <f>I72/I$27</f>
        <v>0.22947590011371763</v>
      </c>
      <c r="I72" s="41">
        <f>+SUM(I55:I71)</f>
        <v>33498.47120307447</v>
      </c>
      <c r="J72" s="42" t="s">
        <v>111</v>
      </c>
      <c r="K72" s="40">
        <f>L72/L$27</f>
        <v>0.13867569254487624</v>
      </c>
      <c r="L72" s="41">
        <f>+SUM(L55:L71)</f>
        <v>25761.720999999994</v>
      </c>
      <c r="M72" s="44"/>
      <c r="N72" s="41">
        <f>+SUM(N55:N71)</f>
        <v>-7736.7502030744672</v>
      </c>
      <c r="O72" s="42" t="s">
        <v>111</v>
      </c>
      <c r="P72" s="40">
        <f>Q72/Q$27</f>
        <v>0.41469785235586887</v>
      </c>
      <c r="Q72" s="41">
        <f>+SUM(Q55:Q71)</f>
        <v>39101.789999999994</v>
      </c>
      <c r="R72" s="44"/>
      <c r="S72" s="316">
        <f>+SUM(S55:S71)</f>
        <v>-13340.069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1.5613668109206813</v>
      </c>
      <c r="F74" s="41">
        <f>F41+F54+F72</f>
        <v>187894.88425342817</v>
      </c>
      <c r="G74" s="42" t="s">
        <v>111</v>
      </c>
      <c r="H74" s="40">
        <f>I74/I$27</f>
        <v>1.2923419785513521</v>
      </c>
      <c r="I74" s="41">
        <f>I41+I54+I72</f>
        <v>188653.71279325412</v>
      </c>
      <c r="J74" s="42" t="s">
        <v>111</v>
      </c>
      <c r="K74" s="40">
        <f>L74/L$27</f>
        <v>0.89708157768590246</v>
      </c>
      <c r="L74" s="41">
        <f>L41+L54+L72</f>
        <v>166650.44099999999</v>
      </c>
      <c r="M74" s="44"/>
      <c r="N74" s="46">
        <f>L74-I74</f>
        <v>-22003.271793254127</v>
      </c>
      <c r="O74" s="42" t="s">
        <v>111</v>
      </c>
      <c r="P74" s="40">
        <f>Q74/Q$27</f>
        <v>2.3067762451157234</v>
      </c>
      <c r="Q74" s="41">
        <f>Q41+Q54+Q72</f>
        <v>217505.53999999998</v>
      </c>
      <c r="R74" s="44"/>
      <c r="S74" s="299">
        <f>L74-Q74</f>
        <v>-50855.098999999987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45357.637500000012</v>
      </c>
      <c r="G75" s="302"/>
      <c r="H75" s="178"/>
      <c r="I75" s="179">
        <f>+INDEX('Budget révisé'!$A$2:$AO$496,MATCH($A75,'Budget révisé'!$A$2:$A$496,0),MATCH(I$2,'Budget révisé'!$A$2:$AO$2,0))</f>
        <v>758.49607159347272</v>
      </c>
      <c r="J75" s="303"/>
      <c r="K75" s="178"/>
      <c r="L75" s="554">
        <f>-SUMIFS(BV_Data_An_Cour!$O:$O,BV_Data_An_Cour!$U:$U,$B75,BV_Data_An_Cour!$V:$V,$C75,BV_Data_An_Cour!$W:$W,L$2)-L155</f>
        <v>26100</v>
      </c>
      <c r="M75" s="303"/>
      <c r="N75" s="304">
        <f>L75-I75</f>
        <v>25341.503928406528</v>
      </c>
      <c r="O75" s="303"/>
      <c r="P75" s="178"/>
      <c r="Q75" s="554">
        <f>-SUMIFS(BV_Data_An_Prec!$O:$O,BV_Data_An_Prec!$U:$U,$B75,BV_Data_An_Prec!$V:$V,$C75,BV_Data_An_Prec!$W:$W,Q$2)</f>
        <v>10850</v>
      </c>
      <c r="R75" s="303"/>
      <c r="S75" s="199"/>
      <c r="T75" s="222"/>
      <c r="U75" s="222"/>
      <c r="V75" s="514" t="s">
        <v>2943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72775.567500000005</v>
      </c>
      <c r="G78" s="302"/>
      <c r="H78" s="178"/>
      <c r="I78" s="179">
        <f>+INDEX('Budget révisé'!$A$2:$AO$496,MATCH($A78,'Budget révisé'!$A$2:$A$496,0),MATCH(I$2,'Budget révisé'!$A$2:$AO$2,0))</f>
        <v>73926.169357707506</v>
      </c>
      <c r="J78" s="303"/>
      <c r="K78" s="178"/>
      <c r="L78" s="281">
        <f>-SUMIFS(BV_Data_An_Cour!$O:$O,BV_Data_An_Cour!$U:$U,$B78,BV_Data_An_Cour!$V:$V,$C78,BV_Data_An_Cour!$W:$W,L$2)</f>
        <v>91841</v>
      </c>
      <c r="M78" s="303"/>
      <c r="N78" s="304">
        <f t="shared" si="50"/>
        <v>17914.830642292494</v>
      </c>
      <c r="O78" s="303"/>
      <c r="P78" s="178"/>
      <c r="Q78" s="554">
        <f>-SUMIFS(BV_Data_An_Prec!$O:$O,BV_Data_An_Prec!$U:$U,$B78,BV_Data_An_Prec!$V:$V,$C78,BV_Data_An_Prec!$W:$W,Q$2)</f>
        <v>60872</v>
      </c>
      <c r="R78" s="303"/>
      <c r="S78" s="199">
        <f t="shared" si="51"/>
        <v>30969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20079.874759471906</v>
      </c>
      <c r="G82" s="302"/>
      <c r="H82" s="178"/>
      <c r="I82" s="179">
        <f>+INDEX('Budget révisé'!$A$2:$AO$496,MATCH($A82,'Budget révisé'!$A$2:$A$496,0),MATCH(I$2,'Budget révisé'!$A$2:$AO$2,0))</f>
        <v>20079.87475947191</v>
      </c>
      <c r="J82" s="303"/>
      <c r="K82" s="178"/>
      <c r="L82" s="985">
        <f>-SUMIFS(BV_Data_An_Cour!$O:$O,BV_Data_An_Cour!$U:$U,$B82,BV_Data_An_Cour!$V:$V,$C82,BV_Data_An_Cour!$W:$W,L$2)-L158</f>
        <v>20188</v>
      </c>
      <c r="M82" s="303"/>
      <c r="N82" s="304">
        <f t="shared" si="50"/>
        <v>108.12524052809022</v>
      </c>
      <c r="O82" s="303"/>
      <c r="P82" s="178"/>
      <c r="Q82" s="554">
        <f>-SUMIFS(BV_Data_An_Prec!$O:$O,BV_Data_An_Prec!$U:$U,$B82,BV_Data_An_Prec!$V:$V,$C82,BV_Data_An_Prec!$W:$W,Q$2)</f>
        <v>33871</v>
      </c>
      <c r="R82" s="303"/>
      <c r="S82" s="199">
        <f t="shared" si="51"/>
        <v>-13683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138213.07975947193</v>
      </c>
      <c r="G83" s="42"/>
      <c r="H83" s="40"/>
      <c r="I83" s="41">
        <f>+SUM(I75:I82)</f>
        <v>94764.540188772895</v>
      </c>
      <c r="J83" s="42"/>
      <c r="K83" s="40"/>
      <c r="L83" s="41">
        <f>+SUM(L75:L82)</f>
        <v>138129</v>
      </c>
      <c r="M83" s="44"/>
      <c r="N83" s="41">
        <f>+SUM(N75:N82)</f>
        <v>43364.459811227112</v>
      </c>
      <c r="O83" s="42"/>
      <c r="P83" s="40"/>
      <c r="Q83" s="41">
        <f>+SUM(Q75:Q82)</f>
        <v>105593</v>
      </c>
      <c r="R83" s="44"/>
      <c r="S83" s="316">
        <f>+SUM(S75:S82)</f>
        <v>17286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70658.196932507664</v>
      </c>
      <c r="G85" s="436"/>
      <c r="H85" s="346"/>
      <c r="I85" s="343">
        <f>I27-I74+I83</f>
        <v>52088.994107030449</v>
      </c>
      <c r="J85" s="436"/>
      <c r="K85" s="342"/>
      <c r="L85" s="343">
        <f>L27-L74+L83</f>
        <v>157248.10899999985</v>
      </c>
      <c r="M85" s="436"/>
      <c r="N85" s="343">
        <f>N27-N41-N54-N72+N83</f>
        <v>105159.1148929694</v>
      </c>
      <c r="O85" s="436"/>
      <c r="P85" s="342"/>
      <c r="Q85" s="343">
        <f>Q27-Q74+Q83</f>
        <v>-17622.709999999934</v>
      </c>
      <c r="R85" s="436"/>
      <c r="S85" s="347">
        <f>S27-S41-S54-S72+S83</f>
        <v>159620.81899999978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4" t="s">
        <v>77</v>
      </c>
      <c r="E91" s="1135"/>
      <c r="F91" s="1136"/>
      <c r="G91" s="1137" t="s">
        <v>145</v>
      </c>
      <c r="H91" s="1135"/>
      <c r="I91" s="1136"/>
      <c r="J91" s="1137" t="s">
        <v>79</v>
      </c>
      <c r="K91" s="1135"/>
      <c r="L91" s="1136"/>
      <c r="M91" s="1137" t="s">
        <v>80</v>
      </c>
      <c r="N91" s="1136"/>
      <c r="O91" s="1134" t="s">
        <v>81</v>
      </c>
      <c r="P91" s="1135"/>
      <c r="Q91" s="1136"/>
      <c r="R91" s="1137" t="s">
        <v>82</v>
      </c>
      <c r="S91" s="1138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758716.19304405223</v>
      </c>
      <c r="G93" s="183"/>
      <c r="H93" s="184"/>
      <c r="I93" s="177">
        <f>+INDEX('Budget révisé'!$A$2:$AO$496,MATCH($A93,'Budget révisé'!$A$2:$A$496,0),MATCH(I$2,'Budget révisé'!$A$2:$AO$2,0))</f>
        <v>758716.19304405223</v>
      </c>
      <c r="J93" s="568"/>
      <c r="K93" s="184"/>
      <c r="L93" s="177">
        <f>-SUMIFS(BV_Data_An_Cour!$O:$O,BV_Data_An_Cour!$X:$X,"Oui",BV_Data_An_Cour!$U:$U,$B93)</f>
        <v>1538216.86</v>
      </c>
      <c r="M93" s="395"/>
      <c r="N93" s="396"/>
      <c r="O93" s="568"/>
      <c r="P93" s="184"/>
      <c r="Q93" s="177">
        <f>-SUMIFS(BV_Data_An_Prec!$O:$O,BV_Data_An_Prec!$X:$X,"Oui",BV_Data_An_Prec!$U:$U,$B93)</f>
        <v>730565.19000000006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22.770963096237939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17078.222322178455</v>
      </c>
      <c r="G94" s="182">
        <f>+INDEX('Budget révisé'!$A$2:$AO$496,MATCH($A94,'Budget révisé'!$A$2:$A$496,0),MATCH(G$2,'Budget révisé'!$A$2:$AO$2,0))</f>
        <v>22.770963096237939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17078.222322178455</v>
      </c>
      <c r="J94" s="569">
        <f>-SUMIFS(BV_Data_An_Cour!$O:$O,BV_Data_An_Cour!$U:$U,$B94,BV_Data_An_Cour!$V:$V,$C94,BV_Data_An_Cour!$W:$W,J$2)</f>
        <v>42</v>
      </c>
      <c r="K94" s="179">
        <f t="shared" ref="K94:K95" si="56">IF(J94=0,0,L94/J94)</f>
        <v>932.81976190476246</v>
      </c>
      <c r="L94" s="281">
        <f>-SUMIFS(BV_Data_An_Cour!$O:$O,BV_Data_An_Cour!$U:$U,$B94,BV_Data_An_Cour!$V:$V,$C94,BV_Data_An_Cour!$W:$W,$L2)</f>
        <v>39178.430000000022</v>
      </c>
      <c r="M94" s="182">
        <f>J94-G94</f>
        <v>19.229036903762061</v>
      </c>
      <c r="N94" s="180">
        <f>L94-I94</f>
        <v>22100.207677821567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42</v>
      </c>
      <c r="S94" s="399">
        <f t="shared" ref="S94:S95" si="59">L94-Q94</f>
        <v>39178.430000000022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1.2987241309641409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974.04309822310563</v>
      </c>
      <c r="G95" s="182">
        <f>+INDEX('Budget révisé'!$A$2:$AO$496,MATCH($A95,'Budget révisé'!$A$2:$A$496,0),MATCH(G$2,'Budget révisé'!$A$2:$AO$2,0))</f>
        <v>1.2987241309641409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974.04309822310563</v>
      </c>
      <c r="J95" s="182">
        <f>-SUMIFS(BV_Data_An_Cour!$O:$O,BV_Data_An_Cour!$U:$U,$B95,BV_Data_An_Cour!$V:$V,$C95,BV_Data_An_Cour!$W:$W,J$2)</f>
        <v>0</v>
      </c>
      <c r="K95" s="179">
        <f t="shared" si="56"/>
        <v>0</v>
      </c>
      <c r="L95" s="554">
        <f>-SUMIFS(BV_Data_An_Cour!$O:$O,BV_Data_An_Cour!$U:$U,$B95,BV_Data_An_Cour!$V:$V,$C95,BV_Data_An_Cour!$W:$W,$L2)</f>
        <v>0</v>
      </c>
      <c r="M95" s="182"/>
      <c r="N95" s="180"/>
      <c r="O95" s="182">
        <f>-SUMIFS(BV_Data_An_Prec!$O:$O,BV_Data_An_Prec!$U:$U,$B95,BV_Data_An_Prec!$V:$V,$C95,BV_Data_An_Prec!$W:$W,O$2)</f>
        <v>33</v>
      </c>
      <c r="P95" s="179">
        <f t="shared" si="57"/>
        <v>147.62787878787924</v>
      </c>
      <c r="Q95" s="554">
        <f>-SUMIFS(BV_Data_An_Prec!$O:$O,BV_Data_An_Prec!$U:$U,$B95,BV_Data_An_Prec!$V:$V,$C95,BV_Data_An_Prec!$W:$W,$L2)</f>
        <v>4871.7200000000148</v>
      </c>
      <c r="R95" s="182">
        <f t="shared" si="58"/>
        <v>-33</v>
      </c>
      <c r="S95" s="399">
        <f t="shared" si="59"/>
        <v>-4871.7200000000148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24.069687227202081</v>
      </c>
      <c r="E96" s="179">
        <f t="shared" si="60"/>
        <v>750</v>
      </c>
      <c r="F96" s="402">
        <f t="shared" ref="F96" si="62">+F94+F95</f>
        <v>18052.26542040156</v>
      </c>
      <c r="G96" s="403">
        <f>+G95+G94</f>
        <v>24.069687227202081</v>
      </c>
      <c r="H96" s="401">
        <f t="shared" si="61"/>
        <v>750</v>
      </c>
      <c r="I96" s="402">
        <f t="shared" ref="I96" si="63">+I94+I95</f>
        <v>18052.26542040156</v>
      </c>
      <c r="J96" s="403">
        <f t="shared" ref="J96" si="64">+J94+J95</f>
        <v>42</v>
      </c>
      <c r="K96" s="401">
        <f>IF(J96&lt;=0,0,L96/J96)</f>
        <v>932.81976190476246</v>
      </c>
      <c r="L96" s="402">
        <f>+L94+L95</f>
        <v>39178.430000000022</v>
      </c>
      <c r="M96" s="403">
        <f>J96-G96</f>
        <v>17.930312772797919</v>
      </c>
      <c r="N96" s="402">
        <f>L96-I96</f>
        <v>21126.164579598462</v>
      </c>
      <c r="O96" s="403">
        <f t="shared" ref="O96" si="65">+O94+O95</f>
        <v>33</v>
      </c>
      <c r="P96" s="401">
        <f>IF(O96&lt;=0,0,Q96/O96)</f>
        <v>147.62787878787924</v>
      </c>
      <c r="Q96" s="402">
        <f>+Q94+Q95</f>
        <v>4871.7200000000148</v>
      </c>
      <c r="R96" s="403">
        <f t="shared" ref="R96:S96" si="66">R94+R95</f>
        <v>9</v>
      </c>
      <c r="S96" s="404">
        <f t="shared" si="66"/>
        <v>34306.710000000006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0.74493335137874916</v>
      </c>
      <c r="N97" s="332">
        <f>N96/I96</f>
        <v>1.1702777511637388</v>
      </c>
      <c r="O97" s="303"/>
      <c r="P97" s="178"/>
      <c r="Q97" s="312"/>
      <c r="R97" s="362">
        <f>R96/O96</f>
        <v>0.27272727272727271</v>
      </c>
      <c r="S97" s="333">
        <f>IF(Q96=0,0,(S96/Q96))</f>
        <v>7.0420118561821905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20.395892860944919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2447.5071433133903</v>
      </c>
      <c r="G99" s="303">
        <f>+INDEX('Budget révisé'!$A$2:$AO$496,MATCH($A99,'Budget révisé'!$A$2:$A$496,0),MATCH(G$2,'Budget révisé'!$A$2:$AO$2,0))</f>
        <v>20.395892860944919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2447.5071433133903</v>
      </c>
      <c r="J99" s="182">
        <f>-SUMIFS(BV_Data_An_Cour!$O:$O,BV_Data_An_Cour!$U:$U,$B99,BV_Data_An_Cour!$V:$V,$C99,BV_Data_An_Cour!$W:$W,J$2)</f>
        <v>49</v>
      </c>
      <c r="K99" s="179">
        <f t="shared" ref="K99" si="68">IF(J99=0,0,L99/J99)</f>
        <v>121.56244897959297</v>
      </c>
      <c r="L99" s="180">
        <f>-SUMIFS(BV_Data_An_Cour!$O:$O,BV_Data_An_Cour!$U:$U,$B99,BV_Data_An_Cour!$V:$V,$C99,BV_Data_An_Cour!$W:$W,L$2)</f>
        <v>5956.5600000000559</v>
      </c>
      <c r="M99" s="182">
        <f t="shared" ref="M99" si="69">J99-G99</f>
        <v>28.604107139055081</v>
      </c>
      <c r="N99" s="180">
        <f t="shared" ref="N99" si="70">L99-I99</f>
        <v>3509.0528566866656</v>
      </c>
      <c r="O99" s="182">
        <f>-SUMIFS(BV_Data_An_Prec!$O:$O,BV_Data_An_Prec!$U:$U,$B99,BV_Data_An_Prec!$V:$V,$C99,BV_Data_An_Prec!$W:$W,O$2)</f>
        <v>15</v>
      </c>
      <c r="P99" s="179">
        <f t="shared" ref="P99" si="71">IF(O99=0,0,Q99/O99)</f>
        <v>699.5359999999996</v>
      </c>
      <c r="Q99" s="180">
        <f>-SUMIFS(BV_Data_An_Prec!$O:$O,BV_Data_An_Prec!$U:$U,$B99,BV_Data_An_Prec!$V:$V,$C99,BV_Data_An_Prec!$W:$W,Q$2)</f>
        <v>10493.039999999994</v>
      </c>
      <c r="R99" s="182">
        <f t="shared" ref="R99" si="72">J99-O99</f>
        <v>34</v>
      </c>
      <c r="S99" s="399">
        <f t="shared" ref="S99" si="73">L99-Q99</f>
        <v>-4536.4799999999377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19354.280665147871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19354.280665147871</v>
      </c>
      <c r="J101" s="182"/>
      <c r="K101" s="179">
        <f>IF(J96=0,0,L101/J96)</f>
        <v>635.76023809523815</v>
      </c>
      <c r="L101" s="180">
        <f>-SUMIFS(BV_Data_An_Cour!$O:$O,BV_Data_An_Cour!$U:$U,$B101,BV_Data_An_Cour!$V:$V,$C101,BV_Data_An_Cour!$W:$W,$L2)</f>
        <v>26701.93</v>
      </c>
      <c r="M101" s="182"/>
      <c r="N101" s="180">
        <f t="shared" ref="N101:N104" si="74">L101-I101</f>
        <v>7347.649334852129</v>
      </c>
      <c r="O101" s="182"/>
      <c r="P101" s="179">
        <f>IF(O96=0,0,Q101/O96)</f>
        <v>598.23939393939395</v>
      </c>
      <c r="Q101" s="180">
        <f>-SUMIFS(BV_Data_An_Prec!$O:$O,BV_Data_An_Prec!$U:$U,$B101,BV_Data_An_Prec!$V:$V,$C101,BV_Data_An_Prec!$W:$W,$L2)</f>
        <v>19741.900000000001</v>
      </c>
      <c r="R101" s="182">
        <f t="shared" ref="R101:R103" si="75">O101-K101</f>
        <v>-635.76023809523815</v>
      </c>
      <c r="S101" s="399">
        <f t="shared" ref="S101:S104" si="76">L101-Q101</f>
        <v>6960.0299999999988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21934.851420500923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21934.851420500923</v>
      </c>
      <c r="J102" s="182"/>
      <c r="K102" s="179">
        <f>IF(J96=0,0,L102/J96)</f>
        <v>951.75142857142851</v>
      </c>
      <c r="L102" s="180">
        <f>-SUMIFS(BV_Data_An_Cour!$O:$O,BV_Data_An_Cour!$U:$U,$B102,BV_Data_An_Cour!$V:$V,$C102,BV_Data_An_Cour!$W:$W,$L2)</f>
        <v>39973.56</v>
      </c>
      <c r="M102" s="182"/>
      <c r="N102" s="180">
        <f t="shared" si="74"/>
        <v>18038.708579499074</v>
      </c>
      <c r="O102" s="182"/>
      <c r="P102" s="179">
        <f>IF(O96=0,0,Q102/O96)</f>
        <v>678.84969696969699</v>
      </c>
      <c r="Q102" s="180">
        <f>-SUMIFS(BV_Data_An_Prec!$O:$O,BV_Data_An_Prec!$U:$U,$B102,BV_Data_An_Prec!$V:$V,$C102,BV_Data_An_Prec!$W:$W,$L2)</f>
        <v>22402.04</v>
      </c>
      <c r="R102" s="182">
        <f t="shared" si="75"/>
        <v>-951.75142857142851</v>
      </c>
      <c r="S102" s="399">
        <f t="shared" si="76"/>
        <v>17571.519999999997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75.814047619047614</v>
      </c>
      <c r="L103" s="180">
        <f>-SUMIFS(BV_Data_An_Cour!$O:$O,BV_Data_An_Cour!$U:$U,$B103,BV_Data_An_Cour!$V:$V,$C103,BV_Data_An_Cour!$W:$W,$L$2)</f>
        <v>3184.19</v>
      </c>
      <c r="M103" s="406"/>
      <c r="N103" s="180">
        <f t="shared" si="74"/>
        <v>3184.19</v>
      </c>
      <c r="O103" s="182"/>
      <c r="P103" s="407">
        <f>IF(O96=0,0,Q103/O96)</f>
        <v>0</v>
      </c>
      <c r="Q103" s="180">
        <f>-SUMIFS(BV_Data_An_Prec!$O:$O,BV_Data_An_Prec!$U:$U,$B103,BV_Data_An_Prec!$V:$V,$C103,BV_Data_An_Prec!$W:$W,$L$2)</f>
        <v>0</v>
      </c>
      <c r="R103" s="182">
        <f t="shared" si="75"/>
        <v>-75.814047619047614</v>
      </c>
      <c r="S103" s="399">
        <f t="shared" si="76"/>
        <v>3184.19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24.069687227202081</v>
      </c>
      <c r="E104" s="179">
        <f t="shared" si="60"/>
        <v>1715.3996101364523</v>
      </c>
      <c r="F104" s="402">
        <f>F101+F102+F103</f>
        <v>41289.132085648795</v>
      </c>
      <c r="G104" s="403">
        <f>G96</f>
        <v>24.069687227202081</v>
      </c>
      <c r="H104" s="401">
        <f t="shared" si="67"/>
        <v>1715.3996101364523</v>
      </c>
      <c r="I104" s="402">
        <f>I101+I102+I103</f>
        <v>41289.132085648795</v>
      </c>
      <c r="J104" s="403">
        <f>J96</f>
        <v>42</v>
      </c>
      <c r="K104" s="401">
        <f>IF(J104&lt;=0,0,L104/J104)</f>
        <v>1663.3257142857142</v>
      </c>
      <c r="L104" s="402">
        <f>L101+L102+L103</f>
        <v>69859.679999999993</v>
      </c>
      <c r="M104" s="182">
        <f>J104-G104</f>
        <v>17.930312772797919</v>
      </c>
      <c r="N104" s="402">
        <f t="shared" si="74"/>
        <v>28570.547914351198</v>
      </c>
      <c r="O104" s="403">
        <f>O96</f>
        <v>33</v>
      </c>
      <c r="P104" s="401">
        <f>IF(O104&lt;=0,0,Q104/O104)</f>
        <v>1277.0890909090911</v>
      </c>
      <c r="Q104" s="402">
        <f>Q101+Q102+Q103</f>
        <v>42143.94</v>
      </c>
      <c r="R104" s="411"/>
      <c r="S104" s="404">
        <f t="shared" si="76"/>
        <v>27715.739999999991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0.69196290818333039</v>
      </c>
      <c r="O105" s="303"/>
      <c r="P105" s="178"/>
      <c r="Q105" s="304"/>
      <c r="R105" s="325"/>
      <c r="S105" s="333">
        <f>IF(Q104=0,0,(S104/Q104))</f>
        <v>0.65764472899306492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44.465580088147</v>
      </c>
      <c r="E107" s="30">
        <f>IF(D107&lt;=0,0,F107/D107)</f>
        <v>1389.5895325524957</v>
      </c>
      <c r="F107" s="28">
        <f>F96+F104+F99</f>
        <v>61788.904649363751</v>
      </c>
      <c r="G107" s="29">
        <f>G96+G99</f>
        <v>44.465580088147</v>
      </c>
      <c r="H107" s="30">
        <f>IF(G107&lt;=0,0,I107/G107)</f>
        <v>1389.5895325524957</v>
      </c>
      <c r="I107" s="28">
        <f>I96+I104+I99</f>
        <v>61788.904649363751</v>
      </c>
      <c r="J107" s="29">
        <f>J96+J99</f>
        <v>91</v>
      </c>
      <c r="K107" s="30">
        <f>IF(J107&lt;=0,0,L107/J107)</f>
        <v>1263.6776923076932</v>
      </c>
      <c r="L107" s="28">
        <f>L96+L104+L99</f>
        <v>114994.67000000007</v>
      </c>
      <c r="M107" s="29">
        <f>J107-G107</f>
        <v>46.534419911853</v>
      </c>
      <c r="N107" s="28">
        <f>L107-I107</f>
        <v>53205.76535063632</v>
      </c>
      <c r="O107" s="29">
        <f>O96+O99</f>
        <v>48</v>
      </c>
      <c r="P107" s="30">
        <f>IF(O107&lt;=0,0,Q107/O107)</f>
        <v>1198.0979166666668</v>
      </c>
      <c r="Q107" s="28">
        <f>Q96+Q104+Q99</f>
        <v>57508.700000000012</v>
      </c>
      <c r="R107" s="29">
        <f>J107-O107</f>
        <v>43</v>
      </c>
      <c r="S107" s="363">
        <f>L107-Q107</f>
        <v>57485.970000000059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1.0465267701355701</v>
      </c>
      <c r="N108" s="34">
        <f>N107/I107</f>
        <v>0.86108931130217381</v>
      </c>
      <c r="O108" s="31"/>
      <c r="P108" s="365"/>
      <c r="Q108" s="32"/>
      <c r="R108" s="33">
        <f>O107/R107</f>
        <v>1.1162790697674418</v>
      </c>
      <c r="S108" s="412">
        <f>IF(Q107=0,0,(S107/Q107))</f>
        <v>0.99960475545439298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497.57830715421136</v>
      </c>
      <c r="F111" s="179">
        <f>+INDEX('Budget original'!$A$2:$AO$496,MATCH($A111,'Budget original'!$A$2:$A$496,0),MATCH(F$2,'Budget original'!$A$2:$AO$2,0))</f>
        <v>11976.554224242554</v>
      </c>
      <c r="G111" s="302"/>
      <c r="H111" s="197">
        <f t="shared" ref="H111:H116" si="78">I111/G$96</f>
        <v>497.57830715421136</v>
      </c>
      <c r="I111" s="179">
        <f>+INDEX('Budget révisé'!$A$2:$AO$496,MATCH($A111,'Budget révisé'!$A$2:$A$496,0),MATCH(I$2,'Budget révisé'!$A$2:$AO$2,0))</f>
        <v>11976.554224242554</v>
      </c>
      <c r="J111" s="976">
        <f>L111/L96</f>
        <v>0.50002667284013136</v>
      </c>
      <c r="K111" s="197">
        <f t="shared" ref="K111:K116" si="79">IF($J$96=0,0,L111/(J$94+J$95))</f>
        <v>466.43476190476184</v>
      </c>
      <c r="L111" s="180">
        <f>SUMIFS(BV_Data_An_Cour!$O:$O,BV_Data_An_Cour!$U:$U,$B111,BV_Data_An_Cour!$V:$V,$C111,BV_Data_An_Cour!$W:$W,$L$2)</f>
        <v>19590.259999999998</v>
      </c>
      <c r="M111" s="303"/>
      <c r="N111" s="304">
        <f t="shared" ref="N111:N121" si="80">L111-I111</f>
        <v>7613.7057757574439</v>
      </c>
      <c r="O111" s="303"/>
      <c r="P111" s="197">
        <f t="shared" ref="P111:P116" si="81">IF($J$96=0,0,Q111/(O$94+O$95))</f>
        <v>338.90696969696972</v>
      </c>
      <c r="Q111" s="180">
        <f>SUMIFS(BV_Data_An_Prec!$O:$O,BV_Data_An_Prec!$U:$U,$B111,BV_Data_An_Prec!$V:$V,$C111,BV_Data_An_Prec!$W:$W,$L$2)</f>
        <v>11183.93</v>
      </c>
      <c r="R111" s="303"/>
      <c r="S111" s="199">
        <f t="shared" ref="S111:S121" si="82">L111-Q111</f>
        <v>8406.3299999999981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12386.739625694638</v>
      </c>
      <c r="G112" s="309"/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12386.739625694638</v>
      </c>
      <c r="J112" s="977">
        <f>L112/L104</f>
        <v>0.31948614708799128</v>
      </c>
      <c r="K112" s="413">
        <f t="shared" si="79"/>
        <v>531.40952380952388</v>
      </c>
      <c r="L112" s="1099">
        <f>SUMIFS(BV_Data_An_Cour!$O:$O,BV_Data_An_Cour!$U:$U,$B112,BV_Data_An_Cour!$V:$V,$C112,BV_Data_An_Cour!$W:$W,$L$2)</f>
        <v>22319.200000000001</v>
      </c>
      <c r="M112" s="310"/>
      <c r="N112" s="311">
        <f t="shared" si="80"/>
        <v>9932.4603743053631</v>
      </c>
      <c r="O112" s="310"/>
      <c r="P112" s="413">
        <f t="shared" si="81"/>
        <v>215.64272727272729</v>
      </c>
      <c r="Q112" s="180">
        <f>SUMIFS(BV_Data_An_Prec!$O:$O,BV_Data_An_Prec!$U:$U,$B112,BV_Data_An_Prec!$V:$V,$C112,BV_Data_An_Prec!$W:$W,$L$2)</f>
        <v>7116.21</v>
      </c>
      <c r="R112" s="310"/>
      <c r="S112" s="202">
        <f t="shared" si="82"/>
        <v>15202.990000000002</v>
      </c>
      <c r="T112" s="222"/>
      <c r="U112" s="222"/>
      <c r="V112" s="222"/>
      <c r="W112" s="222">
        <f>L104*0.25</f>
        <v>17464.919999999998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1299.7631102689124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1299.7631102689124</v>
      </c>
      <c r="J113" s="303"/>
      <c r="K113" s="197">
        <f t="shared" si="79"/>
        <v>52.679285714285719</v>
      </c>
      <c r="L113" s="181">
        <f>SUMIFS(BV_Data_An_Cour!$O:$O,BV_Data_An_Cour!$U:$U,$B113,BV_Data_An_Cour!$V:$V,$C113,BV_Data_An_Cour!$W:$W,$L$2)</f>
        <v>2212.5300000000002</v>
      </c>
      <c r="M113" s="303"/>
      <c r="N113" s="304">
        <f t="shared" si="80"/>
        <v>912.76688973108776</v>
      </c>
      <c r="O113" s="303"/>
      <c r="P113" s="197">
        <f t="shared" si="81"/>
        <v>6.0606060606060606E-4</v>
      </c>
      <c r="Q113" s="181">
        <f>SUMIFS(BV_Data_An_Prec!$O:$O,BV_Data_An_Prec!$U:$U,$B113,BV_Data_An_Prec!$V:$V,$C113,BV_Data_An_Prec!$W:$W,$L$2)</f>
        <v>0.02</v>
      </c>
      <c r="R113" s="303"/>
      <c r="S113" s="199">
        <f t="shared" si="82"/>
        <v>2212.5100000000002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2527.3171588562186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2527.3171588562186</v>
      </c>
      <c r="J114" s="303"/>
      <c r="K114" s="197">
        <f t="shared" si="79"/>
        <v>0</v>
      </c>
      <c r="L114" s="180">
        <f>SUMIFS(BV_Data_An_Cour!$O:$O,BV_Data_An_Cour!$U:$U,$B114,BV_Data_An_Cour!$V:$V,$C114,BV_Data_An_Cour!$W:$W,$L$2)</f>
        <v>0</v>
      </c>
      <c r="M114" s="303"/>
      <c r="N114" s="304">
        <f t="shared" si="80"/>
        <v>-2527.3171588562186</v>
      </c>
      <c r="O114" s="303"/>
      <c r="P114" s="197">
        <f t="shared" si="81"/>
        <v>0</v>
      </c>
      <c r="Q114" s="180">
        <f>SUMIFS(BV_Data_An_Prec!$O:$O,BV_Data_An_Prec!$U:$U,$B114,BV_Data_An_Prec!$V:$V,$C114,BV_Data_An_Prec!$W:$W,$L$2)</f>
        <v>0</v>
      </c>
      <c r="R114" s="303"/>
      <c r="S114" s="199">
        <f t="shared" si="82"/>
        <v>0</v>
      </c>
      <c r="T114" s="222"/>
      <c r="U114" s="222"/>
      <c r="V114" s="222"/>
      <c r="W114" s="979">
        <f>L112-W112</f>
        <v>4854.2800000000025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61</v>
      </c>
      <c r="F115" s="177">
        <f>+INDEX('Budget original'!$A$2:$AO$496,MATCH($A115,'Budget original'!$A$2:$A$496,0),MATCH(F$2,'Budget original'!$A$2:$AO$2,0))</f>
        <v>1468.2509208593269</v>
      </c>
      <c r="G115" s="309"/>
      <c r="H115" s="413">
        <f t="shared" si="78"/>
        <v>61</v>
      </c>
      <c r="I115" s="177">
        <f>+INDEX('Budget révisé'!$A$2:$AO$496,MATCH($A115,'Budget révisé'!$A$2:$A$496,0),MATCH(I$2,'Budget révisé'!$A$2:$AO$2,0))</f>
        <v>1468.2509208593269</v>
      </c>
      <c r="J115" s="310"/>
      <c r="K115" s="413">
        <f t="shared" si="79"/>
        <v>67.077380952380949</v>
      </c>
      <c r="L115" s="405">
        <f>SUMIFS(BV_Data_An_Cour!$O:$O,BV_Data_An_Cour!$U:$U,$B115,BV_Data_An_Cour!$V:$V,$C115,BV_Data_An_Cour!$W:$W,$L$2)</f>
        <v>2817.25</v>
      </c>
      <c r="M115" s="310"/>
      <c r="N115" s="311">
        <f t="shared" si="80"/>
        <v>1348.9990791406731</v>
      </c>
      <c r="O115" s="310"/>
      <c r="P115" s="413">
        <f t="shared" si="81"/>
        <v>42.99969696969697</v>
      </c>
      <c r="Q115" s="405">
        <f>SUMIFS(BV_Data_An_Prec!$O:$O,BV_Data_An_Prec!$U:$U,$B115,BV_Data_An_Prec!$V:$V,$C115,BV_Data_An_Prec!$W:$W,$L$2)</f>
        <v>1418.99</v>
      </c>
      <c r="R115" s="310"/>
      <c r="S115" s="202">
        <f t="shared" si="82"/>
        <v>1398.26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27.410526315789454</v>
      </c>
      <c r="F116" s="179">
        <f>+INDEX('Budget original'!$A$2:$AO$496,MATCH($A116,'Budget original'!$A$2:$A$496,0),MATCH(F$2,'Budget original'!$A$2:$AO$2,0))</f>
        <v>659.76279515404394</v>
      </c>
      <c r="G116" s="302"/>
      <c r="H116" s="197">
        <f t="shared" si="78"/>
        <v>27.410526315789454</v>
      </c>
      <c r="I116" s="179">
        <f>+INDEX('Budget révisé'!$A$2:$AO$496,MATCH($A116,'Budget révisé'!$A$2:$A$496,0),MATCH(I$2,'Budget révisé'!$A$2:$AO$2,0))</f>
        <v>659.76279515404394</v>
      </c>
      <c r="J116" s="303"/>
      <c r="K116" s="197">
        <f t="shared" si="79"/>
        <v>79.616428571428585</v>
      </c>
      <c r="L116" s="180">
        <f>SUMIFS(BV_Data_An_Cour!$O:$O,BV_Data_An_Cour!$U:$U,$B116,BV_Data_An_Cour!$V:$V,$C116,BV_Data_An_Cour!$W:$W,$L$2)</f>
        <v>3343.8900000000003</v>
      </c>
      <c r="M116" s="303"/>
      <c r="N116" s="304">
        <f t="shared" si="80"/>
        <v>2684.1272048459564</v>
      </c>
      <c r="O116" s="303"/>
      <c r="P116" s="197">
        <f t="shared" si="81"/>
        <v>180.30303030303031</v>
      </c>
      <c r="Q116" s="180">
        <f>SUMIFS(BV_Data_An_Prec!$O:$O,BV_Data_An_Prec!$U:$U,$B116,BV_Data_An_Prec!$V:$V,$C116,BV_Data_An_Prec!$W:$W,$L$2)</f>
        <v>5950</v>
      </c>
      <c r="R116" s="303"/>
      <c r="S116" s="199">
        <f t="shared" si="82"/>
        <v>-2606.1099999999997</v>
      </c>
      <c r="T116" s="222"/>
      <c r="U116" s="222"/>
      <c r="V116" s="222"/>
      <c r="W116" s="514" t="s">
        <v>2926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49.005918486367769</v>
      </c>
      <c r="F117" s="179">
        <f>+INDEX('Budget original'!$A$2:$AO$496,MATCH($A117,'Budget original'!$A$2:$A$496,0),MATCH(F$2,'Budget original'!$A$2:$AO$2,0))</f>
        <v>1179.5571302486326</v>
      </c>
      <c r="G117" s="302"/>
      <c r="H117" s="197">
        <f t="shared" ref="H117:H119" si="85">I117/G$96</f>
        <v>49.005918486367769</v>
      </c>
      <c r="I117" s="179">
        <f>+INDEX('Budget révisé'!$A$2:$AO$496,MATCH($A117,'Budget révisé'!$A$2:$A$496,0),MATCH(I$2,'Budget révisé'!$A$2:$AO$2,0))</f>
        <v>1179.5571302486326</v>
      </c>
      <c r="J117" s="303"/>
      <c r="K117" s="197">
        <f t="shared" ref="K117:K119" si="86">IF($J$96=0,0,L117/(J$94+J$95))</f>
        <v>14.973571428571429</v>
      </c>
      <c r="L117" s="180">
        <f>SUMIFS(BV_Data_An_Cour!$O:$O,BV_Data_An_Cour!$U:$U,$B117,BV_Data_An_Cour!$V:$V,$C117,BV_Data_An_Cour!$W:$W,$L$2)</f>
        <v>628.89</v>
      </c>
      <c r="M117" s="303"/>
      <c r="N117" s="304">
        <f t="shared" ref="N117:N119" si="87">L117-I117</f>
        <v>-550.66713024863259</v>
      </c>
      <c r="O117" s="303"/>
      <c r="P117" s="197">
        <f t="shared" ref="P117:P119" si="88">IF($J$96=0,0,Q117/(O$94+O$95))</f>
        <v>3.9672727272727268</v>
      </c>
      <c r="Q117" s="180">
        <f>SUMIFS(BV_Data_An_Prec!$O:$O,BV_Data_An_Prec!$U:$U,$B117,BV_Data_An_Prec!$V:$V,$C117,BV_Data_An_Prec!$W:$W,$L$2)</f>
        <v>130.91999999999999</v>
      </c>
      <c r="R117" s="303"/>
      <c r="S117" s="199">
        <f t="shared" ref="S117:S119" si="89">L117-Q117</f>
        <v>497.97</v>
      </c>
      <c r="T117" s="222"/>
      <c r="U117" s="222"/>
      <c r="V117" s="222"/>
      <c r="W117" s="979">
        <f>W114+W35</f>
        <v>7333.5400000000009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0.50976700661821273</v>
      </c>
      <c r="F121" s="41">
        <f>SUM(F111:F120)</f>
        <v>31497.944965324325</v>
      </c>
      <c r="G121" s="42" t="s">
        <v>111</v>
      </c>
      <c r="H121" s="40">
        <f>I121/I$107</f>
        <v>0.50976700661821273</v>
      </c>
      <c r="I121" s="41">
        <f>SUM(I111:I120)</f>
        <v>31497.944965324325</v>
      </c>
      <c r="J121" s="42" t="s">
        <v>111</v>
      </c>
      <c r="K121" s="40">
        <f>L121/L$107</f>
        <v>0.44273373713755571</v>
      </c>
      <c r="L121" s="41">
        <f>SUM(L111:L120)</f>
        <v>50912.02</v>
      </c>
      <c r="M121" s="44"/>
      <c r="N121" s="41">
        <f t="shared" si="80"/>
        <v>19414.075034675672</v>
      </c>
      <c r="O121" s="42" t="s">
        <v>111</v>
      </c>
      <c r="P121" s="40">
        <f>Q121/Q$107</f>
        <v>0.44862899004846213</v>
      </c>
      <c r="Q121" s="41">
        <f>SUM(Q111:Q120)</f>
        <v>25800.07</v>
      </c>
      <c r="R121" s="44"/>
      <c r="S121" s="316">
        <f t="shared" si="82"/>
        <v>25111.949999999997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6734.2802681992334</v>
      </c>
      <c r="G122" s="303"/>
      <c r="H122" s="178"/>
      <c r="I122" s="179">
        <f>+INDEX('Budget révisé'!$A$2:$AO$496,MATCH($A122,'Budget révisé'!$A$2:$A$496,0),MATCH(I$2,'Budget révisé'!$A$2:$AO$2,0))</f>
        <v>6734.2802681992334</v>
      </c>
      <c r="J122" s="303"/>
      <c r="K122" s="178"/>
      <c r="L122" s="281">
        <f>SUMIFS(BV_Data_An_Cour!$O:$O,BV_Data_An_Cour!$U:$U,$B122,BV_Data_An_Cour!$V:$V,$C122,BV_Data_An_Cour!$W:$W,$L$2)</f>
        <v>4858.37</v>
      </c>
      <c r="M122" s="303"/>
      <c r="N122" s="304">
        <f t="shared" ref="N122:N133" si="90">L122-I122</f>
        <v>-1875.9102681992335</v>
      </c>
      <c r="O122" s="303"/>
      <c r="P122" s="178"/>
      <c r="Q122" s="180">
        <f>SUMIFS(BV_Data_An_Prec!$O:$O,BV_Data_An_Prec!$U:$U,$B122,BV_Data_An_Prec!$V:$V,$C122,BV_Data_An_Prec!$W:$W,$L$2)</f>
        <v>10140.299999999999</v>
      </c>
      <c r="R122" s="303"/>
      <c r="S122" s="199">
        <f t="shared" ref="S122:S133" si="91">L122-Q122</f>
        <v>-5281.9299999999994</v>
      </c>
      <c r="T122" s="233"/>
      <c r="U122" s="233"/>
      <c r="V122" s="222" t="s">
        <v>2877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2330.0534588199239</v>
      </c>
      <c r="G123" s="302"/>
      <c r="H123" s="178"/>
      <c r="I123" s="177">
        <f>+INDEX('Budget révisé'!$A$2:$AO$496,MATCH($A123,'Budget révisé'!$A$2:$A$496,0),MATCH(I$2,'Budget révisé'!$A$2:$AO$2,0))</f>
        <v>2330.0534588199239</v>
      </c>
      <c r="J123" s="303"/>
      <c r="K123" s="178"/>
      <c r="L123" s="177">
        <f>SUMIFS(BV_Data_An_Cour!$O:$O,BV_Data_An_Cour!$U:$U,$B123,BV_Data_An_Cour!$V:$V,$C123,BV_Data_An_Cour!$W:$W,$L$2)</f>
        <v>2078.0100000000002</v>
      </c>
      <c r="M123" s="303"/>
      <c r="N123" s="304">
        <f t="shared" si="90"/>
        <v>-252.04345881992367</v>
      </c>
      <c r="O123" s="303"/>
      <c r="P123" s="178"/>
      <c r="Q123" s="177">
        <f>SUMIFS(BV_Data_An_Prec!$O:$O,BV_Data_An_Prec!$U:$U,$B123,BV_Data_An_Prec!$V:$V,$C123,BV_Data_An_Prec!$W:$W,$L$2)</f>
        <v>2559.4</v>
      </c>
      <c r="R123" s="303"/>
      <c r="S123" s="199">
        <f t="shared" si="91"/>
        <v>-481.38999999999987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7347.0356950068963</v>
      </c>
      <c r="G124" s="393"/>
      <c r="H124" s="352"/>
      <c r="I124" s="179">
        <f>+INDEX('Budget révisé'!$A$2:$AO$496,MATCH($A124,'Budget révisé'!$A$2:$A$496,0),MATCH(I$2,'Budget révisé'!$A$2:$AO$2,0))</f>
        <v>7347.0356950068963</v>
      </c>
      <c r="J124" s="368"/>
      <c r="K124" s="352"/>
      <c r="L124" s="281">
        <f>SUMIFS(BV_Data_An_Cour!$O:$O,BV_Data_An_Cour!$U:$U,$B124,BV_Data_An_Cour!$V:$V,$C124,BV_Data_An_Cour!$W:$W,$L$2)</f>
        <v>6845.89</v>
      </c>
      <c r="M124" s="368"/>
      <c r="N124" s="356">
        <f t="shared" si="90"/>
        <v>-501.14569500689595</v>
      </c>
      <c r="O124" s="368"/>
      <c r="P124" s="352"/>
      <c r="Q124" s="180">
        <f>SUMIFS(BV_Data_An_Prec!$O:$O,BV_Data_An_Prec!$U:$U,$B124,BV_Data_An_Prec!$V:$V,$C124,BV_Data_An_Prec!$W:$W,$L$2)</f>
        <v>10989.9</v>
      </c>
      <c r="R124" s="368"/>
      <c r="S124" s="201">
        <f t="shared" si="91"/>
        <v>-4144.0099999999993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4892.9595926355896</v>
      </c>
      <c r="G129" s="302"/>
      <c r="H129" s="178"/>
      <c r="I129" s="179">
        <f>+INDEX('Budget révisé'!$A$2:$AO$496,MATCH($A129,'Budget révisé'!$A$2:$A$496,0),MATCH(I$2,'Budget révisé'!$A$2:$AO$2,0))</f>
        <v>4892.9595926355896</v>
      </c>
      <c r="J129" s="303"/>
      <c r="K129" s="178"/>
      <c r="L129" s="180">
        <f>SUMIFS(BV_Data_An_Cour!$O:$O,BV_Data_An_Cour!$U:$U,$B129,BV_Data_An_Cour!$V:$V,$C129,BV_Data_An_Cour!$W:$W,$L$2)</f>
        <v>4893.1099999999997</v>
      </c>
      <c r="M129" s="303"/>
      <c r="N129" s="304">
        <f t="shared" si="93"/>
        <v>0.1504073644100572</v>
      </c>
      <c r="O129" s="303"/>
      <c r="P129" s="178"/>
      <c r="Q129" s="180">
        <f>SUMIFS(BV_Data_An_Prec!$O:$O,BV_Data_An_Prec!$U:$U,$B129,BV_Data_An_Prec!$V:$V,$C129,BV_Data_An_Prec!$W:$W,$L$2)</f>
        <v>5752.56</v>
      </c>
      <c r="R129" s="303"/>
      <c r="S129" s="199">
        <f t="shared" si="94"/>
        <v>-859.45000000000073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4892.9595926355896</v>
      </c>
      <c r="G130" s="287"/>
      <c r="H130" s="286"/>
      <c r="I130" s="633">
        <f>+INDEX('Budget révisé'!$A$2:$AO$496,MATCH($A130,'Budget révisé'!$A$2:$A$496,0),MATCH(I$2,'Budget révisé'!$A$2:$AO$2,0))</f>
        <v>4892.9595926355896</v>
      </c>
      <c r="J130" s="288"/>
      <c r="K130" s="286"/>
      <c r="L130" s="634">
        <f>SUMIFS(BV_Data_An_Cour!$O:$O,BV_Data_An_Cour!$U:$U,$B130,BV_Data_An_Cour!$V:$V,$C130,BV_Data_An_Cour!$W:$W,$L$2)</f>
        <v>6076.04</v>
      </c>
      <c r="M130" s="288"/>
      <c r="N130" s="356">
        <f t="shared" si="90"/>
        <v>1183.0804073644103</v>
      </c>
      <c r="O130" s="288"/>
      <c r="P130" s="286"/>
      <c r="Q130" s="634">
        <f>SUMIFS(BV_Data_An_Prec!$O:$O,BV_Data_An_Prec!$U:$U,$B130,BV_Data_An_Prec!$V:$V,$C130,BV_Data_An_Prec!$W:$W,$L$2)</f>
        <v>5933.28</v>
      </c>
      <c r="R130" s="288"/>
      <c r="S130" s="290">
        <f t="shared" si="91"/>
        <v>142.76000000000022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3506.6210413888389</v>
      </c>
      <c r="G131" s="283"/>
      <c r="H131" s="233"/>
      <c r="I131" s="231">
        <f>+INDEX('Budget révisé'!$A$2:$AO$496,MATCH($A131,'Budget révisé'!$A$2:$A$496,0),MATCH(I$2,'Budget révisé'!$A$2:$AO$2,0))</f>
        <v>3506.6210413888389</v>
      </c>
      <c r="J131" s="227"/>
      <c r="K131" s="233"/>
      <c r="L131" s="281">
        <f>SUMIFS(BV_Data_An_Cour!$O:$O,BV_Data_An_Cour!$U:$U,$B131,BV_Data_An_Cour!$V:$V,$C131,BV_Data_An_Cour!$W:$W,$L$2)</f>
        <v>3999.95</v>
      </c>
      <c r="M131" s="227"/>
      <c r="N131" s="304">
        <f t="shared" si="90"/>
        <v>493.32895861116094</v>
      </c>
      <c r="O131" s="227"/>
      <c r="P131" s="233"/>
      <c r="Q131" s="281">
        <f>SUMIFS(BV_Data_An_Prec!$O:$O,BV_Data_An_Prec!$U:$U,$B131,BV_Data_An_Prec!$V:$V,$C131,BV_Data_An_Prec!$W:$W,$L$2)</f>
        <v>3708.77</v>
      </c>
      <c r="R131" s="227"/>
      <c r="S131" s="284">
        <f t="shared" si="91"/>
        <v>291.17999999999984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815.49326543926497</v>
      </c>
      <c r="G132" s="283"/>
      <c r="H132" s="233"/>
      <c r="I132" s="231">
        <f>+INDEX('Budget révisé'!$A$2:$AO$496,MATCH($A132,'Budget révisé'!$A$2:$A$496,0),MATCH(I$2,'Budget révisé'!$A$2:$AO$2,0))</f>
        <v>815.49326543926497</v>
      </c>
      <c r="J132" s="227"/>
      <c r="K132" s="233"/>
      <c r="L132" s="281">
        <f>SUMIFS(BV_Data_An_Cour!$O:$O,BV_Data_An_Cour!$U:$U,$B132,BV_Data_An_Cour!$V:$V,$C132,BV_Data_An_Cour!$W:$W,$L$2)</f>
        <v>643.29999999999995</v>
      </c>
      <c r="M132" s="227"/>
      <c r="N132" s="304">
        <f t="shared" si="90"/>
        <v>-172.19326543926502</v>
      </c>
      <c r="O132" s="227"/>
      <c r="P132" s="233"/>
      <c r="Q132" s="281">
        <f>SUMIFS(BV_Data_An_Prec!$O:$O,BV_Data_An_Prec!$U:$U,$B132,BV_Data_An_Prec!$V:$V,$C132,BV_Data_An_Prec!$W:$W,$L$2)</f>
        <v>1484.04</v>
      </c>
      <c r="R132" s="227"/>
      <c r="S132" s="284">
        <f t="shared" si="91"/>
        <v>-840.74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0.49393014955217529</v>
      </c>
      <c r="F134" s="41">
        <f>+SUM(F122:F133)</f>
        <v>30519.402914125338</v>
      </c>
      <c r="G134" s="42" t="s">
        <v>111</v>
      </c>
      <c r="H134" s="40">
        <f>I134/I$107</f>
        <v>0.49393014955217529</v>
      </c>
      <c r="I134" s="41">
        <f>+SUM(I122:I133)</f>
        <v>30519.402914125338</v>
      </c>
      <c r="J134" s="42" t="s">
        <v>111</v>
      </c>
      <c r="K134" s="40">
        <f>L134/L$107</f>
        <v>0.25561767341042835</v>
      </c>
      <c r="L134" s="41">
        <f>SUM(L122:L133)</f>
        <v>29394.670000000002</v>
      </c>
      <c r="M134" s="43"/>
      <c r="N134" s="46">
        <f t="shared" ref="N134:N147" si="95">L134-I134</f>
        <v>-1124.7329141253358</v>
      </c>
      <c r="O134" s="42" t="s">
        <v>111</v>
      </c>
      <c r="P134" s="40">
        <f>Q134/Q$107</f>
        <v>0.70542804827791261</v>
      </c>
      <c r="Q134" s="41">
        <f>SUM(Q122:Q133)</f>
        <v>40568.25</v>
      </c>
      <c r="R134" s="43"/>
      <c r="S134" s="299">
        <f t="shared" ref="S134:S147" si="96">L134-Q134</f>
        <v>-11173.579999999998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1101">
        <f>SUMIFS(BV_Data_An_Cour!$O:$O,BV_Data_An_Cour!$U:$U,$B137,BV_Data_An_Cour!$V:$V,$C137,BV_Data_An_Cour!$W:$W,$L$2)</f>
        <v>-492.65</v>
      </c>
      <c r="M137" s="310"/>
      <c r="N137" s="311">
        <f t="shared" si="95"/>
        <v>-707.68999999999994</v>
      </c>
      <c r="O137" s="310"/>
      <c r="P137" s="308"/>
      <c r="Q137" s="177">
        <f>SUMIFS(BV_Data_An_Prec!$O:$O,BV_Data_An_Prec!$U:$U,$B137,BV_Data_An_Prec!$V:$V,$C137,BV_Data_An_Prec!$W:$W,$L$2)</f>
        <v>-2820.25</v>
      </c>
      <c r="R137" s="310"/>
      <c r="S137" s="202">
        <f t="shared" si="96"/>
        <v>2327.6</v>
      </c>
      <c r="T137" s="222"/>
      <c r="U137" s="222"/>
      <c r="V137" s="222" t="s">
        <v>2945</v>
      </c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1758.75</v>
      </c>
      <c r="M138" s="303"/>
      <c r="N138" s="304">
        <f t="shared" si="95"/>
        <v>-904.02359999999999</v>
      </c>
      <c r="O138" s="303"/>
      <c r="P138" s="178"/>
      <c r="Q138" s="180">
        <f>SUMIFS(BV_Data_An_Prec!$O:$O,BV_Data_An_Prec!$U:$U,$B138,BV_Data_An_Prec!$V:$V,$C138,BV_Data_An_Prec!$W:$W,$L$2)</f>
        <v>2561.62</v>
      </c>
      <c r="R138" s="303"/>
      <c r="S138" s="199">
        <f t="shared" si="96"/>
        <v>-802.86999999999989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220.28</v>
      </c>
      <c r="M139" s="303"/>
      <c r="N139" s="304">
        <f t="shared" si="95"/>
        <v>-378.40629999999999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-508.96000000000004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2766.5604999999996</v>
      </c>
      <c r="G140" s="309"/>
      <c r="H140" s="308"/>
      <c r="I140" s="177">
        <f>+INDEX('Budget révisé'!$A$2:$AO$496,MATCH($A140,'Budget révisé'!$A$2:$A$496,0),MATCH(I$2,'Budget révisé'!$A$2:$AO$2,0))</f>
        <v>2766.5604999999996</v>
      </c>
      <c r="J140" s="310"/>
      <c r="K140" s="308"/>
      <c r="L140" s="244">
        <f>SUMIFS(BV_Data_An_Cour!$O:$O,BV_Data_An_Cour!$U:$U,$B140,BV_Data_An_Cour!$V:$V,$C140,BV_Data_An_Cour!$W:$W,$L$2)</f>
        <v>850.06</v>
      </c>
      <c r="M140" s="310"/>
      <c r="N140" s="311">
        <f t="shared" si="95"/>
        <v>-1916.5004999999996</v>
      </c>
      <c r="O140" s="310"/>
      <c r="P140" s="308"/>
      <c r="Q140" s="177">
        <f>SUMIFS(BV_Data_An_Prec!$O:$O,BV_Data_An_Prec!$U:$U,$B140,BV_Data_An_Prec!$V:$V,$C140,BV_Data_An_Prec!$W:$W,$L$2)</f>
        <v>2104.48</v>
      </c>
      <c r="R140" s="310"/>
      <c r="S140" s="202">
        <f t="shared" si="96"/>
        <v>-1254.42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96.278748908808325</v>
      </c>
      <c r="G141" s="302"/>
      <c r="H141" s="178"/>
      <c r="I141" s="179">
        <f>+INDEX('Budget révisé'!$A$2:$AO$496,MATCH($A141,'Budget révisé'!$A$2:$A$496,0),MATCH(I$2,'Budget révisé'!$A$2:$AO$2,0))</f>
        <v>96.278748908808325</v>
      </c>
      <c r="J141" s="303"/>
      <c r="K141" s="178"/>
      <c r="L141" s="281">
        <f>SUMIFS(BV_Data_An_Cour!$O:$O,BV_Data_An_Cour!$U:$U,$B141,BV_Data_An_Cour!$V:$V,$C141,BV_Data_An_Cour!$W:$W,$L$2)</f>
        <v>0</v>
      </c>
      <c r="M141" s="303"/>
      <c r="N141" s="304">
        <f t="shared" si="95"/>
        <v>-96.278748908808325</v>
      </c>
      <c r="O141" s="303"/>
      <c r="P141" s="178"/>
      <c r="Q141" s="180">
        <f>SUMIFS(BV_Data_An_Prec!$O:$O,BV_Data_An_Prec!$U:$U,$B141,BV_Data_An_Prec!$V:$V,$C141,BV_Data_An_Prec!$W:$W,$L$2)</f>
        <v>111</v>
      </c>
      <c r="R141" s="303"/>
      <c r="S141" s="199">
        <f t="shared" si="96"/>
        <v>-111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144.71</v>
      </c>
      <c r="M143" s="303"/>
      <c r="N143" s="304">
        <f t="shared" si="95"/>
        <v>-116.88999999999996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-77.289999999999992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89.27</v>
      </c>
      <c r="M144" s="303"/>
      <c r="N144" s="304">
        <f t="shared" si="95"/>
        <v>-178.822</v>
      </c>
      <c r="O144" s="303"/>
      <c r="P144" s="178"/>
      <c r="Q144" s="180">
        <f>SUMIFS(BV_Data_An_Prec!$O:$O,BV_Data_An_Prec!$U:$U,$B144,BV_Data_An_Prec!$V:$V,$C144,BV_Data_An_Prec!$W:$W,$L$2)</f>
        <v>177.37</v>
      </c>
      <c r="R144" s="303"/>
      <c r="S144" s="199">
        <f t="shared" si="96"/>
        <v>-88.100000000000009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66.33</v>
      </c>
      <c r="M145" s="303"/>
      <c r="N145" s="304">
        <f t="shared" si="95"/>
        <v>-37.47</v>
      </c>
      <c r="O145" s="303"/>
      <c r="P145" s="178"/>
      <c r="Q145" s="180">
        <f>SUMIFS(BV_Data_An_Prec!$O:$O,BV_Data_An_Prec!$U:$U,$B145,BV_Data_An_Prec!$V:$V,$C145,BV_Data_An_Prec!$W:$W,$L$2)</f>
        <v>101.04</v>
      </c>
      <c r="R145" s="303"/>
      <c r="S145" s="199">
        <f t="shared" si="96"/>
        <v>-34.710000000000008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714.45</v>
      </c>
      <c r="M146" s="303"/>
      <c r="N146" s="304">
        <f t="shared" si="95"/>
        <v>283.53000000000009</v>
      </c>
      <c r="O146" s="303"/>
      <c r="P146" s="178"/>
      <c r="Q146" s="180">
        <f>SUMIFS(BV_Data_An_Prec!$O:$O,BV_Data_An_Prec!$U:$U,$B146,BV_Data_An_Prec!$V:$V,$C146,BV_Data_An_Prec!$W:$W,$L$2)</f>
        <v>617.49</v>
      </c>
      <c r="R146" s="303"/>
      <c r="S146" s="199">
        <f t="shared" si="96"/>
        <v>96.960000000000036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5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781.24280904704108</v>
      </c>
      <c r="G148" s="302"/>
      <c r="H148" s="178"/>
      <c r="I148" s="179">
        <f>+INDEX('Budget révisé'!$A$2:$AO$496,MATCH($A148,'Budget révisé'!$A$2:$A$496,0),MATCH(I$2,'Budget révisé'!$A$2:$AO$2,0))</f>
        <v>781.24280904704108</v>
      </c>
      <c r="J148" s="303"/>
      <c r="K148" s="178"/>
      <c r="L148" s="281">
        <f>AF447*W4</f>
        <v>667.57799999999997</v>
      </c>
      <c r="M148" s="303"/>
      <c r="N148" s="304">
        <f t="shared" ref="N148:N151" si="98">L148-I148</f>
        <v>-113.6648090470411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9">L148-Q148</f>
        <v>667.57799999999997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0.13377197742638672</v>
      </c>
      <c r="F152" s="41">
        <f>+SUM(F135:F151)</f>
        <v>8265.6239579558496</v>
      </c>
      <c r="G152" s="42" t="s">
        <v>111</v>
      </c>
      <c r="H152" s="40">
        <f>I152/I$107</f>
        <v>0.13377197742638672</v>
      </c>
      <c r="I152" s="41">
        <f>+SUM(I135:I151)</f>
        <v>8265.6239579558496</v>
      </c>
      <c r="J152" s="42" t="s">
        <v>111</v>
      </c>
      <c r="K152" s="40">
        <f>L152/L$107</f>
        <v>3.5039867499945844E-2</v>
      </c>
      <c r="L152" s="41">
        <f>+SUM(L135:L151)</f>
        <v>4029.3979999999997</v>
      </c>
      <c r="M152" s="44"/>
      <c r="N152" s="41">
        <f t="shared" ref="N152" si="100">L152-I152</f>
        <v>-4236.2259579558504</v>
      </c>
      <c r="O152" s="42" t="s">
        <v>111</v>
      </c>
      <c r="P152" s="40">
        <f>Q152/Q$107</f>
        <v>6.7363546732929089E-2</v>
      </c>
      <c r="Q152" s="41">
        <f>+SUM(Q135:Q151)</f>
        <v>3873.99</v>
      </c>
      <c r="R152" s="44"/>
      <c r="S152" s="316">
        <f t="shared" ref="S152" si="101">L152-Q152</f>
        <v>155.4079999999999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1.1374691335967746</v>
      </c>
      <c r="F154" s="41">
        <f>F121+F134+F152</f>
        <v>70282.971837405508</v>
      </c>
      <c r="G154" s="42" t="s">
        <v>111</v>
      </c>
      <c r="H154" s="40">
        <f>I154/I$107</f>
        <v>1.1374691335967746</v>
      </c>
      <c r="I154" s="41">
        <f>I121+I134+I152</f>
        <v>70282.971837405508</v>
      </c>
      <c r="J154" s="42" t="s">
        <v>111</v>
      </c>
      <c r="K154" s="40">
        <f>L154/L$107</f>
        <v>0.73339127804792992</v>
      </c>
      <c r="L154" s="41">
        <f>L121+L134+L152</f>
        <v>84336.088000000003</v>
      </c>
      <c r="M154" s="44"/>
      <c r="N154" s="46">
        <f>L154-I154</f>
        <v>14053.116162594495</v>
      </c>
      <c r="O154" s="42" t="s">
        <v>111</v>
      </c>
      <c r="P154" s="40">
        <f>Q154/Q$107</f>
        <v>1.2214205850593041</v>
      </c>
      <c r="Q154" s="41">
        <f>Q121+Q134+Q152</f>
        <v>70242.310000000012</v>
      </c>
      <c r="R154" s="44"/>
      <c r="S154" s="299">
        <f>L154-Q154</f>
        <v>14093.777999999991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8500</v>
      </c>
      <c r="G155" s="416"/>
      <c r="H155" s="415"/>
      <c r="I155" s="179">
        <f>+INDEX('Budget révisé'!$A$2:$AO$496,MATCH($A155,'Budget révisé'!$A$2:$A$496,0),MATCH(I$2,'Budget révisé'!$A$2:$AO$2,0))</f>
        <v>8500</v>
      </c>
      <c r="J155" s="416"/>
      <c r="K155" s="986"/>
      <c r="L155" s="985">
        <v>8500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8500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7560.2887580641736</v>
      </c>
      <c r="G158" s="302"/>
      <c r="H158" s="178"/>
      <c r="I158" s="179">
        <f>+INDEX('Budget révisé'!$A$2:$AO$496,MATCH($A158,'Budget révisé'!$A$2:$A$496,0),MATCH(I$2,'Budget révisé'!$A$2:$AO$2,0))</f>
        <v>7560.2887580641736</v>
      </c>
      <c r="J158" s="303"/>
      <c r="K158" s="233"/>
      <c r="L158" s="985">
        <f>349*J96</f>
        <v>14658</v>
      </c>
      <c r="M158" s="303"/>
      <c r="N158" s="304">
        <f t="shared" ref="N158" si="105">L158-I158</f>
        <v>7097.7112419358264</v>
      </c>
      <c r="O158" s="303"/>
      <c r="P158" s="178"/>
      <c r="Q158" s="180">
        <f>-SUMIFS(BV_Data_An_Prec!$O:$O,BV_Data_An_Prec!$U:$U,$B158,BV_Data_An_Prec!$V:$V,$C158,BV_Data_An_Prec!$W:$W,$L$2)</f>
        <v>0</v>
      </c>
      <c r="R158" s="303"/>
      <c r="S158" s="199">
        <f t="shared" ref="S158" si="106">L158-Q158</f>
        <v>14658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16060.288758064173</v>
      </c>
      <c r="G162" s="42"/>
      <c r="H162" s="40"/>
      <c r="I162" s="41">
        <f>+SUM(I155:I161)</f>
        <v>16060.288758064173</v>
      </c>
      <c r="J162" s="42"/>
      <c r="K162" s="40"/>
      <c r="L162" s="41">
        <f>+SUM(L155:L161)</f>
        <v>23158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23158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7566.2215700224151</v>
      </c>
      <c r="G164" s="344"/>
      <c r="H164" s="342"/>
      <c r="I164" s="343">
        <f>I107-I154+I162</f>
        <v>7566.2215700224151</v>
      </c>
      <c r="J164" s="345"/>
      <c r="K164" s="346"/>
      <c r="L164" s="343">
        <f>L107-L154+L162</f>
        <v>53816.582000000068</v>
      </c>
      <c r="M164" s="345"/>
      <c r="N164" s="343">
        <f>L164-I164</f>
        <v>46250.360429977649</v>
      </c>
      <c r="O164" s="345"/>
      <c r="P164" s="346"/>
      <c r="Q164" s="343">
        <f>Q107-Q154+Q162</f>
        <v>-12733.61</v>
      </c>
      <c r="R164" s="345"/>
      <c r="S164" s="347">
        <f>L164-Q164</f>
        <v>66550.192000000068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4" t="s">
        <v>77</v>
      </c>
      <c r="E169" s="1135"/>
      <c r="F169" s="1136"/>
      <c r="G169" s="1137" t="s">
        <v>145</v>
      </c>
      <c r="H169" s="1135"/>
      <c r="I169" s="1136"/>
      <c r="J169" s="1137" t="s">
        <v>79</v>
      </c>
      <c r="K169" s="1135"/>
      <c r="L169" s="1136"/>
      <c r="M169" s="1137" t="s">
        <v>80</v>
      </c>
      <c r="N169" s="1136"/>
      <c r="O169" s="1134" t="s">
        <v>81</v>
      </c>
      <c r="P169" s="1135"/>
      <c r="Q169" s="1136"/>
      <c r="R169" s="1137" t="s">
        <v>82</v>
      </c>
      <c r="S169" s="1138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395.91441996095165</v>
      </c>
      <c r="E171" s="197">
        <f>+INDEX('Budget original'!$A$2:$AO$496,MATCH($A171,'Budget original'!$A$2:$A$496,0),MATCH(E$2,'Budget original'!$A$2:$AO$2,0))</f>
        <v>97172.635743349791</v>
      </c>
      <c r="F171" s="197">
        <f>+INDEX('Budget original'!$A$2:$AO$496,MATCH($A171,'Budget original'!$A$2:$A$496,0),MATCH(F$2,'Budget original'!$A$2:$AO$2,0))</f>
        <v>72928.639682144712</v>
      </c>
      <c r="G171" s="348">
        <f>+INDEX('Budget révisé'!$A$2:$AO$496,MATCH($A171,'Budget révisé'!$A$2:$A$496,0),MATCH(G$2,'Budget révisé'!$A$2:$AO$2,0))</f>
        <v>395.91441996095165</v>
      </c>
      <c r="H171" s="197">
        <f>+INDEX('Budget révisé'!$A$2:$AO$496,MATCH($A171,'Budget révisé'!$A$2:$A$496,0),MATCH(H$2,'Budget révisé'!$A$2:$AO$2,0))</f>
        <v>97172.635743349791</v>
      </c>
      <c r="I171" s="197">
        <f>+INDEX('Budget révisé'!$A$2:$AO$496,MATCH($A171,'Budget révisé'!$A$2:$A$496,0),MATCH(I$2,'Budget révisé'!$A$2:$AO$2,0))</f>
        <v>72928.639682144712</v>
      </c>
      <c r="J171" s="325">
        <f>-SUMIFS(BV_Data_An_Cour!$O:$O,BV_Data_An_Cour!$U:$U,$B171,BV_Data_An_Cour!$V:$V,$C171,BV_Data_An_Cour!$W:$W,J$2)</f>
        <v>399</v>
      </c>
      <c r="K171" s="179">
        <f>-SUMIFS(BV_Data_An_Cour!$O:$O,BV_Data_An_Cour!$X:$X,"Oui",BV_Data_An_Cour!$U:$U,$B171,BV_Data_An_Cour!$V:$V,$C171)</f>
        <v>89666.81</v>
      </c>
      <c r="L171" s="180">
        <f>-SUMIFS(BV_Data_An_Cour!$O:$O,BV_Data_An_Cour!$U:$U,$B171,BV_Data_An_Cour!$V:$V,$C171,BV_Data_An_Cour!$W:$W,$L$2)</f>
        <v>71201.3</v>
      </c>
      <c r="M171" s="324">
        <f>(K171-H171)/H171</f>
        <v>-7.7242175082849598E-2</v>
      </c>
      <c r="N171" s="304">
        <f>L171-I171</f>
        <v>-1727.3396821447095</v>
      </c>
      <c r="O171" s="325">
        <f>-SUMIFS(BV_Data_An_Prec!$O:$O,BV_Data_An_Prec!$U:$U,$B171,BV_Data_An_Prec!$V:$V,$C171,BV_Data_An_Prec!$W:$W,O$2)</f>
        <v>344</v>
      </c>
      <c r="P171" s="179">
        <f>-SUMIFS(BV_Data_An_Prec!$O:$O,BV_Data_An_Prec!$X:$X,"Oui",BV_Data_An_Prec!$U:$U,$B171,BV_Data_An_Prec!$V:$V,$C171)</f>
        <v>82275.63</v>
      </c>
      <c r="Q171" s="180">
        <f>-SUMIFS(BV_Data_An_Prec!$O:$O,BV_Data_An_Prec!$U:$U,$B171,BV_Data_An_Prec!$V:$V,$C171,BV_Data_An_Prec!$W:$W,$L$2)</f>
        <v>59690.770000000004</v>
      </c>
      <c r="R171" s="324">
        <f>IF(O171=0,0,J171/O171)</f>
        <v>1.1598837209302326</v>
      </c>
      <c r="S171" s="199">
        <f>L171-Q171</f>
        <v>11510.529999999999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0.79406527342725819</v>
      </c>
      <c r="M172" s="324"/>
      <c r="N172" s="304"/>
      <c r="O172" s="325"/>
      <c r="P172" s="178"/>
      <c r="Q172" s="350">
        <f>IF(Q171=0,0,Q171/P171)</f>
        <v>0.7254975744336446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245.43848580441642</v>
      </c>
      <c r="F173" s="359"/>
      <c r="G173" s="310"/>
      <c r="H173" s="358">
        <f t="shared" ref="H173" si="111">IFERROR(H171/G171,0)</f>
        <v>245.43848580441642</v>
      </c>
      <c r="I173" s="359"/>
      <c r="J173" s="339"/>
      <c r="K173" s="573">
        <f t="shared" ref="K173" si="112">IFERROR(K171/J171,0)</f>
        <v>224.72884711779449</v>
      </c>
      <c r="L173" s="359"/>
      <c r="M173" s="361"/>
      <c r="N173" s="311"/>
      <c r="O173" s="339"/>
      <c r="P173" s="573">
        <f t="shared" ref="P173" si="113">IFERROR(P171/O171,0)</f>
        <v>239.17334302325582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285.24048684205479</v>
      </c>
      <c r="E174" s="197">
        <f>+INDEX('Budget original'!$A$2:$AO$496,MATCH($A174,'Budget original'!$A$2:$A$496,0),MATCH(E$2,'Budget original'!$A$2:$AO$2,0))</f>
        <v>50411.692917329121</v>
      </c>
      <c r="F174" s="197">
        <f>+INDEX('Budget original'!$A$2:$AO$496,MATCH($A174,'Budget original'!$A$2:$A$496,0),MATCH(F$2,'Budget original'!$A$2:$AO$2,0))</f>
        <v>35195.645918063725</v>
      </c>
      <c r="G174" s="354">
        <f>+INDEX('Budget révisé'!$A$2:$AO$496,MATCH($A174,'Budget révisé'!$A$2:$A$496,0),MATCH(G$2,'Budget révisé'!$A$2:$AO$2,0))</f>
        <v>285.24048684205479</v>
      </c>
      <c r="H174" s="197">
        <f>+INDEX('Budget révisé'!$A$2:$AO$496,MATCH($A174,'Budget révisé'!$A$2:$A$496,0),MATCH(H$2,'Budget révisé'!$A$2:$AO$2,0))</f>
        <v>50411.692917329121</v>
      </c>
      <c r="I174" s="197">
        <f>+INDEX('Budget révisé'!$A$2:$AO$496,MATCH($A174,'Budget révisé'!$A$2:$A$496,0),MATCH(I$2,'Budget révisé'!$A$2:$AO$2,0))</f>
        <v>35195.645918063725</v>
      </c>
      <c r="J174" s="354">
        <f>-SUMIFS(BV_Data_An_Cour!$O:$O,BV_Data_An_Cour!$U:$U,$B174,BV_Data_An_Cour!$V:$V,$C174,BV_Data_An_Cour!$W:$W,J$2)</f>
        <v>204</v>
      </c>
      <c r="K174" s="186">
        <f>-SUMIFS(BV_Data_An_Cour!$O:$O,BV_Data_An_Cour!$X:$X,"Oui",BV_Data_An_Cour!$U:$U,$B174,BV_Data_An_Cour!$V:$V,$C174)</f>
        <v>42296.04</v>
      </c>
      <c r="L174" s="180">
        <f>-SUMIFS(BV_Data_An_Cour!$O:$O,BV_Data_An_Cour!$U:$U,$B174,BV_Data_An_Cour!$V:$V,$C174,BV_Data_An_Cour!$W:$W,$L$2)</f>
        <v>30540.940000000002</v>
      </c>
      <c r="M174" s="324">
        <f>(K174-H174)/H174</f>
        <v>-0.16098750999372505</v>
      </c>
      <c r="N174" s="356">
        <f>L174-I174</f>
        <v>-4654.7059180637225</v>
      </c>
      <c r="O174" s="354">
        <f>-SUMIFS(BV_Data_An_Prec!$O:$O,BV_Data_An_Prec!$U:$U,$B174,BV_Data_An_Prec!$V:$V,$C174,BV_Data_An_Prec!$W:$W,O$2)</f>
        <v>282</v>
      </c>
      <c r="P174" s="186">
        <f>-SUMIFS(BV_Data_An_Prec!$O:$O,BV_Data_An_Prec!$X:$X,"Oui",BV_Data_An_Prec!$U:$U,$B174,BV_Data_An_Prec!$V:$V,$C174)</f>
        <v>64816.27</v>
      </c>
      <c r="Q174" s="180">
        <f>-SUMIFS(BV_Data_An_Prec!$O:$O,BV_Data_An_Prec!$U:$U,$B174,BV_Data_An_Prec!$V:$V,$C174,BV_Data_An_Prec!$W:$W,$L$2)</f>
        <v>44274.569999999992</v>
      </c>
      <c r="R174" s="324">
        <f>IF(O174=0,0,J174/O174)</f>
        <v>0.72340425531914898</v>
      </c>
      <c r="S174" s="199">
        <f>L174-Q174</f>
        <v>-13733.62999999999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0.72207563639527483</v>
      </c>
      <c r="M175" s="362"/>
      <c r="N175" s="332"/>
      <c r="O175" s="303"/>
      <c r="P175" s="178"/>
      <c r="Q175" s="350">
        <f>IF(Q174=0,0,Q174/P174)</f>
        <v>0.68307802963669451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222.73320905479713</v>
      </c>
      <c r="E177" s="197">
        <f>+INDEX('Budget original'!$A$2:$AO$496,MATCH($A177,'Budget original'!$A$2:$A$496,0),MATCH(E$2,'Budget original'!$A$2:$AO$2,0))</f>
        <v>52525.429717539402</v>
      </c>
      <c r="F177" s="197">
        <f>+INDEX('Budget original'!$A$2:$AO$496,MATCH($A177,'Budget original'!$A$2:$A$496,0),MATCH(F$2,'Budget original'!$A$2:$AO$2,0))</f>
        <v>38513.041356783542</v>
      </c>
      <c r="G177" s="303">
        <f>+INDEX('Budget révisé'!$A$2:$AO$496,MATCH($A177,'Budget révisé'!$A$2:$A$496,0),MATCH(G$2,'Budget révisé'!$A$2:$AO$2,0))</f>
        <v>222.73320905479713</v>
      </c>
      <c r="H177" s="197">
        <f>+INDEX('Budget révisé'!$A$2:$AO$496,MATCH($A177,'Budget révisé'!$A$2:$A$496,0),MATCH(H$2,'Budget révisé'!$A$2:$AO$2,0))</f>
        <v>52525.429717539402</v>
      </c>
      <c r="I177" s="197">
        <f>+INDEX('Budget révisé'!$A$2:$AO$496,MATCH($A177,'Budget révisé'!$A$2:$A$496,0),MATCH(I$2,'Budget révisé'!$A$2:$AO$2,0))</f>
        <v>38513.041356783542</v>
      </c>
      <c r="J177" s="325">
        <f>-SUMIFS(BV_Data_An_Cour!$O:$O,BV_Data_An_Cour!$U:$U,$B177,BV_Data_An_Cour!$V:$V,$C177,BV_Data_An_Cour!$W:$W,J$2)</f>
        <v>397</v>
      </c>
      <c r="K177" s="186">
        <f>-SUMIFS(BV_Data_An_Cour!$O:$O,BV_Data_An_Cour!$X:$X,"Oui",BV_Data_An_Cour!$U:$U,$B177,BV_Data_An_Cour!$V:$V,$C177)</f>
        <v>75196.51999999999</v>
      </c>
      <c r="L177" s="180">
        <f>-SUMIFS(BV_Data_An_Cour!$O:$O,BV_Data_An_Cour!$U:$U,$B177,BV_Data_An_Cour!$V:$V,$C177,BV_Data_An_Cour!$W:$W,$L$2)</f>
        <v>55997.979999999989</v>
      </c>
      <c r="M177" s="324">
        <f>(K177-H177)/H177</f>
        <v>0.43162122431699418</v>
      </c>
      <c r="N177" s="304">
        <f t="shared" ref="N177:N178" si="114">L177-I177</f>
        <v>17484.938643216447</v>
      </c>
      <c r="O177" s="325">
        <f>-SUMIFS(BV_Data_An_Prec!$O:$O,BV_Data_An_Prec!$U:$U,$B177,BV_Data_An_Prec!$V:$V,$C177,BV_Data_An_Prec!$W:$W,O$2)</f>
        <v>214</v>
      </c>
      <c r="P177" s="186">
        <f>-SUMIFS(BV_Data_An_Prec!$O:$O,BV_Data_An_Prec!$X:$X,"Oui",BV_Data_An_Prec!$U:$U,$B177,BV_Data_An_Prec!$V:$V,$C177)</f>
        <v>38804.76</v>
      </c>
      <c r="Q177" s="180">
        <f>-SUMIFS(BV_Data_An_Prec!$O:$O,BV_Data_An_Prec!$U:$U,$B177,BV_Data_An_Prec!$V:$V,$C177,BV_Data_An_Prec!$W:$W,$L$2)</f>
        <v>26486.340000000004</v>
      </c>
      <c r="R177" s="324">
        <f>IF(O177=0,0,J177/O177)</f>
        <v>1.8551401869158879</v>
      </c>
      <c r="S177" s="199">
        <f>L177-Q177</f>
        <v>29511.639999999985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0.7446884510081051</v>
      </c>
      <c r="M178" s="324"/>
      <c r="N178" s="304">
        <f t="shared" si="114"/>
        <v>1.146186792461279E-2</v>
      </c>
      <c r="O178" s="325"/>
      <c r="P178" s="349"/>
      <c r="Q178" s="350">
        <f>IF(Q177=0,0,Q177/P177)</f>
        <v>0.68255389287293622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0</v>
      </c>
      <c r="F180" s="197">
        <f>+INDEX('Budget original'!$A$2:$AO$496,MATCH($A180,'Budget original'!$A$2:$A$496,0),MATCH(F$2,'Budget original'!$A$2:$AO$2,0))</f>
        <v>0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0</v>
      </c>
      <c r="I180" s="197">
        <f>+INDEX('Budget révisé'!$A$2:$AO$496,MATCH($A180,'Budget révisé'!$A$2:$A$496,0),MATCH(I$2,'Budget révisé'!$A$2:$AO$2,0))</f>
        <v>0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572.42999999999995</v>
      </c>
      <c r="L180" s="181">
        <f>-SUMIFS(BV_Data_An_Cour!$O:$O,BV_Data_An_Cour!$U:$U,$B180,BV_Data_An_Cour!$V:$V,$C180,BV_Data_An_Cour!$W:$W,$L$2)</f>
        <v>522.4799999999999</v>
      </c>
      <c r="M180" s="355">
        <f>IF(H180=0,0,(K180-H180)/H180)</f>
        <v>0</v>
      </c>
      <c r="N180" s="356">
        <f>L180-I180</f>
        <v>522.4799999999999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0</v>
      </c>
      <c r="Q180" s="181">
        <f>-SUMIFS(BV_Data_An_Prec!$O:$O,BV_Data_An_Prec!$U:$U,$B180,BV_Data_An_Prec!$V:$V,$C180,BV_Data_An_Prec!$W:$W,$L$2)</f>
        <v>0</v>
      </c>
      <c r="R180" s="324">
        <f>IF(O180=0,0,J180/O180)</f>
        <v>0</v>
      </c>
      <c r="S180" s="201">
        <f>L180-Q180</f>
        <v>522.4799999999999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</v>
      </c>
      <c r="G181" s="313"/>
      <c r="H181" s="370"/>
      <c r="I181" s="350">
        <f>IFERROR(I180/H180,0)</f>
        <v>0</v>
      </c>
      <c r="J181" s="371"/>
      <c r="K181" s="370">
        <f>IF(J181&lt;=0,0,L181/J181)</f>
        <v>0</v>
      </c>
      <c r="L181" s="350">
        <f>IF(L180=0,0,L180/K180)</f>
        <v>0.91274042240972686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-3475.7080423797106</v>
      </c>
      <c r="G183" s="303"/>
      <c r="H183" s="197"/>
      <c r="I183" s="197">
        <f>+INDEX('Budget révisé'!$A$2:$AO$496,MATCH($A183,'Budget révisé'!$A$2:$A$496,0),MATCH(I$2,'Budget révisé'!$A$2:$AO$2,0))</f>
        <v>-3475.7080423797106</v>
      </c>
      <c r="J183" s="325"/>
      <c r="K183" s="197"/>
      <c r="L183" s="197">
        <f>-SUMIFS(BV_Data_An_Cour!$O:$O,BV_Data_An_Cour!$U:$U,$B183,BV_Data_An_Cour!$V:$V,$C183,BV_Data_An_Cour!$W:$W,$L$2)</f>
        <v>-3087.66</v>
      </c>
      <c r="M183" s="371"/>
      <c r="N183" s="304">
        <f t="shared" ref="N183:N184" si="115">L183-I183</f>
        <v>388.04804237971075</v>
      </c>
      <c r="O183" s="325"/>
      <c r="P183" s="197"/>
      <c r="Q183" s="180">
        <f>-SUMIFS(BV_Data_An_Prec!$O:$O,BV_Data_An_Prec!$U:$U,$B183,BV_Data_An_Prec!$V:$V,$C183,BV_Data_An_Prec!$W:$W,$L$2)</f>
        <v>-3388.98</v>
      </c>
      <c r="R183" s="209"/>
      <c r="S183" s="199">
        <f t="shared" ref="S183:S184" si="116">L183-Q183</f>
        <v>301.32000000000016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200109.75837821831</v>
      </c>
      <c r="F184" s="59">
        <f t="shared" si="117"/>
        <v>143161.61891461228</v>
      </c>
      <c r="G184" s="60"/>
      <c r="H184" s="58">
        <f t="shared" ref="H184:I184" si="118">H171+H174+H177+H180+H183</f>
        <v>200109.75837821831</v>
      </c>
      <c r="I184" s="59">
        <f t="shared" si="118"/>
        <v>143161.61891461228</v>
      </c>
      <c r="J184" s="60">
        <f t="shared" ref="J184:L184" si="119">J171+J174+J177+J180+J183</f>
        <v>1000</v>
      </c>
      <c r="K184" s="58">
        <f t="shared" si="119"/>
        <v>207731.8</v>
      </c>
      <c r="L184" s="59">
        <f t="shared" si="119"/>
        <v>155175.04000000001</v>
      </c>
      <c r="M184" s="61">
        <f>(K184-H184)/H184</f>
        <v>3.8089305007183154E-2</v>
      </c>
      <c r="N184" s="59">
        <f t="shared" si="115"/>
        <v>12013.42108538773</v>
      </c>
      <c r="O184" s="60">
        <f t="shared" ref="O184:Q184" si="120">O171+O174+O177+O180+O183</f>
        <v>840</v>
      </c>
      <c r="P184" s="58">
        <f t="shared" si="120"/>
        <v>185896.66</v>
      </c>
      <c r="Q184" s="59">
        <f t="shared" si="120"/>
        <v>127062.7</v>
      </c>
      <c r="R184" s="381">
        <f>IF(O184=0,0,J184/O184)</f>
        <v>1.1904761904761905</v>
      </c>
      <c r="S184" s="382">
        <f t="shared" si="116"/>
        <v>28112.340000000011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0.71541548035867919</v>
      </c>
      <c r="G185" s="64"/>
      <c r="H185" s="62"/>
      <c r="I185" s="332">
        <f>I184/H184</f>
        <v>0.71541548035867919</v>
      </c>
      <c r="J185" s="64"/>
      <c r="K185" s="65">
        <f>IF(J184=0,0,K184/J184)</f>
        <v>207.73179999999999</v>
      </c>
      <c r="L185" s="332">
        <f>IF(L184=0,0,L184/K184)</f>
        <v>0.74699704137739154</v>
      </c>
      <c r="M185" s="64"/>
      <c r="N185" s="63">
        <f>N184/I184</f>
        <v>8.3915096633218778E-2</v>
      </c>
      <c r="O185" s="64"/>
      <c r="P185" s="65">
        <f>IF(O184=0,0,P184/O184)</f>
        <v>221.30554761904762</v>
      </c>
      <c r="Q185" s="332">
        <f>IF(Q184=0,0,Q184/P184)</f>
        <v>0.68351254939168893</v>
      </c>
      <c r="R185" s="64"/>
      <c r="S185" s="333">
        <f>IF(R184=0,0,S184/R184)</f>
        <v>23614.365600000008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24221.91661324873</v>
      </c>
      <c r="F187" s="228">
        <f>+INDEX('Budget original'!$A$2:$AO$496,MATCH($A187,'Budget original'!$A$2:$A$496,0),MATCH(F$2,'Budget original'!$A$2:$AO$2,0))</f>
        <v>5813.2599871796947</v>
      </c>
      <c r="G187" s="230"/>
      <c r="H187" s="228">
        <f>+INDEX('Budget révisé'!$A$2:$AO$496,MATCH($A187,'Budget révisé'!$A$2:$A$496,0),MATCH(H$2,'Budget révisé'!$A$2:$AO$2,0))</f>
        <v>24221.91661324873</v>
      </c>
      <c r="I187" s="228">
        <f>+INDEX('Budget révisé'!$A$2:$AO$496,MATCH($A187,'Budget révisé'!$A$2:$A$496,0),MATCH(I$2,'Budget révisé'!$A$2:$AO$2,0))</f>
        <v>5813.2599871796947</v>
      </c>
      <c r="J187" s="230"/>
      <c r="K187" s="231">
        <f>-SUMIFS(BV_Data_An_Cour!$O:$O,BV_Data_An_Cour!$X:$X,"Oui",BV_Data_An_Cour!$U:$U,$B187,BV_Data_An_Cour!$V:$V,$C187)</f>
        <v>22280.75</v>
      </c>
      <c r="L187" s="281">
        <f>-SUMIFS(BV_Data_An_Cour!$O:$O,BV_Data_An_Cour!$U:$U,$B187,BV_Data_An_Cour!$V:$V,$C187,BV_Data_An_Cour!$W:$W,$L$2)</f>
        <v>5241.75</v>
      </c>
      <c r="M187" s="511">
        <f>IF(H187=0,0,(K187-H187)/H187)</f>
        <v>-8.014091718022695E-2</v>
      </c>
      <c r="N187" s="232">
        <f>L187-I187</f>
        <v>-571.50998717969469</v>
      </c>
      <c r="O187" s="230"/>
      <c r="P187" s="231">
        <f>-SUMIFS(BV_Data_An_Prec!$O:$O,BV_Data_An_Prec!$X:$X,"Oui",BV_Data_An_Prec!$U:$U,$B187,BV_Data_An_Prec!$V:$V,$C187)</f>
        <v>34009.839999999997</v>
      </c>
      <c r="Q187" s="281">
        <f>-SUMIFS(BV_Data_An_Prec!$O:$O,BV_Data_An_Prec!$U:$U,$B187,BV_Data_An_Prec!$V:$V,$C187,BV_Data_An_Prec!$W:$W,$L$2)</f>
        <v>9532.2099999999991</v>
      </c>
      <c r="R187" s="386">
        <f>IF(O187=0,0,J187/O187)</f>
        <v>0</v>
      </c>
      <c r="S187" s="284">
        <f>L187-Q187</f>
        <v>-4290.4599999999991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0.23525913624990183</v>
      </c>
      <c r="M188" s="236"/>
      <c r="N188" s="238"/>
      <c r="O188" s="236"/>
      <c r="P188" s="237"/>
      <c r="Q188" s="235">
        <f>IF(Q187=0,0,Q187/P187)</f>
        <v>0.28027800189592189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224331.67499146704</v>
      </c>
      <c r="F193" s="28">
        <f t="shared" si="121"/>
        <v>148974.87890179196</v>
      </c>
      <c r="G193" s="29"/>
      <c r="H193" s="26">
        <f t="shared" ref="H193:I193" si="122">H184+H187+H190</f>
        <v>224331.67499146704</v>
      </c>
      <c r="I193" s="28">
        <f t="shared" si="122"/>
        <v>148974.87890179196</v>
      </c>
      <c r="J193" s="29"/>
      <c r="K193" s="26">
        <f>K184+K187+K190</f>
        <v>230012.55</v>
      </c>
      <c r="L193" s="28">
        <f t="shared" ref="L193" si="123">L184+L187+L190</f>
        <v>160416.79</v>
      </c>
      <c r="M193" s="70">
        <f>L194-I194</f>
        <v>3.3343127980025256E-2</v>
      </c>
      <c r="N193" s="28">
        <f>L193-I193</f>
        <v>11441.911098208046</v>
      </c>
      <c r="O193" s="29"/>
      <c r="P193" s="26">
        <f>P184+P187+P190</f>
        <v>219906.5</v>
      </c>
      <c r="Q193" s="28">
        <f t="shared" ref="Q193" si="124">Q184+Q187+Q190</f>
        <v>136594.91</v>
      </c>
      <c r="R193" s="70">
        <f>L194-Q194</f>
        <v>7.627630586158296E-2</v>
      </c>
      <c r="S193" s="363">
        <f>L193-Q193</f>
        <v>23821.880000000005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0.66408312115290258</v>
      </c>
      <c r="G194" s="31"/>
      <c r="H194" s="365"/>
      <c r="I194" s="34">
        <f>I193/H193</f>
        <v>0.66408312115290258</v>
      </c>
      <c r="J194" s="31"/>
      <c r="K194" s="365"/>
      <c r="L194" s="34">
        <f>L193/K193</f>
        <v>0.69742624913292783</v>
      </c>
      <c r="M194" s="33"/>
      <c r="N194" s="34">
        <f>N193/I193</f>
        <v>7.6804298701600854E-2</v>
      </c>
      <c r="O194" s="31"/>
      <c r="P194" s="365"/>
      <c r="Q194" s="34">
        <f>Q193/P193</f>
        <v>0.62114994327134487</v>
      </c>
      <c r="R194" s="33"/>
      <c r="S194" s="272">
        <f>L193/S193</f>
        <v>6.7340104979120028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12996.084369655171</v>
      </c>
      <c r="G197" s="303"/>
      <c r="H197" s="178"/>
      <c r="I197" s="179">
        <f>+INDEX('Budget révisé'!$A$2:$AO$496,MATCH($A197,'Budget révisé'!$A$2:$A$496,0),MATCH(I$2,'Budget révisé'!$A$2:$AO$2,0))</f>
        <v>12996.084369655171</v>
      </c>
      <c r="J197" s="303"/>
      <c r="K197" s="178"/>
      <c r="L197" s="180">
        <f>SUMIFS(BV_Data_An_Cour!$O:$O,BV_Data_An_Cour!$U:$U,$B197,BV_Data_An_Cour!$V:$V,$C197,BV_Data_An_Cour!$W:$W,$L$2)</f>
        <v>7357.42</v>
      </c>
      <c r="M197" s="303"/>
      <c r="N197" s="304">
        <f t="shared" ref="N197:N208" si="125">L197-I197</f>
        <v>-5638.664369655171</v>
      </c>
      <c r="O197" s="303"/>
      <c r="P197" s="178"/>
      <c r="Q197" s="180">
        <f>SUMIFS(BV_Data_An_Prec!$O:$O,BV_Data_An_Prec!$U:$U,$B197,BV_Data_An_Prec!$V:$V,$C197,BV_Data_An_Prec!$W:$W,$L$2)</f>
        <v>12092.75</v>
      </c>
      <c r="R197" s="303"/>
      <c r="S197" s="399">
        <f>L197-Q197</f>
        <v>-4735.33</v>
      </c>
      <c r="T197" s="233"/>
      <c r="U197" s="233"/>
      <c r="V197" s="233" t="s">
        <v>2878</v>
      </c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9578.9918501609191</v>
      </c>
      <c r="G198" s="302"/>
      <c r="H198" s="178"/>
      <c r="I198" s="177">
        <f>+INDEX('Budget révisé'!$A$2:$AO$496,MATCH($A198,'Budget révisé'!$A$2:$A$496,0),MATCH(I$2,'Budget révisé'!$A$2:$AO$2,0))</f>
        <v>9578.9918501609191</v>
      </c>
      <c r="J198" s="303"/>
      <c r="K198" s="178"/>
      <c r="L198" s="180">
        <f>SUMIFS(BV_Data_An_Cour!$O:$O,BV_Data_An_Cour!$U:$U,$B198,BV_Data_An_Cour!$V:$V,$C198,BV_Data_An_Cour!$W:$W,$L$2)</f>
        <v>7597.25</v>
      </c>
      <c r="M198" s="303"/>
      <c r="N198" s="304">
        <f t="shared" si="125"/>
        <v>-1981.7418501609191</v>
      </c>
      <c r="O198" s="303"/>
      <c r="P198" s="178"/>
      <c r="Q198" s="180">
        <f>SUMIFS(BV_Data_An_Prec!$O:$O,BV_Data_An_Prec!$U:$U,$B198,BV_Data_An_Prec!$V:$V,$C198,BV_Data_An_Prec!$W:$W,$L$2)</f>
        <v>6668.69</v>
      </c>
      <c r="R198" s="303"/>
      <c r="S198" s="199">
        <f t="shared" ref="S198:S227" si="126">L198-Q198</f>
        <v>928.5600000000004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12939.537502639081</v>
      </c>
      <c r="G199" s="393"/>
      <c r="H199" s="352"/>
      <c r="I199" s="179">
        <f>+INDEX('Budget révisé'!$A$2:$AO$496,MATCH($A199,'Budget révisé'!$A$2:$A$496,0),MATCH(I$2,'Budget révisé'!$A$2:$AO$2,0))</f>
        <v>12939.537502639081</v>
      </c>
      <c r="J199" s="368"/>
      <c r="K199" s="352"/>
      <c r="L199" s="181">
        <f>SUMIFS(BV_Data_An_Cour!$O:$O,BV_Data_An_Cour!$U:$U,$B199,BV_Data_An_Cour!$V:$V,$C199,BV_Data_An_Cour!$W:$W,$L$2)</f>
        <v>14700.04</v>
      </c>
      <c r="M199" s="368"/>
      <c r="N199" s="356">
        <f t="shared" si="125"/>
        <v>1760.5024973609197</v>
      </c>
      <c r="O199" s="368"/>
      <c r="P199" s="352"/>
      <c r="Q199" s="181">
        <f>SUMIFS(BV_Data_An_Prec!$O:$O,BV_Data_An_Prec!$U:$U,$B199,BV_Data_An_Prec!$V:$V,$C199,BV_Data_An_Prec!$W:$W,$L$2)</f>
        <v>8643.08</v>
      </c>
      <c r="R199" s="368"/>
      <c r="S199" s="201">
        <f t="shared" si="126"/>
        <v>6056.9600000000009</v>
      </c>
      <c r="T199" s="222"/>
      <c r="U199" s="222"/>
      <c r="V199" s="222" t="s">
        <v>2881</v>
      </c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31750.067806896557</v>
      </c>
      <c r="G200" s="302"/>
      <c r="H200" s="178"/>
      <c r="I200" s="179">
        <f>+INDEX('Budget révisé'!$A$2:$AO$496,MATCH($A200,'Budget révisé'!$A$2:$A$496,0),MATCH(I$2,'Budget révisé'!$A$2:$AO$2,0))</f>
        <v>31750.067806896557</v>
      </c>
      <c r="J200" s="303"/>
      <c r="K200" s="178"/>
      <c r="L200" s="180">
        <f>SUMIFS(BV_Data_An_Cour!$O:$O,BV_Data_An_Cour!$U:$U,$B200,BV_Data_An_Cour!$V:$V,$C200,BV_Data_An_Cour!$W:$W,$L$2)</f>
        <v>25430.05</v>
      </c>
      <c r="M200" s="303"/>
      <c r="N200" s="304">
        <f t="shared" si="125"/>
        <v>-6320.0178068965579</v>
      </c>
      <c r="O200" s="303"/>
      <c r="P200" s="178"/>
      <c r="Q200" s="180">
        <f>SUMIFS(BV_Data_An_Prec!$O:$O,BV_Data_An_Prec!$U:$U,$B200,BV_Data_An_Prec!$V:$V,$C200,BV_Data_An_Prec!$W:$W,$L$2)</f>
        <v>17311.25</v>
      </c>
      <c r="R200" s="303"/>
      <c r="S200" s="199">
        <f t="shared" si="126"/>
        <v>8118.7999999999993</v>
      </c>
      <c r="T200" s="222"/>
      <c r="U200" s="222"/>
      <c r="V200" s="222">
        <v>-1.5</v>
      </c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17604.907383522208</v>
      </c>
      <c r="G204" s="302"/>
      <c r="H204" s="178"/>
      <c r="I204" s="179">
        <f>+INDEX('Budget révisé'!$A$2:$AO$496,MATCH($A204,'Budget révisé'!$A$2:$A$496,0),MATCH(I$2,'Budget révisé'!$A$2:$AO$2,0))</f>
        <v>17604.907383522208</v>
      </c>
      <c r="J204" s="303"/>
      <c r="K204" s="178"/>
      <c r="L204" s="180">
        <f>SUMIFS(BV_Data_An_Cour!$O:$O,BV_Data_An_Cour!$U:$U,$B204,BV_Data_An_Cour!$V:$V,$C204,BV_Data_An_Cour!$W:$W,$L$2)</f>
        <v>17605.2</v>
      </c>
      <c r="M204" s="303"/>
      <c r="N204" s="304">
        <f t="shared" si="127"/>
        <v>0.29261647779276245</v>
      </c>
      <c r="O204" s="303"/>
      <c r="P204" s="178"/>
      <c r="Q204" s="180">
        <f>SUMIFS(BV_Data_An_Prec!$O:$O,BV_Data_An_Prec!$U:$U,$B204,BV_Data_An_Prec!$V:$V,$C204,BV_Data_An_Prec!$W:$W,$L$2)</f>
        <v>14747.25</v>
      </c>
      <c r="R204" s="303"/>
      <c r="S204" s="199">
        <f t="shared" si="128"/>
        <v>2857.9500000000007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17604.907383522208</v>
      </c>
      <c r="G205" s="393"/>
      <c r="H205" s="352"/>
      <c r="I205" s="429">
        <f>+INDEX('Budget révisé'!$A$2:$AO$496,MATCH($A205,'Budget révisé'!$A$2:$A$496,0),MATCH(I$2,'Budget révisé'!$A$2:$AO$2,0))</f>
        <v>17604.907383522208</v>
      </c>
      <c r="J205" s="368"/>
      <c r="K205" s="352"/>
      <c r="L205" s="1102">
        <f>SUMIFS(BV_Data_An_Cour!$O:$O,BV_Data_An_Cour!$U:$U,$B205,BV_Data_An_Cour!$V:$V,$C205,BV_Data_An_Cour!$W:$W,$L$2)</f>
        <v>14893.12</v>
      </c>
      <c r="M205" s="368"/>
      <c r="N205" s="356">
        <f t="shared" si="125"/>
        <v>-2711.7873835222072</v>
      </c>
      <c r="O205" s="368"/>
      <c r="P205" s="352"/>
      <c r="Q205" s="181">
        <f>SUMIFS(BV_Data_An_Prec!$O:$O,BV_Data_An_Prec!$U:$U,$B205,BV_Data_An_Prec!$V:$V,$C205,BV_Data_An_Prec!$W:$W,$L$2)</f>
        <v>12147.63</v>
      </c>
      <c r="R205" s="368"/>
      <c r="S205" s="201">
        <f t="shared" si="126"/>
        <v>2745.4900000000016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12616.85029152425</v>
      </c>
      <c r="G206" s="302"/>
      <c r="H206" s="178"/>
      <c r="I206" s="179">
        <f>+INDEX('Budget révisé'!$A$2:$AO$496,MATCH($A206,'Budget révisé'!$A$2:$A$496,0),MATCH(I$2,'Budget révisé'!$A$2:$AO$2,0))</f>
        <v>12616.85029152425</v>
      </c>
      <c r="J206" s="303"/>
      <c r="K206" s="178"/>
      <c r="L206" s="180">
        <f>SUMIFS(BV_Data_An_Cour!$O:$O,BV_Data_An_Cour!$U:$U,$B206,BV_Data_An_Cour!$V:$V,$C206,BV_Data_An_Cour!$W:$W,$L$2)</f>
        <v>20335.68</v>
      </c>
      <c r="M206" s="303"/>
      <c r="N206" s="304">
        <f t="shared" si="125"/>
        <v>7718.8297084757505</v>
      </c>
      <c r="O206" s="303"/>
      <c r="P206" s="178"/>
      <c r="Q206" s="180">
        <f>SUMIFS(BV_Data_An_Prec!$O:$O,BV_Data_An_Prec!$U:$U,$B206,BV_Data_An_Prec!$V:$V,$C206,BV_Data_An_Prec!$W:$W,$L$2)</f>
        <v>8436.59</v>
      </c>
      <c r="R206" s="303"/>
      <c r="S206" s="199">
        <f t="shared" si="126"/>
        <v>11899.09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2934.1512305870351</v>
      </c>
      <c r="G207" s="302"/>
      <c r="H207" s="178"/>
      <c r="I207" s="179">
        <f>+INDEX('Budget révisé'!$A$2:$AO$496,MATCH($A207,'Budget révisé'!$A$2:$A$496,0),MATCH(I$2,'Budget révisé'!$A$2:$AO$2,0))</f>
        <v>2934.1512305870351</v>
      </c>
      <c r="J207" s="303"/>
      <c r="K207" s="178"/>
      <c r="L207" s="180">
        <f>SUMIFS(BV_Data_An_Cour!$O:$O,BV_Data_An_Cour!$U:$U,$B207,BV_Data_An_Cour!$V:$V,$C207,BV_Data_An_Cour!$W:$W,$L$2)</f>
        <v>4846</v>
      </c>
      <c r="M207" s="303"/>
      <c r="N207" s="304">
        <f t="shared" si="125"/>
        <v>1911.8487694129649</v>
      </c>
      <c r="O207" s="303"/>
      <c r="P207" s="178"/>
      <c r="Q207" s="180">
        <f>SUMIFS(BV_Data_An_Prec!$O:$O,BV_Data_An_Prec!$U:$U,$B207,BV_Data_An_Prec!$V:$V,$C207,BV_Data_An_Prec!$W:$W,$L$2)</f>
        <v>3039.25</v>
      </c>
      <c r="R207" s="303"/>
      <c r="S207" s="199">
        <f t="shared" si="126"/>
        <v>1806.75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0.79225100693864536</v>
      </c>
      <c r="F209" s="41">
        <f>+SUM(F197:F208)</f>
        <v>118025.49781850743</v>
      </c>
      <c r="G209" s="42" t="s">
        <v>170</v>
      </c>
      <c r="H209" s="40">
        <f>I209/I$193</f>
        <v>0.79225100693864536</v>
      </c>
      <c r="I209" s="41">
        <f>+SUM(I197:I208)</f>
        <v>118025.49781850743</v>
      </c>
      <c r="J209" s="42" t="s">
        <v>170</v>
      </c>
      <c r="K209" s="40">
        <f>L209/L$193</f>
        <v>0.70294861279794951</v>
      </c>
      <c r="L209" s="41">
        <f>+SUM(L197:L208)</f>
        <v>112764.75999999998</v>
      </c>
      <c r="M209" s="43"/>
      <c r="N209" s="46">
        <f t="shared" ref="N209:N227" si="129">L209-I209</f>
        <v>-5260.7378185074485</v>
      </c>
      <c r="O209" s="42" t="s">
        <v>170</v>
      </c>
      <c r="P209" s="40">
        <f>Q209/Q$193</f>
        <v>0.60826929788232953</v>
      </c>
      <c r="Q209" s="41">
        <f>+SUM(Q197:Q208)</f>
        <v>83086.489999999991</v>
      </c>
      <c r="R209" s="43"/>
      <c r="S209" s="299">
        <f t="shared" si="126"/>
        <v>29678.26999999999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6647.43</v>
      </c>
      <c r="M210" s="303"/>
      <c r="N210" s="304">
        <f t="shared" si="129"/>
        <v>-425.76166666666631</v>
      </c>
      <c r="O210" s="303"/>
      <c r="P210" s="178"/>
      <c r="Q210" s="180">
        <f>SUMIFS(BV_Data_An_Prec!$O:$O,BV_Data_An_Prec!$U:$U,$B210,BV_Data_An_Prec!$V:$V,$C210,BV_Data_An_Prec!$W:$W,$L$2)</f>
        <v>13895.47</v>
      </c>
      <c r="R210" s="303"/>
      <c r="S210" s="199">
        <f t="shared" si="126"/>
        <v>-7248.0399999999991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2252.7530495778146</v>
      </c>
      <c r="G211" s="302"/>
      <c r="H211" s="178"/>
      <c r="I211" s="179">
        <f>+INDEX('Budget révisé'!$A$2:$AO$496,MATCH($A211,'Budget révisé'!$A$2:$A$496,0),MATCH(I$2,'Budget révisé'!$A$2:$AO$2,0))</f>
        <v>2252.7530495778146</v>
      </c>
      <c r="J211" s="303"/>
      <c r="K211" s="178"/>
      <c r="L211" s="980">
        <f>SUMIFS(BV_Data_An_Cour!$O:$O,BV_Data_An_Cour!$U:$U,$B211,BV_Data_An_Cour!$V:$V,$C211,BV_Data_An_Cour!$W:$W,$L$2)</f>
        <v>5586.45</v>
      </c>
      <c r="M211" s="303"/>
      <c r="N211" s="304">
        <f t="shared" si="129"/>
        <v>3333.6969504221852</v>
      </c>
      <c r="O211" s="303"/>
      <c r="P211" s="178"/>
      <c r="Q211" s="180">
        <f>SUMIFS(BV_Data_An_Prec!$O:$O,BV_Data_An_Prec!$U:$U,$B211,BV_Data_An_Prec!$V:$V,$C211,BV_Data_An_Prec!$W:$W,$L$2)</f>
        <v>2757.48</v>
      </c>
      <c r="R211" s="303"/>
      <c r="S211" s="199">
        <f t="shared" si="126"/>
        <v>2828.97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16764.080000000002</v>
      </c>
      <c r="G212" s="309"/>
      <c r="H212" s="308"/>
      <c r="I212" s="177">
        <f>+INDEX('Budget révisé'!$A$2:$AO$496,MATCH($A212,'Budget révisé'!$A$2:$A$496,0),MATCH(I$2,'Budget révisé'!$A$2:$AO$2,0))</f>
        <v>16764.080000000002</v>
      </c>
      <c r="J212" s="310"/>
      <c r="K212" s="308"/>
      <c r="L212" s="180">
        <f>SUMIFS(BV_Data_An_Cour!$O:$O,BV_Data_An_Cour!$U:$U,$B212,BV_Data_An_Cour!$V:$V,$C212,BV_Data_An_Cour!$W:$W,$L$2)</f>
        <v>17414.099999999999</v>
      </c>
      <c r="M212" s="310"/>
      <c r="N212" s="311">
        <f t="shared" si="129"/>
        <v>650.0199999999968</v>
      </c>
      <c r="O212" s="310"/>
      <c r="P212" s="308"/>
      <c r="Q212" s="180">
        <f>SUMIFS(BV_Data_An_Prec!$O:$O,BV_Data_An_Prec!$U:$U,$B212,BV_Data_An_Prec!$V:$V,$C212,BV_Data_An_Prec!$W:$W,$L$2)</f>
        <v>12606.24</v>
      </c>
      <c r="R212" s="310"/>
      <c r="S212" s="202">
        <f t="shared" si="126"/>
        <v>4807.8599999999988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4134.6099999999997</v>
      </c>
      <c r="M213" s="303"/>
      <c r="N213" s="304">
        <f t="shared" si="129"/>
        <v>-290.9372000000003</v>
      </c>
      <c r="O213" s="303"/>
      <c r="P213" s="178"/>
      <c r="Q213" s="181">
        <f>SUMIFS(BV_Data_An_Prec!$O:$O,BV_Data_An_Prec!$U:$U,$B213,BV_Data_An_Prec!$V:$V,$C213,BV_Data_An_Prec!$W:$W,$L$2)</f>
        <v>4526.45</v>
      </c>
      <c r="R213" s="303"/>
      <c r="S213" s="199">
        <f t="shared" si="126"/>
        <v>-391.84000000000015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440.54</v>
      </c>
      <c r="M214" s="303"/>
      <c r="N214" s="304">
        <f t="shared" si="129"/>
        <v>-756.83259999999996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-1017.94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3513.5209999999993</v>
      </c>
      <c r="G215" s="309"/>
      <c r="H215" s="308"/>
      <c r="I215" s="177">
        <f>+INDEX('Budget révisé'!$A$2:$AO$496,MATCH($A215,'Budget révisé'!$A$2:$A$496,0),MATCH(I$2,'Budget révisé'!$A$2:$AO$2,0))</f>
        <v>3513.5209999999993</v>
      </c>
      <c r="J215" s="310"/>
      <c r="K215" s="308"/>
      <c r="L215" s="180">
        <f>SUMIFS(BV_Data_An_Cour!$O:$O,BV_Data_An_Cour!$U:$U,$B215,BV_Data_An_Cour!$V:$V,$C215,BV_Data_An_Cour!$W:$W,$L$2)</f>
        <v>1700.11</v>
      </c>
      <c r="M215" s="310"/>
      <c r="N215" s="311">
        <f t="shared" si="129"/>
        <v>-1813.4109999999994</v>
      </c>
      <c r="O215" s="310"/>
      <c r="P215" s="308"/>
      <c r="Q215" s="180">
        <f>SUMIFS(BV_Data_An_Prec!$O:$O,BV_Data_An_Prec!$U:$U,$B215,BV_Data_An_Prec!$V:$V,$C215,BV_Data_An_Prec!$W:$W,$L$2)</f>
        <v>9523.6200000000008</v>
      </c>
      <c r="R215" s="310"/>
      <c r="S215" s="202">
        <f t="shared" si="126"/>
        <v>-7823.5100000000011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572</v>
      </c>
      <c r="G217" s="302"/>
      <c r="H217" s="178"/>
      <c r="I217" s="179">
        <f>+INDEX('Budget révisé'!$A$2:$AO$496,MATCH($A217,'Budget révisé'!$A$2:$A$496,0),MATCH(I$2,'Budget révisé'!$A$2:$AO$2,0))</f>
        <v>572</v>
      </c>
      <c r="J217" s="303"/>
      <c r="K217" s="178"/>
      <c r="L217" s="180">
        <f>SUMIFS(BV_Data_An_Cour!$O:$O,BV_Data_An_Cour!$U:$U,$B217,BV_Data_An_Cour!$V:$V,$C217,BV_Data_An_Cour!$W:$W,$L$2)</f>
        <v>726.3</v>
      </c>
      <c r="M217" s="303"/>
      <c r="N217" s="304">
        <f t="shared" si="129"/>
        <v>154.29999999999995</v>
      </c>
      <c r="O217" s="303"/>
      <c r="P217" s="178"/>
      <c r="Q217" s="180">
        <f>SUMIFS(BV_Data_An_Prec!$O:$O,BV_Data_An_Prec!$U:$U,$B217,BV_Data_An_Prec!$V:$V,$C217,BV_Data_An_Prec!$W:$W,$L$2)</f>
        <v>420</v>
      </c>
      <c r="R217" s="303"/>
      <c r="S217" s="199">
        <f t="shared" si="126"/>
        <v>306.29999999999995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844.55</v>
      </c>
      <c r="M218" s="303"/>
      <c r="N218" s="304">
        <f t="shared" si="129"/>
        <v>-455.45000000000005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-455.45000000000005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289.43</v>
      </c>
      <c r="M219" s="303"/>
      <c r="N219" s="304">
        <f t="shared" si="129"/>
        <v>-233.76999999999992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-154.57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250.47</v>
      </c>
      <c r="M220" s="303"/>
      <c r="N220" s="304">
        <f t="shared" si="129"/>
        <v>-210.71399999999997</v>
      </c>
      <c r="O220" s="303"/>
      <c r="P220" s="178"/>
      <c r="Q220" s="180">
        <f>SUMIFS(BV_Data_An_Prec!$O:$O,BV_Data_An_Prec!$U:$U,$B220,BV_Data_An_Prec!$V:$V,$C220,BV_Data_An_Prec!$W:$W,$L$2)</f>
        <v>585.75</v>
      </c>
      <c r="R220" s="303"/>
      <c r="S220" s="199">
        <f t="shared" si="126"/>
        <v>-335.28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103.76</v>
      </c>
      <c r="M221" s="303"/>
      <c r="N221" s="304">
        <f t="shared" si="129"/>
        <v>-103.83999999999999</v>
      </c>
      <c r="O221" s="303"/>
      <c r="P221" s="178"/>
      <c r="Q221" s="180">
        <f>SUMIFS(BV_Data_An_Prec!$O:$O,BV_Data_An_Prec!$U:$U,$B221,BV_Data_An_Prec!$V:$V,$C221,BV_Data_An_Prec!$W:$W,$L$2)</f>
        <v>52.75</v>
      </c>
      <c r="R221" s="303"/>
      <c r="S221" s="199">
        <f t="shared" si="126"/>
        <v>51.010000000000005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1428.94</v>
      </c>
      <c r="M222" s="303"/>
      <c r="N222" s="304">
        <f t="shared" si="129"/>
        <v>467.10000000000014</v>
      </c>
      <c r="O222" s="303"/>
      <c r="P222" s="178"/>
      <c r="Q222" s="180">
        <f>SUMIFS(BV_Data_An_Prec!$O:$O,BV_Data_An_Prec!$U:$U,$B222,BV_Data_An_Prec!$V:$V,$C222,BV_Data_An_Prec!$W:$W,$L$2)</f>
        <v>1127.5899999999999</v>
      </c>
      <c r="R222" s="303"/>
      <c r="S222" s="199">
        <f t="shared" si="126"/>
        <v>301.35000000000014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1565.09</v>
      </c>
      <c r="M223" s="303"/>
      <c r="N223" s="304">
        <f t="shared" si="129"/>
        <v>173.82999999999993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-1221.5800000000002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1562.4856180940822</v>
      </c>
      <c r="G224" s="302"/>
      <c r="H224" s="178"/>
      <c r="I224" s="179">
        <f>+INDEX('Budget révisé'!$A$2:$AO$496,MATCH($A224,'Budget révisé'!$A$2:$A$496,0),MATCH(I$2,'Budget révisé'!$A$2:$AO$2,0))</f>
        <v>1562.4856180940822</v>
      </c>
      <c r="J224" s="303"/>
      <c r="K224" s="178"/>
      <c r="L224" s="281">
        <f>AF447*W5</f>
        <v>1502.0505000000001</v>
      </c>
      <c r="M224" s="303"/>
      <c r="N224" s="304">
        <f t="shared" si="129"/>
        <v>-60.4351180940821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26"/>
        <v>1502.0505000000001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0.28330974621675548</v>
      </c>
      <c r="F228" s="41">
        <f>+SUM(F210:F227)</f>
        <v>42206.035134338563</v>
      </c>
      <c r="G228" s="42" t="s">
        <v>170</v>
      </c>
      <c r="H228" s="40">
        <f>I228/I$193</f>
        <v>0.28330974621675548</v>
      </c>
      <c r="I228" s="41">
        <f>+SUM(I210:I227)</f>
        <v>42206.035134338563</v>
      </c>
      <c r="J228" s="42" t="s">
        <v>170</v>
      </c>
      <c r="K228" s="40">
        <f>L228/L$193</f>
        <v>0.26576912865542318</v>
      </c>
      <c r="L228" s="41">
        <f>+SUM(L210:L227)</f>
        <v>42633.830500000004</v>
      </c>
      <c r="M228" s="44"/>
      <c r="N228" s="41">
        <f t="shared" ref="N228" si="135">L228-I228</f>
        <v>427.79536566144088</v>
      </c>
      <c r="O228" s="42" t="s">
        <v>170</v>
      </c>
      <c r="P228" s="40">
        <f>Q228/Q$193</f>
        <v>0.37691375176424946</v>
      </c>
      <c r="Q228" s="41">
        <f>+SUM(Q210:Q227)</f>
        <v>51484.5</v>
      </c>
      <c r="R228" s="44"/>
      <c r="S228" s="316">
        <f t="shared" ref="S228" si="136">L228-Q228</f>
        <v>-8850.6694999999963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1.0755607531554008</v>
      </c>
      <c r="F230" s="41">
        <f>F209+F228</f>
        <v>160231.532952846</v>
      </c>
      <c r="G230" s="42" t="s">
        <v>111</v>
      </c>
      <c r="H230" s="40">
        <f>I230/I$193</f>
        <v>1.0755607531554008</v>
      </c>
      <c r="I230" s="41">
        <f>I209+I228</f>
        <v>160231.532952846</v>
      </c>
      <c r="J230" s="42" t="s">
        <v>111</v>
      </c>
      <c r="K230" s="40">
        <f>L230/L$193</f>
        <v>0.96871774145337275</v>
      </c>
      <c r="L230" s="41">
        <f>L209+L228</f>
        <v>155398.59049999999</v>
      </c>
      <c r="M230" s="44"/>
      <c r="N230" s="46">
        <f t="shared" ref="N230:N232" si="137">L230-I230</f>
        <v>-4832.9424528460077</v>
      </c>
      <c r="O230" s="42" t="s">
        <v>111</v>
      </c>
      <c r="P230" s="40">
        <f>Q230/Q$193</f>
        <v>0.98518304964657899</v>
      </c>
      <c r="Q230" s="41">
        <f>Q209+Q228</f>
        <v>134570.99</v>
      </c>
      <c r="R230" s="44"/>
      <c r="S230" s="299">
        <f>L230-Q230</f>
        <v>20827.6005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-11256.654051054036</v>
      </c>
      <c r="G232" s="344"/>
      <c r="H232" s="342"/>
      <c r="I232" s="343">
        <f>I193-I230</f>
        <v>-11256.654051054036</v>
      </c>
      <c r="J232" s="345"/>
      <c r="K232" s="346"/>
      <c r="L232" s="343">
        <f>L193-L230</f>
        <v>5018.199500000017</v>
      </c>
      <c r="M232" s="345"/>
      <c r="N232" s="343">
        <f t="shared" si="137"/>
        <v>16274.853551054053</v>
      </c>
      <c r="O232" s="345"/>
      <c r="P232" s="346"/>
      <c r="Q232" s="343">
        <f>Q193-Q230</f>
        <v>2023.9200000000128</v>
      </c>
      <c r="R232" s="345"/>
      <c r="S232" s="347">
        <f>L232-Q232</f>
        <v>2994.2795000000042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4" t="s">
        <v>77</v>
      </c>
      <c r="E237" s="1135"/>
      <c r="F237" s="1136"/>
      <c r="G237" s="1137" t="s">
        <v>145</v>
      </c>
      <c r="H237" s="1135"/>
      <c r="I237" s="1136"/>
      <c r="J237" s="1137" t="s">
        <v>79</v>
      </c>
      <c r="K237" s="1135"/>
      <c r="L237" s="1136"/>
      <c r="M237" s="1137" t="s">
        <v>80</v>
      </c>
      <c r="N237" s="1136"/>
      <c r="O237" s="1134" t="s">
        <v>81</v>
      </c>
      <c r="P237" s="1135"/>
      <c r="Q237" s="1136"/>
      <c r="R237" s="1137" t="s">
        <v>82</v>
      </c>
      <c r="S237" s="1138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87475.969165700837</v>
      </c>
      <c r="F240" s="197">
        <f>+INDEX('Budget original'!$A$2:$AO$496,MATCH($A240,'Budget original'!$A$2:$A$496,0),MATCH(F$2,'Budget original'!$A$2:$AO$2,0))</f>
        <v>19930.33567748265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87475.969165700837</v>
      </c>
      <c r="I240" s="197">
        <f>+INDEX('Budget révisé'!$A$2:$AO$496,MATCH($A240,'Budget révisé'!$A$2:$A$496,0),MATCH(I$2,'Budget révisé'!$A$2:$AO$2,0))</f>
        <v>19930.33567748265</v>
      </c>
      <c r="J240" s="325">
        <f>-SUMIFS(BV_Data_An_Cour!$O:$O,BV_Data_An_Cour!$U:$U,$B240,BV_Data_An_Cour!$V:$V,$C240,BV_Data_An_Cour!$W:$W,J$2)</f>
        <v>73</v>
      </c>
      <c r="K240" s="179">
        <f>-SUMIFS(BV_Data_An_Cour!$O:$O,BV_Data_An_Cour!$X:$X,"Oui",BV_Data_An_Cour!$U:$U,$B240,BV_Data_An_Cour!$V:$V,$C240)</f>
        <v>102021.47</v>
      </c>
      <c r="L240" s="180">
        <f>-SUMIFS(BV_Data_An_Cour!$O:$O,BV_Data_An_Cour!$U:$U,$B240,BV_Data_An_Cour!$V:$V,$C240,BV_Data_An_Cour!$W:$W,$L$2)</f>
        <v>22256.849999999995</v>
      </c>
      <c r="M240" s="324">
        <f>IFERROR((K240-H240)/H240,0)</f>
        <v>0.16627996206302598</v>
      </c>
      <c r="N240" s="304">
        <f>L240-I240</f>
        <v>2326.5143225173451</v>
      </c>
      <c r="O240" s="325">
        <f>-SUMIFS(BV_Data_An_Prec!$O:$O,BV_Data_An_Prec!$U:$U,$B240,BV_Data_An_Prec!$V:$V,$C240,BV_Data_An_Prec!$W:$W,O$2)</f>
        <v>92</v>
      </c>
      <c r="P240" s="179">
        <f>-SUMIFS(BV_Data_An_Prec!$O:$O,BV_Data_An_Prec!$X:$X,"Oui",BV_Data_An_Prec!$U:$U,$B240,BV_Data_An_Prec!$V:$V,$C240)</f>
        <v>131673.60000000001</v>
      </c>
      <c r="Q240" s="180">
        <f>-SUMIFS(BV_Data_An_Prec!$O:$O,BV_Data_An_Prec!$U:$U,$B240,BV_Data_An_Prec!$V:$V,$C240,BV_Data_An_Prec!$W:$W,$L$2)</f>
        <v>28952.58</v>
      </c>
      <c r="R240" s="324">
        <f>IF(O240=0,0,J240/O240)</f>
        <v>0.79347826086956519</v>
      </c>
      <c r="S240" s="199">
        <f>L240-Q240</f>
        <v>-6695.7300000000068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0.21815849154104519</v>
      </c>
      <c r="M241" s="324"/>
      <c r="N241" s="304">
        <f>IFERROR(N240/M240,0)</f>
        <v>13991.549514760618</v>
      </c>
      <c r="O241" s="325"/>
      <c r="P241" s="178"/>
      <c r="Q241" s="350">
        <f>IFERROR(Q240/P240,0)</f>
        <v>0.2198814340915719</v>
      </c>
      <c r="R241" s="325"/>
      <c r="S241" s="199">
        <f>IFERROR(S240/R240,0)</f>
        <v>-8438.4542465753511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SUMIFS(BV_Data_An_Cour!$C$1:$C$637,BV_Data_An_Cour!$V$1:$V$637,$C243,BV_Data_An_Cour!$U$1:$U$637,$K$235)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SUMIFS(BV_Data_An_Cour!$C$1:$C$637,BV_Data_An_Cour!$V$1:$V$637,$C246,BV_Data_An_Cour!$U$1:$U$637,$K$235)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87475.969165700837</v>
      </c>
      <c r="F249" s="28">
        <f t="shared" si="139"/>
        <v>19930.33567748265</v>
      </c>
      <c r="G249" s="29"/>
      <c r="H249" s="26">
        <f t="shared" ref="H249:I249" si="140">H243+H246+H240</f>
        <v>87475.969165700837</v>
      </c>
      <c r="I249" s="28">
        <f t="shared" si="140"/>
        <v>19930.33567748265</v>
      </c>
      <c r="J249" s="29"/>
      <c r="K249" s="26">
        <f t="shared" ref="K249:L249" si="141">K243+K246+K240</f>
        <v>102021.47</v>
      </c>
      <c r="L249" s="28">
        <f t="shared" si="141"/>
        <v>22256.849999999995</v>
      </c>
      <c r="M249" s="70">
        <f>L250-I250</f>
        <v>-9.6793462967926513E-3</v>
      </c>
      <c r="N249" s="28">
        <f>L249-I249</f>
        <v>2326.5143225173451</v>
      </c>
      <c r="O249" s="29"/>
      <c r="P249" s="26">
        <f t="shared" ref="P249:Q249" si="142">P243+P246+P240</f>
        <v>131673.60000000001</v>
      </c>
      <c r="Q249" s="28">
        <f t="shared" si="142"/>
        <v>28952.58</v>
      </c>
      <c r="R249" s="70">
        <f>L250-Q250</f>
        <v>-1.7229425505267126E-3</v>
      </c>
      <c r="S249" s="363">
        <f>L249-Q249</f>
        <v>-6695.7300000000068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0.21815849154104519</v>
      </c>
      <c r="M250" s="33"/>
      <c r="N250" s="34">
        <f>N249/I249</f>
        <v>0.11673232002538962</v>
      </c>
      <c r="O250" s="31"/>
      <c r="P250" s="365"/>
      <c r="Q250" s="34">
        <f>IF(P249=0,0,Q249/P249)</f>
        <v>0.2198814340915719</v>
      </c>
      <c r="R250" s="33"/>
      <c r="S250" s="272">
        <f>IF(R249=0,0,S249/R249)</f>
        <v>3886217.7952207904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310.25325670498086</v>
      </c>
      <c r="G253" s="227"/>
      <c r="H253" s="233"/>
      <c r="I253" s="231">
        <f>+INDEX('Budget révisé'!$A$2:$AO$496,MATCH($A253,'Budget révisé'!$A$2:$A$496,0),MATCH(I$2,'Budget révisé'!$A$2:$AO$2,0))</f>
        <v>310.25325670498086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498.86674329501915</v>
      </c>
      <c r="O253" s="227"/>
      <c r="P253" s="233"/>
      <c r="Q253" s="281">
        <f>SUMIFS(BV_Data_An_Prec!$O:$O,BV_Data_An_Prec!$U:$U,$B253,BV_Data_An_Prec!$V:$V,$C253,BV_Data_An_Prec!$W:$W,$L$2)</f>
        <v>141.69</v>
      </c>
      <c r="R253" s="227"/>
      <c r="S253" s="512">
        <f>L253-Q253</f>
        <v>667.43000000000006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582.51336470498097</v>
      </c>
      <c r="G254" s="283"/>
      <c r="H254" s="233"/>
      <c r="I254" s="244">
        <f>+INDEX('Budget révisé'!$A$2:$AO$496,MATCH($A254,'Budget révisé'!$A$2:$A$496,0),MATCH(I$2,'Budget révisé'!$A$2:$AO$2,0))</f>
        <v>582.51336470498097</v>
      </c>
      <c r="J254" s="227"/>
      <c r="K254" s="233"/>
      <c r="L254" s="281">
        <f>SUMIFS(BV_Data_An_Cour!$O:$O,BV_Data_An_Cour!$U:$U,$B254,BV_Data_An_Cour!$V:$V,$C254,BV_Data_An_Cour!$W:$W,$L$2)</f>
        <v>519.5</v>
      </c>
      <c r="M254" s="227"/>
      <c r="N254" s="232">
        <f t="shared" si="143"/>
        <v>-63.013364704980972</v>
      </c>
      <c r="O254" s="227"/>
      <c r="P254" s="233"/>
      <c r="Q254" s="281">
        <f>SUMIFS(BV_Data_An_Prec!$O:$O,BV_Data_An_Prec!$U:$U,$B254,BV_Data_An_Prec!$V:$V,$C254,BV_Data_An_Prec!$W:$W,$L$2)</f>
        <v>920.51</v>
      </c>
      <c r="R254" s="227"/>
      <c r="S254" s="284">
        <f>L254-Q254</f>
        <v>-401.01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3611.5604702038304</v>
      </c>
      <c r="G255" s="287"/>
      <c r="H255" s="286"/>
      <c r="I255" s="231">
        <f>+INDEX('Budget révisé'!$A$2:$AO$496,MATCH($A255,'Budget révisé'!$A$2:$A$496,0),MATCH(I$2,'Budget révisé'!$A$2:$AO$2,0))</f>
        <v>3611.5604702038304</v>
      </c>
      <c r="J255" s="288"/>
      <c r="K255" s="286"/>
      <c r="L255" s="245">
        <f>SUMIFS(BV_Data_An_Cour!$O:$O,BV_Data_An_Cour!$U:$U,$B255,BV_Data_An_Cour!$V:$V,$C255,BV_Data_An_Cour!$W:$W,$L$2)</f>
        <v>3896.39</v>
      </c>
      <c r="M255" s="288"/>
      <c r="N255" s="289">
        <f t="shared" si="143"/>
        <v>284.82952979616948</v>
      </c>
      <c r="O255" s="288"/>
      <c r="P255" s="286"/>
      <c r="Q255" s="245">
        <f>SUMIFS(BV_Data_An_Prec!$O:$O,BV_Data_An_Prec!$U:$U,$B255,BV_Data_An_Prec!$V:$V,$C255,BV_Data_An_Prec!$W:$W,$L$2)</f>
        <v>5321.42</v>
      </c>
      <c r="R255" s="288"/>
      <c r="S255" s="290">
        <f t="shared" ref="S255:S264" si="144">L255-Q255</f>
        <v>-1425.0300000000002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3696.560712643678</v>
      </c>
      <c r="G256" s="283"/>
      <c r="H256" s="233"/>
      <c r="I256" s="231">
        <f>+INDEX('Budget révisé'!$A$2:$AO$496,MATCH($A256,'Budget révisé'!$A$2:$A$496,0),MATCH(I$2,'Budget révisé'!$A$2:$AO$2,0))</f>
        <v>3696.560712643678</v>
      </c>
      <c r="J256" s="227"/>
      <c r="K256" s="233"/>
      <c r="L256" s="281">
        <f>SUMIFS(BV_Data_An_Cour!$O:$O,BV_Data_An_Cour!$U:$U,$B256,BV_Data_An_Cour!$V:$V,$C256,BV_Data_An_Cour!$W:$W,$L$2)</f>
        <v>2778.88</v>
      </c>
      <c r="M256" s="227"/>
      <c r="N256" s="232">
        <f t="shared" si="143"/>
        <v>-917.68071264367791</v>
      </c>
      <c r="O256" s="227"/>
      <c r="P256" s="233"/>
      <c r="Q256" s="281">
        <f>SUMIFS(BV_Data_An_Prec!$O:$O,BV_Data_An_Prec!$U:$U,$B256,BV_Data_An_Prec!$V:$V,$C256,BV_Data_An_Prec!$W:$W,$L$2)</f>
        <v>5668.2</v>
      </c>
      <c r="R256" s="227"/>
      <c r="S256" s="284">
        <f t="shared" si="144"/>
        <v>-2889.3199999999997</v>
      </c>
      <c r="T256" s="233"/>
      <c r="U256" s="1091" t="s">
        <v>2931</v>
      </c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984.10653651089626</v>
      </c>
      <c r="G260" s="283"/>
      <c r="H260" s="233"/>
      <c r="I260" s="244">
        <f>+INDEX('Budget révisé'!$A$2:$AO$496,MATCH($A260,'Budget révisé'!$A$2:$A$496,0),MATCH(I$2,'Budget révisé'!$A$2:$AO$2,0))</f>
        <v>984.10653651089626</v>
      </c>
      <c r="J260" s="227"/>
      <c r="K260" s="233"/>
      <c r="L260" s="281">
        <f>SUMIFS(BV_Data_An_Cour!$O:$O,BV_Data_An_Cour!$U:$U,$B260,BV_Data_An_Cour!$V:$V,$C260,BV_Data_An_Cour!$W:$W,$L$2)</f>
        <v>344.38</v>
      </c>
      <c r="M260" s="227"/>
      <c r="N260" s="232">
        <f t="shared" si="143"/>
        <v>-639.72653651089627</v>
      </c>
      <c r="O260" s="227"/>
      <c r="P260" s="233"/>
      <c r="Q260" s="281">
        <f>SUMIFS(BV_Data_An_Prec!$O:$O,BV_Data_An_Prec!$U:$U,$B260,BV_Data_An_Prec!$V:$V,$C260,BV_Data_An_Prec!$W:$W,$L$2)</f>
        <v>1220.52</v>
      </c>
      <c r="R260" s="227"/>
      <c r="S260" s="284">
        <f t="shared" si="144"/>
        <v>-876.14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984.10653651089626</v>
      </c>
      <c r="G261" s="287"/>
      <c r="H261" s="286"/>
      <c r="I261" s="231">
        <f>+INDEX('Budget révisé'!$A$2:$AO$496,MATCH($A261,'Budget révisé'!$A$2:$A$496,0),MATCH(I$2,'Budget révisé'!$A$2:$AO$2,0))</f>
        <v>984.10653651089626</v>
      </c>
      <c r="J261" s="288"/>
      <c r="K261" s="286"/>
      <c r="L261" s="245">
        <f>SUMIFS(BV_Data_An_Cour!$O:$O,BV_Data_An_Cour!$U:$U,$B261,BV_Data_An_Cour!$V:$V,$C261,BV_Data_An_Cour!$W:$W,$L$2)</f>
        <v>-46.45</v>
      </c>
      <c r="M261" s="288"/>
      <c r="N261" s="289">
        <f t="shared" si="143"/>
        <v>-1030.5565365108962</v>
      </c>
      <c r="O261" s="288"/>
      <c r="P261" s="286"/>
      <c r="Q261" s="245">
        <f>SUMIFS(BV_Data_An_Prec!$O:$O,BV_Data_An_Prec!$U:$U,$B261,BV_Data_An_Prec!$V:$V,$C261,BV_Data_An_Prec!$W:$W,$L$2)</f>
        <v>1214.3699999999999</v>
      </c>
      <c r="R261" s="288"/>
      <c r="S261" s="290">
        <f t="shared" si="144"/>
        <v>-1260.82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705.27635116614226</v>
      </c>
      <c r="G262" s="283"/>
      <c r="H262" s="233"/>
      <c r="I262" s="231">
        <f>+INDEX('Budget révisé'!$A$2:$AO$496,MATCH($A262,'Budget révisé'!$A$2:$A$496,0),MATCH(I$2,'Budget révisé'!$A$2:$AO$2,0))</f>
        <v>705.27635116614226</v>
      </c>
      <c r="J262" s="227"/>
      <c r="K262" s="233"/>
      <c r="L262" s="281">
        <f>SUMIFS(BV_Data_An_Cour!$O:$O,BV_Data_An_Cour!$U:$U,$B262,BV_Data_An_Cour!$V:$V,$C262,BV_Data_An_Cour!$W:$W,$L$2)</f>
        <v>-432.57</v>
      </c>
      <c r="M262" s="227"/>
      <c r="N262" s="232">
        <f t="shared" si="143"/>
        <v>-1137.8463511661423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-964.90000000000009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164.01775608514939</v>
      </c>
      <c r="G263" s="283"/>
      <c r="H263" s="233"/>
      <c r="I263" s="231">
        <f>+INDEX('Budget révisé'!$A$2:$AO$496,MATCH($A263,'Budget révisé'!$A$2:$A$496,0),MATCH(I$2,'Budget révisé'!$A$2:$AO$2,0))</f>
        <v>164.01775608514939</v>
      </c>
      <c r="J263" s="227"/>
      <c r="K263" s="233"/>
      <c r="L263" s="281">
        <f>SUMIFS(BV_Data_An_Cour!$O:$O,BV_Data_An_Cour!$U:$U,$B263,BV_Data_An_Cour!$V:$V,$C263,BV_Data_An_Cour!$W:$W,$L$2)</f>
        <v>161.37</v>
      </c>
      <c r="M263" s="227"/>
      <c r="N263" s="232">
        <f t="shared" si="143"/>
        <v>-2.647756085149382</v>
      </c>
      <c r="O263" s="227"/>
      <c r="P263" s="233"/>
      <c r="Q263" s="281">
        <f>SUMIFS(BV_Data_An_Prec!$O:$O,BV_Data_An_Prec!$U:$U,$B263,BV_Data_An_Prec!$V:$V,$C263,BV_Data_An_Prec!$W:$W,$L$2)</f>
        <v>296.83999999999997</v>
      </c>
      <c r="R263" s="227"/>
      <c r="S263" s="284">
        <f t="shared" si="144"/>
        <v>-135.46999999999997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11038.394984530554</v>
      </c>
      <c r="G265" s="42" t="s">
        <v>111</v>
      </c>
      <c r="H265" s="40" t="e">
        <f>I265/I$243</f>
        <v>#DIV/0!</v>
      </c>
      <c r="I265" s="41">
        <f>+SUM(I253:I264)</f>
        <v>11038.394984530554</v>
      </c>
      <c r="J265" s="42" t="s">
        <v>111</v>
      </c>
      <c r="K265" s="40">
        <f>IF(L243=0,0,L265/L$243)</f>
        <v>0</v>
      </c>
      <c r="L265" s="41">
        <f>+SUM(L253:L264)</f>
        <v>8030.62</v>
      </c>
      <c r="M265" s="43"/>
      <c r="N265" s="46">
        <f t="shared" si="143"/>
        <v>-3007.7749845305543</v>
      </c>
      <c r="O265" s="42" t="s">
        <v>111</v>
      </c>
      <c r="P265" s="40">
        <f>IF(Q243=0,0,Q265/Q$243)</f>
        <v>0</v>
      </c>
      <c r="Q265" s="41">
        <f>+SUM(Q253:Q264)</f>
        <v>15315.88</v>
      </c>
      <c r="R265" s="43"/>
      <c r="S265" s="299">
        <f t="shared" ref="S265:S283" si="145">L265-Q265</f>
        <v>-7285.2599999999993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7.0000000000000007E-2</v>
      </c>
      <c r="M266" s="303"/>
      <c r="N266" s="304">
        <f t="shared" si="143"/>
        <v>7.0000000000000007E-2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7.0000000000000007E-2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1112.6766673836501</v>
      </c>
      <c r="G267" s="302"/>
      <c r="H267" s="178"/>
      <c r="I267" s="179">
        <f>+INDEX('Budget révisé'!$A$2:$AO$496,MATCH($A267,'Budget révisé'!$A$2:$A$496,0),MATCH(I$2,'Budget révisé'!$A$2:$AO$2,0))</f>
        <v>1112.6766673836501</v>
      </c>
      <c r="J267" s="303"/>
      <c r="K267" s="178"/>
      <c r="L267" s="180">
        <f>SUMIFS(BV_Data_An_Cour!$O:$O,BV_Data_An_Cour!$U:$U,$B267,BV_Data_An_Cour!$V:$V,$C267,BV_Data_An_Cour!$W:$W,$L$2)</f>
        <v>180.5</v>
      </c>
      <c r="M267" s="303"/>
      <c r="N267" s="304">
        <f t="shared" si="143"/>
        <v>-932.17666738365006</v>
      </c>
      <c r="O267" s="303"/>
      <c r="P267" s="178"/>
      <c r="Q267" s="180">
        <f>SUMIFS(BV_Data_An_Prec!$O:$O,BV_Data_An_Prec!$U:$U,$B267,BV_Data_An_Prec!$V:$V,$C267,BV_Data_An_Prec!$W:$W,$L$2)</f>
        <v>1858.66</v>
      </c>
      <c r="R267" s="303"/>
      <c r="S267" s="199">
        <f t="shared" si="145"/>
        <v>-1678.16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1041.1500000000001</v>
      </c>
      <c r="M268" s="310"/>
      <c r="N268" s="311">
        <f t="shared" si="143"/>
        <v>742.21</v>
      </c>
      <c r="O268" s="310"/>
      <c r="P268" s="308"/>
      <c r="Q268" s="180">
        <f>SUMIFS(BV_Data_An_Prec!$O:$O,BV_Data_An_Prec!$U:$U,$B268,BV_Data_An_Prec!$V:$V,$C268,BV_Data_An_Prec!$W:$W,$L$2)</f>
        <v>1572.8</v>
      </c>
      <c r="R268" s="310"/>
      <c r="S268" s="202">
        <f t="shared" si="145"/>
        <v>-531.64999999999986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1389.17</v>
      </c>
      <c r="M269" s="303"/>
      <c r="N269" s="304">
        <f t="shared" si="143"/>
        <v>-47.447933333333367</v>
      </c>
      <c r="O269" s="303"/>
      <c r="P269" s="178"/>
      <c r="Q269" s="181">
        <f>SUMIFS(BV_Data_An_Prec!$O:$O,BV_Data_An_Prec!$U:$U,$B269,BV_Data_An_Prec!$V:$V,$C269,BV_Data_An_Prec!$W:$W,$L$2)</f>
        <v>1449.62</v>
      </c>
      <c r="R269" s="303"/>
      <c r="S269" s="199">
        <f t="shared" si="145"/>
        <v>-60.449999999999818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128.49</v>
      </c>
      <c r="M270" s="303"/>
      <c r="N270" s="304">
        <f t="shared" si="143"/>
        <v>-220.743675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-296.89999999999998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1024.7769583333334</v>
      </c>
      <c r="G271" s="309"/>
      <c r="H271" s="308"/>
      <c r="I271" s="177">
        <f>+INDEX('Budget révisé'!$A$2:$AO$496,MATCH($A271,'Budget révisé'!$A$2:$A$496,0),MATCH(I$2,'Budget révisé'!$A$2:$AO$2,0))</f>
        <v>1024.7769583333334</v>
      </c>
      <c r="J271" s="310"/>
      <c r="K271" s="308"/>
      <c r="L271" s="180">
        <f>SUMIFS(BV_Data_An_Cour!$O:$O,BV_Data_An_Cour!$U:$U,$B271,BV_Data_An_Cour!$V:$V,$C271,BV_Data_An_Cour!$W:$W,$L$2)</f>
        <v>416.67</v>
      </c>
      <c r="M271" s="310"/>
      <c r="N271" s="311">
        <f t="shared" si="143"/>
        <v>-608.1069583333333</v>
      </c>
      <c r="O271" s="310"/>
      <c r="P271" s="308"/>
      <c r="Q271" s="180">
        <f>SUMIFS(BV_Data_An_Prec!$O:$O,BV_Data_An_Prec!$U:$U,$B271,BV_Data_An_Prec!$V:$V,$C271,BV_Data_An_Prec!$W:$W,$L$2)</f>
        <v>1227.5999999999999</v>
      </c>
      <c r="R271" s="310"/>
      <c r="S271" s="202">
        <f t="shared" si="145"/>
        <v>-810.92999999999984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0</v>
      </c>
      <c r="M273" s="303"/>
      <c r="N273" s="304">
        <f t="shared" si="143"/>
        <v>0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84.43</v>
      </c>
      <c r="M275" s="303"/>
      <c r="N275" s="304">
        <f t="shared" si="143"/>
        <v>-68.170000000000016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-45.069999999999993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86.55</v>
      </c>
      <c r="M276" s="303"/>
      <c r="N276" s="304">
        <f t="shared" si="143"/>
        <v>-91.087000000000003</v>
      </c>
      <c r="O276" s="303"/>
      <c r="P276" s="178"/>
      <c r="Q276" s="180">
        <f>SUMIFS(BV_Data_An_Prec!$O:$O,BV_Data_An_Prec!$U:$U,$B276,BV_Data_An_Prec!$V:$V,$C276,BV_Data_An_Prec!$W:$W,$L$2)</f>
        <v>144.68</v>
      </c>
      <c r="R276" s="303"/>
      <c r="S276" s="199">
        <f t="shared" si="145"/>
        <v>-58.13000000000001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29.83</v>
      </c>
      <c r="M277" s="303"/>
      <c r="N277" s="304">
        <f t="shared" si="143"/>
        <v>-30.720000000000006</v>
      </c>
      <c r="O277" s="303"/>
      <c r="P277" s="178"/>
      <c r="Q277" s="180">
        <f>SUMIFS(BV_Data_An_Prec!$O:$O,BV_Data_An_Prec!$U:$U,$B277,BV_Data_An_Prec!$V:$V,$C277,BV_Data_An_Prec!$W:$W,$L$2)</f>
        <v>15.39</v>
      </c>
      <c r="R277" s="303"/>
      <c r="S277" s="199">
        <f t="shared" si="145"/>
        <v>14.439999999999998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416.77</v>
      </c>
      <c r="M278" s="303"/>
      <c r="N278" s="304">
        <f t="shared" si="143"/>
        <v>165.39999999999995</v>
      </c>
      <c r="O278" s="303"/>
      <c r="P278" s="178"/>
      <c r="Q278" s="180">
        <f>SUMIFS(BV_Data_An_Prec!$O:$O,BV_Data_An_Prec!$U:$U,$B278,BV_Data_An_Prec!$V:$V,$C278,BV_Data_An_Prec!$W:$W,$L$2)</f>
        <v>328.88</v>
      </c>
      <c r="R278" s="303"/>
      <c r="S278" s="199">
        <f t="shared" si="145"/>
        <v>87.889999999999986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3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455.72497194410732</v>
      </c>
      <c r="G280" s="302"/>
      <c r="H280" s="178"/>
      <c r="I280" s="179">
        <f>+INDEX('Budget révisé'!$A$2:$AO$496,MATCH($A280,'Budget révisé'!$A$2:$A$496,0),MATCH(I$2,'Budget révisé'!$A$2:$AO$2,0))</f>
        <v>455.72497194410732</v>
      </c>
      <c r="J280" s="303"/>
      <c r="K280" s="178"/>
      <c r="L280" s="281">
        <f>AF447*W6</f>
        <v>166.89449999999999</v>
      </c>
      <c r="M280" s="303"/>
      <c r="N280" s="304">
        <f t="shared" si="143"/>
        <v>-288.83047194410733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45"/>
        <v>166.89449999999999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5361.3280393277573</v>
      </c>
      <c r="G284" s="42" t="s">
        <v>111</v>
      </c>
      <c r="H284" s="40" t="e">
        <f>I284/I$243</f>
        <v>#DIV/0!</v>
      </c>
      <c r="I284" s="41">
        <f>+SUM(I266:I283)</f>
        <v>5361.3280393277573</v>
      </c>
      <c r="J284" s="42" t="s">
        <v>111</v>
      </c>
      <c r="K284" s="40" t="e">
        <f>IF(L261=0,0,L284/L$243)</f>
        <v>#DIV/0!</v>
      </c>
      <c r="L284" s="41">
        <f>+SUM(L266:L283)</f>
        <v>3946.7244999999998</v>
      </c>
      <c r="M284" s="44"/>
      <c r="N284" s="41">
        <f>+SUM(N266:N283)</f>
        <v>-1414.6035393277575</v>
      </c>
      <c r="O284" s="42" t="s">
        <v>111</v>
      </c>
      <c r="P284" s="40" t="e">
        <f>IF(Q261=0,0,Q284/Q$243)</f>
        <v>#DIV/0!</v>
      </c>
      <c r="Q284" s="41">
        <f>+SUM(Q266:Q283)</f>
        <v>7187.52</v>
      </c>
      <c r="R284" s="44"/>
      <c r="S284" s="316">
        <f t="shared" ref="S284" si="152">L284-Q284</f>
        <v>-3240.7955000000006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16399.723023858311</v>
      </c>
      <c r="G286" s="42" t="s">
        <v>111</v>
      </c>
      <c r="H286" s="40" t="e">
        <f>I286/I$243</f>
        <v>#DIV/0!</v>
      </c>
      <c r="I286" s="41">
        <f>I265+I284</f>
        <v>16399.723023858311</v>
      </c>
      <c r="J286" s="42" t="s">
        <v>111</v>
      </c>
      <c r="K286" s="40" t="e">
        <f>IF(L263=0,0,L286/L$243)</f>
        <v>#DIV/0!</v>
      </c>
      <c r="L286" s="41">
        <f>L265+L284</f>
        <v>11977.344499999999</v>
      </c>
      <c r="M286" s="44"/>
      <c r="N286" s="46">
        <f t="shared" ref="N286:N288" si="153">L286-I286</f>
        <v>-4422.3785238583114</v>
      </c>
      <c r="O286" s="42" t="s">
        <v>111</v>
      </c>
      <c r="P286" s="40" t="e">
        <f>IF(Q263=0,0,Q286/Q$243)</f>
        <v>#DIV/0!</v>
      </c>
      <c r="Q286" s="41">
        <f>Q265+Q284</f>
        <v>22503.4</v>
      </c>
      <c r="R286" s="44"/>
      <c r="S286" s="299">
        <f>L286-Q286</f>
        <v>-10526.055500000002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3530.6126536243391</v>
      </c>
      <c r="G288" s="344"/>
      <c r="H288" s="342"/>
      <c r="I288" s="343">
        <f>I249-I286</f>
        <v>3530.6126536243391</v>
      </c>
      <c r="J288" s="345"/>
      <c r="K288" s="346"/>
      <c r="L288" s="343">
        <f>L249-L286</f>
        <v>10279.505499999996</v>
      </c>
      <c r="M288" s="345"/>
      <c r="N288" s="343">
        <f t="shared" si="153"/>
        <v>6748.8928463756565</v>
      </c>
      <c r="O288" s="345"/>
      <c r="P288" s="346"/>
      <c r="Q288" s="343">
        <f>Q249-Q286</f>
        <v>6449.18</v>
      </c>
      <c r="R288" s="345"/>
      <c r="S288" s="347">
        <f>L288-Q288</f>
        <v>3830.3254999999954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4" t="s">
        <v>77</v>
      </c>
      <c r="E292" s="1135"/>
      <c r="F292" s="1136"/>
      <c r="G292" s="1137" t="s">
        <v>145</v>
      </c>
      <c r="H292" s="1135"/>
      <c r="I292" s="1136"/>
      <c r="J292" s="1137" t="s">
        <v>79</v>
      </c>
      <c r="K292" s="1135"/>
      <c r="L292" s="1136"/>
      <c r="M292" s="1137" t="s">
        <v>80</v>
      </c>
      <c r="N292" s="1136"/>
      <c r="O292" s="1134" t="s">
        <v>81</v>
      </c>
      <c r="P292" s="1135"/>
      <c r="Q292" s="1136"/>
      <c r="R292" s="1137" t="s">
        <v>82</v>
      </c>
      <c r="S292" s="1138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59152.790459572665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21184.221778966337</v>
      </c>
      <c r="G294" s="197">
        <f>+INDEX('Budget révisé'!$A$2:$AO$496,MATCH($A294,'Budget révisé'!$A$2:$A$496,0),MATCH(G$2,'Budget révisé'!$A$2:$AO$2,0))</f>
        <v>59152.790459572665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21184.221778966337</v>
      </c>
      <c r="J294" s="179">
        <f>-SUMIFS(BV_Data_An_Cour!$O:$O,BV_Data_An_Cour!$X:$X,"Oui",BV_Data_An_Cour!$U:$U,$B294,BV_Data_An_Cour!$V:$V,$C294)</f>
        <v>51335.82</v>
      </c>
      <c r="K294" s="210">
        <f t="shared" ref="K294:K299" si="155">IF(J294&lt;=0,0,L294/J294)</f>
        <v>0.36851656406774058</v>
      </c>
      <c r="L294" s="180">
        <f>-SUMIFS(BV_Data_An_Cour!$O:$O,BV_Data_An_Cour!$U:$U,$B294,BV_Data_An_Cour!$V:$V,$C294,BV_Data_An_Cour!$W:$W,$L$2)</f>
        <v>18918.099999999999</v>
      </c>
      <c r="M294" s="324">
        <f t="shared" ref="M294:M299" si="156">(+J294-G294)/G294</f>
        <v>-0.13214880310532584</v>
      </c>
      <c r="N294" s="304">
        <f t="shared" ref="N294:N299" si="157">L294-I294</f>
        <v>-2266.1217789663388</v>
      </c>
      <c r="O294" s="179">
        <f>-SUMIFS(BV_Data_An_Prec!$O:$O,BV_Data_An_Prec!$X:$X,"Oui",BV_Data_An_Prec!$U:$U,$B294,BV_Data_An_Prec!$V:$V,$C294)</f>
        <v>58273.840000000004</v>
      </c>
      <c r="P294" s="210">
        <f t="shared" ref="P294:P303" si="158">IF(O294&lt;=0,0,Q294/O294)</f>
        <v>0.32218127379283745</v>
      </c>
      <c r="Q294" s="180">
        <f>-SUMIFS(BV_Data_An_Prec!$O:$O,BV_Data_An_Prec!$U:$U,$B294,BV_Data_An_Prec!$V:$V,$C294,BV_Data_An_Prec!$W:$W,$L$2)</f>
        <v>18774.740000000005</v>
      </c>
      <c r="R294" s="324">
        <f>IF(O294=0,0,(J294-O294)/O294)</f>
        <v>-0.11905891219799491</v>
      </c>
      <c r="S294" s="199">
        <f t="shared" ref="S294:S299" si="159">L294-Q294</f>
        <v>143.35999999999331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43344.181100867499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11862.116557231619</v>
      </c>
      <c r="G295" s="197">
        <f>+INDEX('Budget révisé'!$A$2:$AO$496,MATCH($A295,'Budget révisé'!$A$2:$A$496,0),MATCH(G$2,'Budget révisé'!$A$2:$AO$2,0))</f>
        <v>43344.181100867499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11862.116557231619</v>
      </c>
      <c r="J295" s="179">
        <f>-SUMIFS(BV_Data_An_Cour!$O:$O,BV_Data_An_Cour!$X:$X,"Oui",BV_Data_An_Cour!$U:$U,$B295,BV_Data_An_Cour!$V:$V,$C295)</f>
        <v>36320.539999999994</v>
      </c>
      <c r="K295" s="210">
        <f t="shared" si="155"/>
        <v>0.26360648822952509</v>
      </c>
      <c r="L295" s="180">
        <f>-SUMIFS(BV_Data_An_Cour!$O:$O,BV_Data_An_Cour!$U:$U,$B295,BV_Data_An_Cour!$V:$V,$C295,BV_Data_An_Cour!$W:$W,$L$2)</f>
        <v>9574.3299999999945</v>
      </c>
      <c r="M295" s="324">
        <f t="shared" si="156"/>
        <v>-0.1620434605633127</v>
      </c>
      <c r="N295" s="304">
        <f t="shared" si="157"/>
        <v>-2287.7865572316241</v>
      </c>
      <c r="O295" s="179">
        <f>-SUMIFS(BV_Data_An_Prec!$O:$O,BV_Data_An_Prec!$X:$X,"Oui",BV_Data_An_Prec!$U:$U,$B295,BV_Data_An_Prec!$V:$V,$C295)</f>
        <v>68982.64</v>
      </c>
      <c r="P295" s="210">
        <f t="shared" si="158"/>
        <v>0.25934698932948924</v>
      </c>
      <c r="Q295" s="180">
        <f>-SUMIFS(BV_Data_An_Prec!$O:$O,BV_Data_An_Prec!$U:$U,$B295,BV_Data_An_Prec!$V:$V,$C295,BV_Data_An_Prec!$W:$W,$L$2)</f>
        <v>17890.439999999999</v>
      </c>
      <c r="R295" s="324">
        <f t="shared" ref="R295:R302" si="162">IF(O295=0,0,(J295-O295)/O295)</f>
        <v>-0.4734828936671604</v>
      </c>
      <c r="S295" s="199">
        <f t="shared" si="159"/>
        <v>-8316.1100000000042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73637.814532344011</v>
      </c>
      <c r="E296" s="210">
        <f t="shared" si="160"/>
        <v>0.23983607715678656</v>
      </c>
      <c r="F296" s="199">
        <f>+INDEX('Budget original'!$A$2:$AO$496,MATCH($A296,'Budget original'!$A$2:$A$496,0),MATCH(F$2,'Budget original'!$A$2:$AO$2,0))</f>
        <v>17661.004567836397</v>
      </c>
      <c r="G296" s="197">
        <f>+INDEX('Budget révisé'!$A$2:$AO$496,MATCH($A296,'Budget révisé'!$A$2:$A$496,0),MATCH(G$2,'Budget révisé'!$A$2:$AO$2,0))</f>
        <v>73637.814532344011</v>
      </c>
      <c r="H296" s="210">
        <f t="shared" si="161"/>
        <v>0.23983607715678656</v>
      </c>
      <c r="I296" s="199">
        <f>+INDEX('Budget révisé'!$A$2:$AO$496,MATCH($A296,'Budget révisé'!$A$2:$A$496,0),MATCH(I$2,'Budget révisé'!$A$2:$AO$2,0))</f>
        <v>17661.004567836397</v>
      </c>
      <c r="J296" s="179">
        <f>-SUMIFS(BV_Data_An_Cour!$O:$O,BV_Data_An_Cour!$X:$X,"Oui",BV_Data_An_Cour!$U:$U,$B296,BV_Data_An_Cour!$V:$V,$C296)</f>
        <v>48253</v>
      </c>
      <c r="K296" s="210">
        <f t="shared" si="155"/>
        <v>0.23778127784800951</v>
      </c>
      <c r="L296" s="180">
        <f>-SUMIFS(BV_Data_An_Cour!$O:$O,BV_Data_An_Cour!$U:$U,$B296,BV_Data_An_Cour!$V:$V,$C296,BV_Data_An_Cour!$W:$W,$L$2)</f>
        <v>11473.660000000003</v>
      </c>
      <c r="M296" s="324">
        <f t="shared" si="156"/>
        <v>-0.34472525690172695</v>
      </c>
      <c r="N296" s="304">
        <f t="shared" si="157"/>
        <v>-6187.3445678363933</v>
      </c>
      <c r="O296" s="179">
        <f>-SUMIFS(BV_Data_An_Prec!$O:$O,BV_Data_An_Prec!$X:$X,"Oui",BV_Data_An_Prec!$U:$U,$B296,BV_Data_An_Prec!$V:$V,$C296)</f>
        <v>78789.27</v>
      </c>
      <c r="P296" s="210">
        <f t="shared" si="158"/>
        <v>0.24731476760731513</v>
      </c>
      <c r="Q296" s="180">
        <f>-SUMIFS(BV_Data_An_Prec!$O:$O,BV_Data_An_Prec!$U:$U,$B296,BV_Data_An_Prec!$V:$V,$C296,BV_Data_An_Prec!$W:$W,$L$2)</f>
        <v>19485.750000000007</v>
      </c>
      <c r="R296" s="324">
        <f t="shared" si="162"/>
        <v>-0.38756889104315856</v>
      </c>
      <c r="S296" s="199">
        <f t="shared" si="159"/>
        <v>-8012.0900000000038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39856.178455491056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13150.333328444585</v>
      </c>
      <c r="G297" s="197">
        <f>+INDEX('Budget révisé'!$A$2:$AO$496,MATCH($A297,'Budget révisé'!$A$2:$A$496,0),MATCH(G$2,'Budget révisé'!$A$2:$AO$2,0))</f>
        <v>39856.178455491056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13150.333328444585</v>
      </c>
      <c r="J297" s="179">
        <f>-SUMIFS(BV_Data_An_Cour!$O:$O,BV_Data_An_Cour!$X:$X,"Oui",BV_Data_An_Cour!$U:$U,$B297,BV_Data_An_Cour!$V:$V,$C297)</f>
        <v>53378.239999999998</v>
      </c>
      <c r="K297" s="210">
        <f t="shared" si="155"/>
        <v>0.3375969308841954</v>
      </c>
      <c r="L297" s="180">
        <f>-SUMIFS(BV_Data_An_Cour!$O:$O,BV_Data_An_Cour!$U:$U,$B297,BV_Data_An_Cour!$V:$V,$C297,BV_Data_An_Cour!$W:$W,$L$2)</f>
        <v>18020.329999999994</v>
      </c>
      <c r="M297" s="324">
        <f t="shared" si="156"/>
        <v>0.33927140203894746</v>
      </c>
      <c r="N297" s="304">
        <f t="shared" si="157"/>
        <v>4869.9966715554092</v>
      </c>
      <c r="O297" s="179">
        <f>-SUMIFS(BV_Data_An_Prec!$O:$O,BV_Data_An_Prec!$X:$X,"Oui",BV_Data_An_Prec!$U:$U,$B297,BV_Data_An_Prec!$V:$V,$C297)</f>
        <v>37983.339999999997</v>
      </c>
      <c r="P297" s="210">
        <f t="shared" si="158"/>
        <v>0.33295176253589065</v>
      </c>
      <c r="Q297" s="180">
        <f>-SUMIFS(BV_Data_An_Prec!$O:$O,BV_Data_An_Prec!$U:$U,$B297,BV_Data_An_Prec!$V:$V,$C297,BV_Data_An_Prec!$W:$W,$L$2)</f>
        <v>12646.619999999995</v>
      </c>
      <c r="R297" s="324">
        <f t="shared" si="162"/>
        <v>0.40530664233319141</v>
      </c>
      <c r="S297" s="199">
        <f t="shared" si="159"/>
        <v>5373.7099999999991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9578.1763980452179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2842.6667387139237</v>
      </c>
      <c r="G298" s="197">
        <f>+INDEX('Budget révisé'!$A$2:$AO$496,MATCH($A298,'Budget révisé'!$A$2:$A$496,0),MATCH(G$2,'Budget révisé'!$A$2:$AO$2,0))</f>
        <v>9578.1763980452179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2842.6667387139237</v>
      </c>
      <c r="J298" s="179">
        <f>-SUMIFS(BV_Data_An_Cour!$O:$O,BV_Data_An_Cour!$X:$X,"Oui",BV_Data_An_Cour!$U:$U,$B298,BV_Data_An_Cour!$V:$V,$C298)</f>
        <v>13350.72</v>
      </c>
      <c r="K298" s="210">
        <f t="shared" si="155"/>
        <v>0.29539155940653378</v>
      </c>
      <c r="L298" s="180">
        <f>-SUMIFS(BV_Data_An_Cour!$O:$O,BV_Data_An_Cour!$U:$U,$B298,BV_Data_An_Cour!$V:$V,$C298,BV_Data_An_Cour!$W:$W,$L$2)</f>
        <v>3943.6899999999987</v>
      </c>
      <c r="M298" s="324">
        <f t="shared" si="156"/>
        <v>0.39386867031648204</v>
      </c>
      <c r="N298" s="304">
        <f t="shared" si="157"/>
        <v>1101.023261286075</v>
      </c>
      <c r="O298" s="179">
        <f>-SUMIFS(BV_Data_An_Prec!$O:$O,BV_Data_An_Prec!$X:$X,"Oui",BV_Data_An_Prec!$U:$U,$B298,BV_Data_An_Prec!$V:$V,$C298)</f>
        <v>10307.56</v>
      </c>
      <c r="P298" s="210">
        <f t="shared" si="158"/>
        <v>0.29783285277990129</v>
      </c>
      <c r="Q298" s="180">
        <f>-SUMIFS(BV_Data_An_Prec!$O:$O,BV_Data_An_Prec!$U:$U,$B298,BV_Data_An_Prec!$V:$V,$C298,BV_Data_An_Prec!$W:$W,$L$2)</f>
        <v>3069.9299999999994</v>
      </c>
      <c r="R298" s="324">
        <f t="shared" si="162"/>
        <v>0.2952357298914583</v>
      </c>
      <c r="S298" s="199">
        <f t="shared" si="159"/>
        <v>873.75999999999931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57358.521558253393</v>
      </c>
      <c r="E299" s="210">
        <f t="shared" si="160"/>
        <v>0.19081606757663094</v>
      </c>
      <c r="F299" s="199">
        <f>+INDEX('Budget original'!$A$2:$AO$496,MATCH($A299,'Budget original'!$A$2:$A$496,0),MATCH(F$2,'Budget original'!$A$2:$AO$2,0))</f>
        <v>10944.927525755322</v>
      </c>
      <c r="G299" s="197">
        <f>+INDEX('Budget révisé'!$A$2:$AO$496,MATCH($A299,'Budget révisé'!$A$2:$A$496,0),MATCH(G$2,'Budget révisé'!$A$2:$AO$2,0))</f>
        <v>57358.521558253393</v>
      </c>
      <c r="H299" s="210">
        <f t="shared" si="161"/>
        <v>0.19081606757663094</v>
      </c>
      <c r="I299" s="199">
        <f>+INDEX('Budget révisé'!$A$2:$AO$496,MATCH($A299,'Budget révisé'!$A$2:$A$496,0),MATCH(I$2,'Budget révisé'!$A$2:$AO$2,0))</f>
        <v>10944.927525755322</v>
      </c>
      <c r="J299" s="179">
        <f>-SUMIFS(BV_Data_An_Cour!$O:$O,BV_Data_An_Cour!$X:$X,"Oui",BV_Data_An_Cour!$U:$U,$B299,BV_Data_An_Cour!$V:$V,$C299)</f>
        <v>51046.5</v>
      </c>
      <c r="K299" s="210">
        <f t="shared" si="155"/>
        <v>0.16781796989019809</v>
      </c>
      <c r="L299" s="180">
        <f>-SUMIFS(BV_Data_An_Cour!$O:$O,BV_Data_An_Cour!$U:$U,$B299,BV_Data_An_Cour!$V:$V,$C299,BV_Data_An_Cour!$W:$W,$L$2)</f>
        <v>8566.5199999999968</v>
      </c>
      <c r="M299" s="324">
        <f t="shared" si="156"/>
        <v>-0.11004505323316074</v>
      </c>
      <c r="N299" s="304">
        <f t="shared" si="157"/>
        <v>-2378.407525755325</v>
      </c>
      <c r="O299" s="179">
        <f>-SUMIFS(BV_Data_An_Prec!$O:$O,BV_Data_An_Prec!$X:$X,"Oui",BV_Data_An_Prec!$U:$U,$B299,BV_Data_An_Prec!$V:$V,$C299)</f>
        <v>46810.51</v>
      </c>
      <c r="P299" s="210">
        <f t="shared" si="158"/>
        <v>0.18867109117161937</v>
      </c>
      <c r="Q299" s="180">
        <f>-SUMIFS(BV_Data_An_Prec!$O:$O,BV_Data_An_Prec!$U:$U,$B299,BV_Data_An_Prec!$V:$V,$C299,BV_Data_An_Prec!$W:$W,$L$2)</f>
        <v>8831.7900000000009</v>
      </c>
      <c r="R299" s="324">
        <f t="shared" si="162"/>
        <v>9.049228474545562E-2</v>
      </c>
      <c r="S299" s="199">
        <f t="shared" si="159"/>
        <v>-265.27000000000407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8969.4594467607076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8969.4594467607076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6453.64</v>
      </c>
      <c r="M301" s="324"/>
      <c r="N301" s="304">
        <f t="shared" ref="N301:N303" si="173">L301-I301</f>
        <v>-2515.8194467607073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36752.42</v>
      </c>
      <c r="R301" s="324">
        <f t="shared" si="162"/>
        <v>0</v>
      </c>
      <c r="S301" s="199">
        <f t="shared" ref="S301:S303" si="174">L301-Q301</f>
        <v>-30298.78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282927.66250457388</v>
      </c>
      <c r="E303" s="328">
        <f>IF(D303&lt;=0,0,F303/D303)</f>
        <v>0.30649081527087174</v>
      </c>
      <c r="F303" s="200">
        <f>SUM(F294:F302)</f>
        <v>86714.729943708895</v>
      </c>
      <c r="G303" s="198">
        <f>SUM(G294:G302)</f>
        <v>282927.66250457388</v>
      </c>
      <c r="H303" s="328">
        <f>IF(G303&lt;=0,0,I303/G303)</f>
        <v>0.30649081527087174</v>
      </c>
      <c r="I303" s="200">
        <f>SUM(I294:I302)</f>
        <v>86714.729943708895</v>
      </c>
      <c r="J303" s="198">
        <f>SUM(J294:J302)</f>
        <v>253684.81999999998</v>
      </c>
      <c r="K303" s="328">
        <f t="shared" si="172"/>
        <v>0.30333021108633929</v>
      </c>
      <c r="L303" s="329">
        <f>SUM(L294:L302)</f>
        <v>76950.269999999975</v>
      </c>
      <c r="M303" s="330">
        <f>(+J303-G303)/G303</f>
        <v>-0.10335801824998696</v>
      </c>
      <c r="N303" s="329">
        <f t="shared" si="173"/>
        <v>-9764.45994370892</v>
      </c>
      <c r="O303" s="198">
        <f>SUM(O294:O302)</f>
        <v>301147.15999999997</v>
      </c>
      <c r="P303" s="328">
        <f t="shared" si="158"/>
        <v>0.39001427076383527</v>
      </c>
      <c r="Q303" s="329">
        <f>SUM(Q294:Q302)</f>
        <v>117451.69000000002</v>
      </c>
      <c r="R303" s="330">
        <f>IF(O303=0,0,(J303-O303)/O303)</f>
        <v>-0.15760513896262546</v>
      </c>
      <c r="S303" s="200">
        <f t="shared" si="174"/>
        <v>-40501.420000000042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-0.11260439777702758</v>
      </c>
      <c r="O304" s="303"/>
      <c r="P304" s="178"/>
      <c r="Q304" s="312"/>
      <c r="R304" s="303"/>
      <c r="S304" s="333">
        <f>IF(Q303=0,0,S303/Q303)</f>
        <v>-0.34483471459627391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26460.109588023632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5159.7213696646086</v>
      </c>
      <c r="G306" s="197">
        <f>+INDEX('Budget révisé'!$A$2:$AO$496,MATCH($A306,'Budget révisé'!$A$2:$A$496,0),MATCH(G$2,'Budget révisé'!$A$2:$AO$2,0))</f>
        <v>26460.109588023632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5159.7213696646086</v>
      </c>
      <c r="J306" s="179">
        <f>-SUMIFS(BV_Data_An_Cour!$O:$O,BV_Data_An_Cour!$X:$X,"Oui",BV_Data_An_Cour!$U:$U,$B306,BV_Data_An_Cour!$V:$V,$C306)</f>
        <v>28202.46</v>
      </c>
      <c r="K306" s="210">
        <f t="shared" ref="K306:K308" si="177">IF(J306&lt;=0,0,L306/J306)</f>
        <v>0.18144835592356132</v>
      </c>
      <c r="L306" s="180">
        <f>-SUMIFS(BV_Data_An_Cour!$O:$O,BV_Data_An_Cour!$U:$U,$B306,BV_Data_An_Cour!$V:$V,$C306,BV_Data_An_Cour!$W:$W,$L$2)</f>
        <v>5117.2900000000009</v>
      </c>
      <c r="M306" s="324">
        <f t="shared" ref="M306:M308" si="178">(+J306-G306)/G306</f>
        <v>6.5848193341005279E-2</v>
      </c>
      <c r="N306" s="304">
        <f t="shared" ref="N306:N308" si="179">L306-I306</f>
        <v>-42.431369664607701</v>
      </c>
      <c r="O306" s="179">
        <f>-SUMIFS(BV_Data_An_Prec!$O:$O,BV_Data_An_Prec!$X:$X,"Oui",BV_Data_An_Prec!$U:$U,$B306,BV_Data_An_Prec!$V:$V,$C306)</f>
        <v>29530.14</v>
      </c>
      <c r="P306" s="210">
        <f t="shared" ref="P306:P308" si="180">IF(O306&lt;=0,0,Q306/O306)</f>
        <v>0.19357883166148207</v>
      </c>
      <c r="Q306" s="180">
        <f>-SUMIFS(BV_Data_An_Prec!$O:$O,BV_Data_An_Prec!$U:$U,$B306,BV_Data_An_Prec!$V:$V,$C306,BV_Data_An_Prec!$W:$W,$L$2)</f>
        <v>5716.409999999998</v>
      </c>
      <c r="R306" s="324">
        <f t="shared" ref="R306:R307" si="181">IF(O306=0,0,(J306-O306)/O306)</f>
        <v>-4.4960166121799636E-2</v>
      </c>
      <c r="S306" s="199">
        <f t="shared" ref="S306:S308" si="182">L306-Q306</f>
        <v>-599.11999999999716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15129.102968859246</v>
      </c>
      <c r="E307" s="210">
        <f t="shared" si="175"/>
        <v>0.30006987567403665</v>
      </c>
      <c r="F307" s="202">
        <f>+INDEX('Budget original'!$A$2:$AO$496,MATCH($A307,'Budget original'!$A$2:$A$496,0),MATCH(F$2,'Budget original'!$A$2:$AO$2,0))</f>
        <v>4539.7880469252923</v>
      </c>
      <c r="G307" s="197">
        <f>+INDEX('Budget révisé'!$A$2:$AO$496,MATCH($A307,'Budget révisé'!$A$2:$A$496,0),MATCH(G$2,'Budget révisé'!$A$2:$AO$2,0))</f>
        <v>15129.102968859246</v>
      </c>
      <c r="H307" s="210">
        <f t="shared" si="176"/>
        <v>0.30006987567403665</v>
      </c>
      <c r="I307" s="202">
        <f>+INDEX('Budget révisé'!$A$2:$AO$496,MATCH($A307,'Budget révisé'!$A$2:$A$496,0),MATCH(I$2,'Budget révisé'!$A$2:$AO$2,0))</f>
        <v>4539.7880469252923</v>
      </c>
      <c r="J307" s="179">
        <f>-SUMIFS(BV_Data_An_Cour!$O:$O,BV_Data_An_Cour!$X:$X,"Oui",BV_Data_An_Cour!$U:$U,$B307,BV_Data_An_Cour!$V:$V,$C307)</f>
        <v>16473.04</v>
      </c>
      <c r="K307" s="210">
        <f t="shared" si="177"/>
        <v>0.28672424761914017</v>
      </c>
      <c r="L307" s="180">
        <f>-SUMIFS(BV_Data_An_Cour!$O:$O,BV_Data_An_Cour!$U:$U,$B307,BV_Data_An_Cour!$V:$V,$C307,BV_Data_An_Cour!$W:$W,$L$2)</f>
        <v>4723.2200000000012</v>
      </c>
      <c r="M307" s="324">
        <f t="shared" si="178"/>
        <v>8.8831243591046119E-2</v>
      </c>
      <c r="N307" s="304">
        <f t="shared" si="179"/>
        <v>183.43195307470887</v>
      </c>
      <c r="O307" s="179">
        <f>-SUMIFS(BV_Data_An_Prec!$O:$O,BV_Data_An_Prec!$X:$X,"Oui",BV_Data_An_Prec!$U:$U,$B307,BV_Data_An_Prec!$V:$V,$C307)</f>
        <v>14977.23</v>
      </c>
      <c r="P307" s="210">
        <f t="shared" si="180"/>
        <v>0.28657502088169845</v>
      </c>
      <c r="Q307" s="180">
        <f>-SUMIFS(BV_Data_An_Prec!$O:$O,BV_Data_An_Prec!$U:$U,$B307,BV_Data_An_Prec!$V:$V,$C307,BV_Data_An_Prec!$W:$W,$L$2)</f>
        <v>4292.1000000000004</v>
      </c>
      <c r="R307" s="324">
        <f t="shared" si="181"/>
        <v>9.9872272776741849E-2</v>
      </c>
      <c r="S307" s="199">
        <f t="shared" si="182"/>
        <v>431.1200000000008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324516.87506145675</v>
      </c>
      <c r="E308" s="328">
        <f>IF(D308&lt;=0,0,F308/D308)</f>
        <v>0.29710084981571433</v>
      </c>
      <c r="F308" s="329">
        <f t="shared" ref="F308" si="183">F303+F306+F307</f>
        <v>96414.239360298787</v>
      </c>
      <c r="G308" s="331">
        <f>G303+G306+G307</f>
        <v>324516.87506145675</v>
      </c>
      <c r="H308" s="328">
        <f>IF(G308&lt;=0,0,I308/G308)</f>
        <v>0.29710084981571433</v>
      </c>
      <c r="I308" s="329">
        <f t="shared" ref="I308" si="184">I303+I306+I307</f>
        <v>96414.239360298787</v>
      </c>
      <c r="J308" s="331">
        <f t="shared" ref="J308" si="185">J303+J306+J307</f>
        <v>298360.31999999995</v>
      </c>
      <c r="K308" s="328">
        <f t="shared" si="177"/>
        <v>0.29089250205925499</v>
      </c>
      <c r="L308" s="329">
        <f>L303+L306+L307</f>
        <v>86790.77999999997</v>
      </c>
      <c r="M308" s="330">
        <f t="shared" si="178"/>
        <v>-8.0601525133333352E-2</v>
      </c>
      <c r="N308" s="329">
        <f t="shared" si="179"/>
        <v>-9623.459360298817</v>
      </c>
      <c r="O308" s="331">
        <f t="shared" ref="O308" si="186">O303+O306+O307</f>
        <v>345654.52999999997</v>
      </c>
      <c r="P308" s="328">
        <f t="shared" si="180"/>
        <v>0.36875026634252422</v>
      </c>
      <c r="Q308" s="329">
        <f>Q303+Q306+Q307</f>
        <v>127460.20000000003</v>
      </c>
      <c r="R308" s="330">
        <f>IF(O308=0,0,(J308-O308)/O308)</f>
        <v>-0.13682508370424085</v>
      </c>
      <c r="S308" s="200">
        <f t="shared" si="182"/>
        <v>-40669.420000000056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-9.9813673002553824E-2</v>
      </c>
      <c r="O309" s="303"/>
      <c r="P309" s="178"/>
      <c r="Q309" s="312"/>
      <c r="R309" s="303"/>
      <c r="S309" s="333">
        <f>IF(Q308=0,0,S308/Q308)</f>
        <v>-0.31907544472706029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324516.87506145675</v>
      </c>
      <c r="E313" s="71">
        <f>IF(D313&lt;=0,0,F313/D313)</f>
        <v>0.29710084981571433</v>
      </c>
      <c r="F313" s="28">
        <f t="shared" ref="F313" si="189">F308+F311</f>
        <v>96414.239360298787</v>
      </c>
      <c r="G313" s="29">
        <f>G308+G311</f>
        <v>324516.87506145675</v>
      </c>
      <c r="H313" s="71">
        <f>IF(G313&lt;=0,0,I313/G313)</f>
        <v>0.29710084981571433</v>
      </c>
      <c r="I313" s="28">
        <f t="shared" ref="I313" si="190">I308+I311</f>
        <v>96414.239360298787</v>
      </c>
      <c r="J313" s="29">
        <f t="shared" ref="J313" si="191">J308+J311</f>
        <v>298360.31999999995</v>
      </c>
      <c r="K313" s="71">
        <f>IF(J313&lt;=0,0,L313/J313)</f>
        <v>0.29089250205925499</v>
      </c>
      <c r="L313" s="28">
        <f>L308+L311</f>
        <v>86790.77999999997</v>
      </c>
      <c r="M313" s="72">
        <f>(+J313-G313)/G313</f>
        <v>-8.0601525133333352E-2</v>
      </c>
      <c r="N313" s="73">
        <f>L313-I313</f>
        <v>-9623.459360298817</v>
      </c>
      <c r="O313" s="29">
        <f t="shared" ref="O313" si="192">O308+O311</f>
        <v>345654.52999999997</v>
      </c>
      <c r="P313" s="71">
        <f>IF(O313&lt;=0,0,Q313/O313)</f>
        <v>0.36875026634252422</v>
      </c>
      <c r="Q313" s="28">
        <f>Q308+Q311</f>
        <v>127460.20000000003</v>
      </c>
      <c r="R313" s="72">
        <f>IF(O313=0,0,(J313-O313)/O313)</f>
        <v>-0.13682508370424085</v>
      </c>
      <c r="S313" s="270">
        <f>L313-Q313</f>
        <v>-40669.420000000056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-9.9813673002553824E-2</v>
      </c>
      <c r="O314" s="77"/>
      <c r="P314" s="75"/>
      <c r="Q314" s="76"/>
      <c r="R314" s="78"/>
      <c r="S314" s="272">
        <f>IF(Q313=0,0,S313/Q313)</f>
        <v>-0.31907544472706029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9700.1032456265475</v>
      </c>
      <c r="G317" s="227"/>
      <c r="H317" s="233"/>
      <c r="I317" s="231">
        <f>+INDEX('Budget révisé'!$A$2:$AO$496,MATCH($A317,'Budget révisé'!$A$2:$A$496,0),MATCH(I$2,'Budget révisé'!$A$2:$AO$2,0))</f>
        <v>9700.1032456265475</v>
      </c>
      <c r="J317" s="227"/>
      <c r="K317" s="233"/>
      <c r="L317" s="281">
        <f>SUMIFS(BV_Data_An_Cour!$O:$O,BV_Data_An_Cour!$U:$U,$B317,BV_Data_An_Cour!$V:$V,$C317,BV_Data_An_Cour!$W:$W,$L$2)</f>
        <v>6893.09</v>
      </c>
      <c r="M317" s="227"/>
      <c r="N317" s="232">
        <f t="shared" ref="N317:N328" si="193">L317-I317</f>
        <v>-2807.0132456265474</v>
      </c>
      <c r="O317" s="227"/>
      <c r="P317" s="233"/>
      <c r="Q317" s="281">
        <f>SUMIFS(BV_Data_An_Prec!$O:$O,BV_Data_An_Prec!$U:$U,$B317,BV_Data_An_Prec!$V:$V,$C317,BV_Data_An_Prec!$W:$W,$L$2)</f>
        <v>11077.66</v>
      </c>
      <c r="R317" s="227"/>
      <c r="S317" s="512">
        <f>L317-Q317</f>
        <v>-4184.57</v>
      </c>
      <c r="T317" s="222"/>
      <c r="U317" s="222"/>
      <c r="V317" s="222" t="s">
        <v>2882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4660.1069176398478</v>
      </c>
      <c r="G318" s="283"/>
      <c r="H318" s="233"/>
      <c r="I318" s="244">
        <f>+INDEX('Budget révisé'!$A$2:$AO$496,MATCH($A318,'Budget révisé'!$A$2:$A$496,0),MATCH(I$2,'Budget révisé'!$A$2:$AO$2,0))</f>
        <v>4660.1069176398478</v>
      </c>
      <c r="J318" s="227"/>
      <c r="K318" s="233"/>
      <c r="L318" s="281">
        <f>SUMIFS(BV_Data_An_Cour!$O:$O,BV_Data_An_Cour!$U:$U,$B318,BV_Data_An_Cour!$V:$V,$C318,BV_Data_An_Cour!$W:$W,$L$2)</f>
        <v>4156.03</v>
      </c>
      <c r="M318" s="227"/>
      <c r="N318" s="232">
        <f t="shared" si="193"/>
        <v>-504.07691763984803</v>
      </c>
      <c r="O318" s="227"/>
      <c r="P318" s="233"/>
      <c r="Q318" s="281">
        <f>SUMIFS(BV_Data_An_Prec!$O:$O,BV_Data_An_Prec!$U:$U,$B318,BV_Data_An_Prec!$V:$V,$C318,BV_Data_An_Prec!$W:$W,$L$2)</f>
        <v>3271.87</v>
      </c>
      <c r="R318" s="227"/>
      <c r="S318" s="284">
        <f t="shared" ref="S318:S342" si="194">L318-Q318</f>
        <v>884.15999999999985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17319.701931377778</v>
      </c>
      <c r="G319" s="287"/>
      <c r="H319" s="286"/>
      <c r="I319" s="231">
        <f>+INDEX('Budget révisé'!$A$2:$AO$496,MATCH($A319,'Budget révisé'!$A$2:$A$496,0),MATCH(I$2,'Budget révisé'!$A$2:$AO$2,0))</f>
        <v>17319.701931377778</v>
      </c>
      <c r="J319" s="288"/>
      <c r="K319" s="286"/>
      <c r="L319" s="245">
        <f>SUMIFS(BV_Data_An_Cour!$O:$O,BV_Data_An_Cour!$U:$U,$B319,BV_Data_An_Cour!$V:$V,$C319,BV_Data_An_Cour!$W:$W,$L$2)</f>
        <v>18839.57</v>
      </c>
      <c r="M319" s="288"/>
      <c r="N319" s="289">
        <f t="shared" si="193"/>
        <v>1519.8680686222215</v>
      </c>
      <c r="O319" s="288"/>
      <c r="P319" s="286"/>
      <c r="Q319" s="245">
        <f>SUMIFS(BV_Data_An_Prec!$O:$O,BV_Data_An_Prec!$U:$U,$B319,BV_Data_An_Prec!$V:$V,$C319,BV_Data_An_Prec!$W:$W,$L$2)</f>
        <v>14497.42</v>
      </c>
      <c r="R319" s="288"/>
      <c r="S319" s="290">
        <f t="shared" si="194"/>
        <v>4342.1499999999996</v>
      </c>
      <c r="T319" s="222"/>
      <c r="U319" s="981"/>
      <c r="V319" s="981" t="s">
        <v>2883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3801.5894513573007</v>
      </c>
      <c r="G324" s="283"/>
      <c r="H324" s="233"/>
      <c r="I324" s="244">
        <f>+INDEX('Budget révisé'!$A$2:$AO$496,MATCH($A324,'Budget révisé'!$A$2:$A$496,0),MATCH(I$2,'Budget révisé'!$A$2:$AO$2,0))</f>
        <v>3801.5894513573007</v>
      </c>
      <c r="J324" s="227"/>
      <c r="K324" s="233"/>
      <c r="L324" s="281">
        <f>SUMIFS(BV_Data_An_Cour!$O:$O,BV_Data_An_Cour!$U:$U,$B324,BV_Data_An_Cour!$V:$V,$C324,BV_Data_An_Cour!$W:$W,$L$2)</f>
        <v>-7991.4600000000009</v>
      </c>
      <c r="M324" s="227"/>
      <c r="N324" s="232">
        <f t="shared" si="193"/>
        <v>-11793.049451357301</v>
      </c>
      <c r="O324" s="227"/>
      <c r="P324" s="233"/>
      <c r="Q324" s="281">
        <f>SUMIFS(BV_Data_An_Prec!$O:$O,BV_Data_An_Prec!$U:$U,$B324,BV_Data_An_Prec!$V:$V,$C324,BV_Data_An_Prec!$W:$W,$L$2)</f>
        <v>4743.97</v>
      </c>
      <c r="R324" s="227"/>
      <c r="S324" s="284">
        <f t="shared" si="194"/>
        <v>-12735.43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3801.5894513573007</v>
      </c>
      <c r="G325" s="287"/>
      <c r="H325" s="286"/>
      <c r="I325" s="231">
        <f>+INDEX('Budget révisé'!$A$2:$AO$496,MATCH($A325,'Budget révisé'!$A$2:$A$496,0),MATCH(I$2,'Budget révisé'!$A$2:$AO$2,0))</f>
        <v>3801.5894513573007</v>
      </c>
      <c r="J325" s="288"/>
      <c r="K325" s="286"/>
      <c r="L325" s="1102">
        <f>SUMIFS(BV_Data_An_Cour!$O:$O,BV_Data_An_Cour!$U:$U,$B325,BV_Data_An_Cour!$V:$V,$C325,BV_Data_An_Cour!$W:$W,$L$2)</f>
        <v>44.14</v>
      </c>
      <c r="M325" s="288"/>
      <c r="N325" s="289">
        <f t="shared" si="193"/>
        <v>-3757.4494513573009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44.14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2724.4724401393987</v>
      </c>
      <c r="G326" s="283"/>
      <c r="H326" s="233"/>
      <c r="I326" s="231">
        <f>+INDEX('Budget révisé'!$A$2:$AO$496,MATCH($A326,'Budget révisé'!$A$2:$A$496,0),MATCH(I$2,'Budget révisé'!$A$2:$AO$2,0))</f>
        <v>2724.4724401393987</v>
      </c>
      <c r="J326" s="227"/>
      <c r="K326" s="233"/>
      <c r="L326" s="281">
        <f>SUMIFS(BV_Data_An_Cour!$O:$O,BV_Data_An_Cour!$U:$U,$B326,BV_Data_An_Cour!$V:$V,$C326,BV_Data_An_Cour!$W:$W,$L$2)</f>
        <v>-1373.52</v>
      </c>
      <c r="M326" s="227"/>
      <c r="N326" s="232">
        <f t="shared" si="193"/>
        <v>-4097.9924401393982</v>
      </c>
      <c r="O326" s="227"/>
      <c r="P326" s="233"/>
      <c r="Q326" s="281">
        <f>SUMIFS(BV_Data_An_Prec!$O:$O,BV_Data_An_Prec!$U:$U,$B326,BV_Data_An_Prec!$V:$V,$C326,BV_Data_An_Prec!$W:$W,$L$2)</f>
        <v>4236.63</v>
      </c>
      <c r="R326" s="227"/>
      <c r="S326" s="284">
        <f t="shared" si="194"/>
        <v>-5610.15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633.59824189288349</v>
      </c>
      <c r="G327" s="283"/>
      <c r="H327" s="233"/>
      <c r="I327" s="231">
        <f>+INDEX('Budget révisé'!$A$2:$AO$496,MATCH($A327,'Budget révisé'!$A$2:$A$496,0),MATCH(I$2,'Budget révisé'!$A$2:$AO$2,0))</f>
        <v>633.59824189288349</v>
      </c>
      <c r="J327" s="227"/>
      <c r="K327" s="233"/>
      <c r="L327" s="281">
        <f>SUMIFS(BV_Data_An_Cour!$O:$O,BV_Data_An_Cour!$U:$U,$B327,BV_Data_An_Cour!$V:$V,$C327,BV_Data_An_Cour!$W:$W,$L$2)</f>
        <v>13907.71</v>
      </c>
      <c r="M327" s="227"/>
      <c r="N327" s="232">
        <f t="shared" si="193"/>
        <v>13274.111758107116</v>
      </c>
      <c r="O327" s="227"/>
      <c r="P327" s="233"/>
      <c r="Q327" s="281">
        <f>SUMIFS(BV_Data_An_Prec!$O:$O,BV_Data_An_Prec!$U:$U,$B327,BV_Data_An_Prec!$V:$V,$C327,BV_Data_An_Prec!$W:$W,$L$2)</f>
        <v>3795.48</v>
      </c>
      <c r="R327" s="227"/>
      <c r="S327" s="284">
        <f t="shared" si="194"/>
        <v>10112.23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0.44227037377789785</v>
      </c>
      <c r="F329" s="41">
        <f>+SUM(F317:F328)</f>
        <v>42641.161679391058</v>
      </c>
      <c r="G329" s="42" t="s">
        <v>111</v>
      </c>
      <c r="H329" s="40">
        <f>I329/I$313</f>
        <v>0.44227037377789785</v>
      </c>
      <c r="I329" s="41">
        <f>+SUM(I317:I328)</f>
        <v>42641.161679391058</v>
      </c>
      <c r="J329" s="42" t="s">
        <v>111</v>
      </c>
      <c r="K329" s="40">
        <f>L329/L$313</f>
        <v>0.39722606479628375</v>
      </c>
      <c r="L329" s="41">
        <f>+SUM(L317:L328)</f>
        <v>34475.56</v>
      </c>
      <c r="M329" s="43"/>
      <c r="N329" s="46">
        <f t="shared" ref="N329:N342" si="198">L329-I329</f>
        <v>-8165.6016793910603</v>
      </c>
      <c r="O329" s="42" t="s">
        <v>111</v>
      </c>
      <c r="P329" s="40">
        <f>Q329/Q$313</f>
        <v>0.32655707428671843</v>
      </c>
      <c r="Q329" s="41">
        <f>+SUM(Q317:Q328)</f>
        <v>41623.03</v>
      </c>
      <c r="R329" s="43"/>
      <c r="S329" s="299">
        <f t="shared" si="194"/>
        <v>-7147.4700000000012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1099">
        <f>SUMIFS(BV_Data_An_Cour!$O:$O,BV_Data_An_Cour!$U:$U,$B330,BV_Data_An_Cour!$V:$V,$C330,BV_Data_An_Cour!$W:$W,$L$2)</f>
        <v>8900.66</v>
      </c>
      <c r="M330" s="303"/>
      <c r="N330" s="304">
        <f t="shared" si="198"/>
        <v>5092.0183333333334</v>
      </c>
      <c r="O330" s="303"/>
      <c r="P330" s="178"/>
      <c r="Q330" s="281">
        <f>SUMIFS(BV_Data_An_Prec!$O:$O,BV_Data_An_Prec!$U:$U,$B330,BV_Data_An_Prec!$V:$V,$C330,BV_Data_An_Prec!$W:$W,$L$2)</f>
        <v>7480.84</v>
      </c>
      <c r="R330" s="303"/>
      <c r="S330" s="199">
        <f t="shared" si="194"/>
        <v>1419.8199999999997</v>
      </c>
      <c r="T330" s="222"/>
      <c r="U330" s="222"/>
      <c r="V330" s="222" t="s">
        <v>2949</v>
      </c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1728.4969010161922</v>
      </c>
      <c r="G331" s="302"/>
      <c r="H331" s="178"/>
      <c r="I331" s="179">
        <f>+INDEX('Budget révisé'!$A$2:$AO$496,MATCH($A331,'Budget révisé'!$A$2:$A$496,0),MATCH(I$2,'Budget révisé'!$A$2:$AO$2,0))</f>
        <v>1728.4969010161922</v>
      </c>
      <c r="J331" s="303"/>
      <c r="K331" s="178"/>
      <c r="L331" s="180">
        <f>SUMIFS(BV_Data_An_Cour!$O:$O,BV_Data_An_Cour!$U:$U,$B331,BV_Data_An_Cour!$V:$V,$C331,BV_Data_An_Cour!$W:$W,$L$2)</f>
        <v>0</v>
      </c>
      <c r="M331" s="303"/>
      <c r="N331" s="304">
        <f t="shared" si="198"/>
        <v>-1728.4969010161922</v>
      </c>
      <c r="O331" s="303"/>
      <c r="P331" s="178"/>
      <c r="Q331" s="180">
        <f>SUMIFS(BV_Data_An_Prec!$O:$O,BV_Data_An_Prec!$U:$U,$B331,BV_Data_An_Prec!$V:$V,$C331,BV_Data_An_Prec!$W:$W,$L$2)</f>
        <v>57.07</v>
      </c>
      <c r="R331" s="303"/>
      <c r="S331" s="199">
        <f t="shared" si="194"/>
        <v>-57.07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260.42</v>
      </c>
      <c r="M332" s="310"/>
      <c r="N332" s="311">
        <f t="shared" si="198"/>
        <v>-25.079999999999984</v>
      </c>
      <c r="O332" s="310"/>
      <c r="P332" s="308"/>
      <c r="Q332" s="180">
        <f>SUMIFS(BV_Data_An_Prec!$O:$O,BV_Data_An_Prec!$U:$U,$B332,BV_Data_An_Prec!$V:$V,$C332,BV_Data_An_Prec!$W:$W,$L$2)</f>
        <v>380.8</v>
      </c>
      <c r="R332" s="310"/>
      <c r="S332" s="202">
        <f t="shared" si="194"/>
        <v>-120.38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4026.54</v>
      </c>
      <c r="M333" s="303"/>
      <c r="N333" s="304">
        <f t="shared" si="198"/>
        <v>-254.23833333333369</v>
      </c>
      <c r="O333" s="303"/>
      <c r="P333" s="178"/>
      <c r="Q333" s="181">
        <f>SUMIFS(BV_Data_An_Prec!$O:$O,BV_Data_An_Prec!$U:$U,$B333,BV_Data_An_Prec!$V:$V,$C333,BV_Data_An_Prec!$W:$W,$L$2)</f>
        <v>4236.79</v>
      </c>
      <c r="R333" s="303"/>
      <c r="S333" s="199">
        <f t="shared" si="194"/>
        <v>-210.25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458.9</v>
      </c>
      <c r="M334" s="303"/>
      <c r="N334" s="304">
        <f t="shared" si="198"/>
        <v>-788.36312499999997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-1060.3499999999999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7738.2632083333328</v>
      </c>
      <c r="G335" s="309"/>
      <c r="H335" s="308"/>
      <c r="I335" s="177">
        <f>+INDEX('Budget révisé'!$A$2:$AO$496,MATCH($A335,'Budget révisé'!$A$2:$A$496,0),MATCH(I$2,'Budget révisé'!$A$2:$AO$2,0))</f>
        <v>7738.2632083333328</v>
      </c>
      <c r="J335" s="310"/>
      <c r="K335" s="308"/>
      <c r="L335" s="405">
        <f>SUMIFS(BV_Data_An_Cour!$O:$O,BV_Data_An_Cour!$U:$U,$B335,BV_Data_An_Cour!$V:$V,$C335,BV_Data_An_Cour!$W:$W,$L$2)</f>
        <v>5308.48</v>
      </c>
      <c r="M335" s="310"/>
      <c r="N335" s="311">
        <f t="shared" si="198"/>
        <v>-2429.7832083333333</v>
      </c>
      <c r="O335" s="310"/>
      <c r="P335" s="308"/>
      <c r="Q335" s="405">
        <f>SUMIFS(BV_Data_An_Prec!$O:$O,BV_Data_An_Prec!$U:$U,$B335,BV_Data_An_Prec!$V:$V,$C335,BV_Data_An_Prec!$W:$W,$L$2)</f>
        <v>11643.14</v>
      </c>
      <c r="R335" s="310"/>
      <c r="S335" s="202">
        <f t="shared" si="194"/>
        <v>-6334.66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132</v>
      </c>
      <c r="G337" s="302"/>
      <c r="H337" s="178"/>
      <c r="I337" s="179">
        <f>+INDEX('Budget révisé'!$A$2:$AO$496,MATCH($A337,'Budget révisé'!$A$2:$A$496,0),MATCH(I$2,'Budget révisé'!$A$2:$AO$2,0))</f>
        <v>132</v>
      </c>
      <c r="J337" s="303"/>
      <c r="K337" s="178"/>
      <c r="L337" s="180">
        <f>SUMIFS(BV_Data_An_Cour!$O:$O,BV_Data_An_Cour!$U:$U,$B337,BV_Data_An_Cour!$V:$V,$C337,BV_Data_An_Cour!$W:$W,$L$2)</f>
        <v>0</v>
      </c>
      <c r="M337" s="303"/>
      <c r="N337" s="304">
        <f t="shared" si="198"/>
        <v>-132</v>
      </c>
      <c r="O337" s="303"/>
      <c r="P337" s="178"/>
      <c r="Q337" s="180">
        <f>SUMIFS(BV_Data_An_Prec!$O:$O,BV_Data_An_Prec!$U:$U,$B337,BV_Data_An_Prec!$V:$V,$C337,BV_Data_An_Prec!$W:$W,$L$2)</f>
        <v>105</v>
      </c>
      <c r="R337" s="303"/>
      <c r="S337" s="199">
        <f t="shared" si="194"/>
        <v>-105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301.47000000000003</v>
      </c>
      <c r="M339" s="303"/>
      <c r="N339" s="304">
        <f t="shared" si="198"/>
        <v>-243.52999999999997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-161.02999999999997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185.98</v>
      </c>
      <c r="M340" s="303"/>
      <c r="N340" s="304">
        <f t="shared" si="198"/>
        <v>-266.29499999999996</v>
      </c>
      <c r="O340" s="303"/>
      <c r="P340" s="178"/>
      <c r="Q340" s="180">
        <f>SUMIFS(BV_Data_An_Prec!$O:$O,BV_Data_An_Prec!$U:$U,$B340,BV_Data_An_Prec!$V:$V,$C340,BV_Data_An_Prec!$W:$W,$L$2)</f>
        <v>418.82</v>
      </c>
      <c r="R340" s="303"/>
      <c r="S340" s="199">
        <f t="shared" si="194"/>
        <v>-232.84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57.72</v>
      </c>
      <c r="M341" s="303"/>
      <c r="N341" s="304">
        <f t="shared" si="198"/>
        <v>-158.53</v>
      </c>
      <c r="O341" s="303"/>
      <c r="P341" s="178"/>
      <c r="Q341" s="180">
        <f>SUMIFS(BV_Data_An_Prec!$O:$O,BV_Data_An_Prec!$U:$U,$B341,BV_Data_An_Prec!$V:$V,$C341,BV_Data_An_Prec!$W:$W,$L$2)</f>
        <v>55.5</v>
      </c>
      <c r="R341" s="303"/>
      <c r="S341" s="199">
        <f t="shared" si="194"/>
        <v>2.2199999999999989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1488.49</v>
      </c>
      <c r="M342" s="303"/>
      <c r="N342" s="304">
        <f t="shared" si="198"/>
        <v>590.74</v>
      </c>
      <c r="O342" s="303"/>
      <c r="P342" s="178"/>
      <c r="Q342" s="180">
        <f>SUMIFS(BV_Data_An_Prec!$O:$O,BV_Data_An_Prec!$U:$U,$B342,BV_Data_An_Prec!$V:$V,$C342,BV_Data_An_Prec!$W:$W,$L$2)</f>
        <v>1174.57</v>
      </c>
      <c r="R342" s="303"/>
      <c r="S342" s="199">
        <f t="shared" si="194"/>
        <v>313.92000000000007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3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1627.5891855146688</v>
      </c>
      <c r="G344" s="302"/>
      <c r="H344" s="178"/>
      <c r="I344" s="179">
        <f>+INDEX('Budget révisé'!$A$2:$AO$496,MATCH($A344,'Budget révisé'!$A$2:$A$496,0),MATCH(I$2,'Budget révisé'!$A$2:$AO$2,0))</f>
        <v>1627.5891855146688</v>
      </c>
      <c r="J344" s="303"/>
      <c r="K344" s="178"/>
      <c r="L344" s="985">
        <f>AF447*W7</f>
        <v>1335.1559999999999</v>
      </c>
      <c r="M344" s="303"/>
      <c r="N344" s="304">
        <f t="shared" si="203"/>
        <v>-292.43318551466882</v>
      </c>
      <c r="O344" s="303"/>
      <c r="P344" s="178"/>
      <c r="Q344" s="180">
        <f>SUMIFS(BV_Data_An_Prec!$O:$O,BV_Data_An_Prec!$U:$U,$B344,BV_Data_An_Prec!$V:$V,$C344,BV_Data_An_Prec!$W:$W,$L$2)</f>
        <v>0</v>
      </c>
      <c r="R344" s="303"/>
      <c r="S344" s="199">
        <f t="shared" si="204"/>
        <v>1335.1559999999999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0.24246370046895407</v>
      </c>
      <c r="F348" s="41">
        <f>+SUM(F330:F347)</f>
        <v>23376.953253197527</v>
      </c>
      <c r="G348" s="42" t="s">
        <v>111</v>
      </c>
      <c r="H348" s="40">
        <f>I348/I$313</f>
        <v>0.24246370046895407</v>
      </c>
      <c r="I348" s="41">
        <f>+SUM(I330:I347)</f>
        <v>23376.953253197527</v>
      </c>
      <c r="J348" s="42" t="s">
        <v>111</v>
      </c>
      <c r="K348" s="40">
        <f>L348/L$313</f>
        <v>0.25746923809188038</v>
      </c>
      <c r="L348" s="41">
        <f>+SUM(L330:L347)</f>
        <v>22345.956000000002</v>
      </c>
      <c r="M348" s="44"/>
      <c r="N348" s="41">
        <f>+SUM(N330:N347)</f>
        <v>-1030.9972531975277</v>
      </c>
      <c r="O348" s="42" t="s">
        <v>111</v>
      </c>
      <c r="P348" s="40">
        <f>Q348/Q$313</f>
        <v>0.21990613540540493</v>
      </c>
      <c r="Q348" s="41">
        <f>+SUM(Q330:Q347)</f>
        <v>28029.279999999999</v>
      </c>
      <c r="R348" s="44"/>
      <c r="S348" s="316">
        <f>+SUM(S330:S347)</f>
        <v>-5683.3239999999987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0.68473407424685206</v>
      </c>
      <c r="F350" s="41">
        <f>F329+F348</f>
        <v>66018.114932588593</v>
      </c>
      <c r="G350" s="42" t="s">
        <v>111</v>
      </c>
      <c r="H350" s="40">
        <f>I350/I$313</f>
        <v>0.68473407424685206</v>
      </c>
      <c r="I350" s="41">
        <f>I329+I348</f>
        <v>66018.114932588593</v>
      </c>
      <c r="J350" s="42" t="s">
        <v>111</v>
      </c>
      <c r="K350" s="40">
        <f>L350/L$313</f>
        <v>0.65469530288816424</v>
      </c>
      <c r="L350" s="41">
        <f>L329+L348</f>
        <v>56821.516000000003</v>
      </c>
      <c r="M350" s="44"/>
      <c r="N350" s="46">
        <f t="shared" ref="N350:N352" si="206">L350-I350</f>
        <v>-9196.5989325885894</v>
      </c>
      <c r="O350" s="42" t="s">
        <v>111</v>
      </c>
      <c r="P350" s="40">
        <f>Q350/Q$313</f>
        <v>0.54646320969212336</v>
      </c>
      <c r="Q350" s="41">
        <f>Q329+Q348</f>
        <v>69652.31</v>
      </c>
      <c r="R350" s="44"/>
      <c r="S350" s="299">
        <f>L350-Q350</f>
        <v>-12830.793999999994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30396.124427710194</v>
      </c>
      <c r="G352" s="344"/>
      <c r="H352" s="342"/>
      <c r="I352" s="343">
        <f>I313-I350</f>
        <v>30396.124427710194</v>
      </c>
      <c r="J352" s="345"/>
      <c r="K352" s="346"/>
      <c r="L352" s="343">
        <f>L313-L350</f>
        <v>29969.263999999966</v>
      </c>
      <c r="M352" s="345"/>
      <c r="N352" s="343">
        <f t="shared" si="206"/>
        <v>-426.86042771022767</v>
      </c>
      <c r="O352" s="345"/>
      <c r="P352" s="346"/>
      <c r="Q352" s="343">
        <f>Q313-Q350</f>
        <v>57807.890000000029</v>
      </c>
      <c r="R352" s="345"/>
      <c r="S352" s="347">
        <f>L352-Q352</f>
        <v>-27838.626000000062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34" t="s">
        <v>77</v>
      </c>
      <c r="E357" s="1135"/>
      <c r="F357" s="1136"/>
      <c r="G357" s="1137" t="s">
        <v>145</v>
      </c>
      <c r="H357" s="1135"/>
      <c r="I357" s="1136"/>
      <c r="J357" s="1137" t="s">
        <v>79</v>
      </c>
      <c r="K357" s="1135"/>
      <c r="L357" s="1136"/>
      <c r="M357" s="1137" t="s">
        <v>80</v>
      </c>
      <c r="N357" s="1136"/>
      <c r="O357" s="1134" t="s">
        <v>81</v>
      </c>
      <c r="P357" s="1135"/>
      <c r="Q357" s="1136"/>
      <c r="R357" s="1137" t="s">
        <v>82</v>
      </c>
      <c r="S357" s="1138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441"/>
      <c r="X403" s="1142" t="s">
        <v>194</v>
      </c>
      <c r="Y403" s="1140"/>
      <c r="Z403" s="1143"/>
      <c r="AA403" s="1139" t="s">
        <v>145</v>
      </c>
      <c r="AB403" s="1140"/>
      <c r="AC403" s="1143"/>
      <c r="AD403" s="1139" t="s">
        <v>79</v>
      </c>
      <c r="AE403" s="1140"/>
      <c r="AF403" s="1143"/>
      <c r="AG403" s="1139" t="s">
        <v>195</v>
      </c>
      <c r="AH403" s="1140"/>
      <c r="AI403" s="1143"/>
      <c r="AJ403" s="1139" t="s">
        <v>196</v>
      </c>
      <c r="AK403" s="1140"/>
      <c r="AL403" s="1140"/>
      <c r="AM403" s="1139" t="s">
        <v>197</v>
      </c>
      <c r="AN403" s="1140"/>
      <c r="AO403" s="1141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2073370.794246813</v>
      </c>
      <c r="AA405" s="445"/>
      <c r="AB405" s="445"/>
      <c r="AC405" s="446">
        <f>I5+I93+H193+H249+G313+G361</f>
        <v>2073370.794246813</v>
      </c>
      <c r="AD405" s="447"/>
      <c r="AE405" s="448"/>
      <c r="AF405" s="448">
        <f>L5+L93+K193+K249+J313+J361</f>
        <v>5409216.4000000004</v>
      </c>
      <c r="AG405" s="447"/>
      <c r="AH405" s="448"/>
      <c r="AI405" s="449"/>
      <c r="AJ405" s="447"/>
      <c r="AK405" s="448"/>
      <c r="AL405" s="448">
        <f>Q5+Q93+P193+P249+O313+O361</f>
        <v>4283719.74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447448.36001540109</v>
      </c>
      <c r="AA406" s="81"/>
      <c r="AB406" s="81"/>
      <c r="AC406" s="82">
        <f>I27+I107+I193+I249+I313+I361</f>
        <v>473086.52530044882</v>
      </c>
      <c r="AD406" s="83"/>
      <c r="AE406" s="84"/>
      <c r="AF406" s="84">
        <f>L27+L107+L193+L249+L313+L361</f>
        <v>570228.6399999999</v>
      </c>
      <c r="AG406" s="83"/>
      <c r="AH406" s="84">
        <f>AF406-AC406</f>
        <v>97142.114699551079</v>
      </c>
      <c r="AI406" s="85">
        <f>AH406/AC406</f>
        <v>0.20533688766099997</v>
      </c>
      <c r="AJ406" s="83"/>
      <c r="AK406" s="84"/>
      <c r="AL406" s="84">
        <f>Q27+Q107+Q193+Q249+Q313+Q361</f>
        <v>444806.22000000009</v>
      </c>
      <c r="AM406" s="86"/>
      <c r="AN406" s="84">
        <f>AF406-AL406</f>
        <v>125422.41999999981</v>
      </c>
      <c r="AO406" s="453">
        <f>IF(AL406=0,0,AN406/AL406)</f>
        <v>0.28197092207928159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5">Z408/(D$13+D$96)</f>
        <v>447.03837620673994</v>
      </c>
      <c r="Z408" s="87">
        <f t="shared" ref="Z408:Z417" si="216">+SUMIF($C:$C,$V408,F:F)</f>
        <v>36641.020471478783</v>
      </c>
      <c r="AA408" s="455"/>
      <c r="AB408" s="461">
        <f t="shared" ref="AB408:AB414" si="217">IF(AC408=0,0,AC408/(G$13+G$96))</f>
        <v>452.80294477850862</v>
      </c>
      <c r="AC408" s="87">
        <f t="shared" ref="AC408:AC417" si="218">+SUMIF($C:$C,$V408,I:I)</f>
        <v>37113.507144412062</v>
      </c>
      <c r="AD408" s="462"/>
      <c r="AE408" s="461">
        <f t="shared" ref="AE408:AE413" si="219">IF(AF408=0,0,AF408/(J$13+J$96))</f>
        <v>554.69441441441438</v>
      </c>
      <c r="AF408" s="87">
        <f t="shared" ref="AF408:AF417" si="220">+SUMIF($C:$C,$V408,L:L)</f>
        <v>61571.08</v>
      </c>
      <c r="AG408" s="456">
        <f t="shared" ref="AG408:AH408" si="221">AE408-AB408</f>
        <v>101.89146963590576</v>
      </c>
      <c r="AH408" s="457">
        <f t="shared" si="221"/>
        <v>24457.57285558794</v>
      </c>
      <c r="AI408" s="458">
        <f>IF(AC408=0,0,AH408/AC408)</f>
        <v>0.65899384718402598</v>
      </c>
      <c r="AJ408" s="462"/>
      <c r="AK408" s="457">
        <f t="shared" ref="AK408:AK414" si="222">AL408/(O$13+O$96)</f>
        <v>381.46694444444444</v>
      </c>
      <c r="AL408" s="87">
        <f t="shared" ref="AL408:AL417" si="223">+SUMIF($C:$C,$V408,Q:Q)</f>
        <v>41198.43</v>
      </c>
      <c r="AM408" s="459">
        <f t="shared" ref="AM408:AM413" si="224">AE408-Y408</f>
        <v>107.65603820767444</v>
      </c>
      <c r="AN408" s="457">
        <f t="shared" ref="AN408:AN413" si="225">AF408-AL408</f>
        <v>20372.650000000001</v>
      </c>
      <c r="AO408" s="214">
        <f>IF(AL408=0,0,AN408/AL408)</f>
        <v>0.49450063995157101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215"/>
        <v>350.01315813268997</v>
      </c>
      <c r="Z409" s="446">
        <f t="shared" si="216"/>
        <v>28688.45265869475</v>
      </c>
      <c r="AA409" s="445"/>
      <c r="AB409" s="464">
        <f t="shared" si="217"/>
        <v>350.01315813268997</v>
      </c>
      <c r="AC409" s="446">
        <f t="shared" si="218"/>
        <v>28688.45265869475</v>
      </c>
      <c r="AD409" s="465"/>
      <c r="AE409" s="464">
        <f t="shared" si="219"/>
        <v>344.0827027027027</v>
      </c>
      <c r="AF409" s="446">
        <f t="shared" si="220"/>
        <v>38193.18</v>
      </c>
      <c r="AG409" s="447">
        <f t="shared" ref="AG409:AH409" si="226">AE409-AB409</f>
        <v>-5.9304554299872621</v>
      </c>
      <c r="AH409" s="448">
        <f t="shared" si="226"/>
        <v>9504.7273413052499</v>
      </c>
      <c r="AI409" s="466">
        <f t="shared" ref="AI409:AI413" si="227">IF(AC409=0,0,AH409/AC409)</f>
        <v>0.33130846945224163</v>
      </c>
      <c r="AJ409" s="465"/>
      <c r="AK409" s="448">
        <f t="shared" si="222"/>
        <v>260.12555555555554</v>
      </c>
      <c r="AL409" s="446">
        <f t="shared" si="223"/>
        <v>28093.559999999998</v>
      </c>
      <c r="AM409" s="450">
        <f t="shared" si="224"/>
        <v>-5.9304554299872621</v>
      </c>
      <c r="AN409" s="448">
        <f t="shared" si="225"/>
        <v>10099.620000000003</v>
      </c>
      <c r="AO409" s="215">
        <f t="shared" ref="AO409:AO413" si="228">IF(AL409=0,0,AN409/AL409)</f>
        <v>0.3594994724769664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215"/>
        <v>169.50915088724997</v>
      </c>
      <c r="Z410" s="87">
        <f t="shared" si="216"/>
        <v>13893.63553184155</v>
      </c>
      <c r="AA410" s="455"/>
      <c r="AB410" s="461">
        <f t="shared" si="217"/>
        <v>169.50915088724997</v>
      </c>
      <c r="AC410" s="87">
        <f t="shared" si="218"/>
        <v>13893.63553184155</v>
      </c>
      <c r="AD410" s="462"/>
      <c r="AE410" s="461">
        <f t="shared" si="219"/>
        <v>115.19729729729731</v>
      </c>
      <c r="AF410" s="87">
        <f t="shared" si="220"/>
        <v>12786.900000000001</v>
      </c>
      <c r="AG410" s="456">
        <f t="shared" ref="AG410:AH410" si="229">AE410-AB410</f>
        <v>-54.311853589952662</v>
      </c>
      <c r="AH410" s="457">
        <f t="shared" si="229"/>
        <v>-1106.7355318415484</v>
      </c>
      <c r="AI410" s="458">
        <f t="shared" si="227"/>
        <v>-7.9657734601222455E-2</v>
      </c>
      <c r="AJ410" s="462"/>
      <c r="AK410" s="457">
        <f t="shared" si="222"/>
        <v>112.05185185185185</v>
      </c>
      <c r="AL410" s="87">
        <f t="shared" si="223"/>
        <v>12101.6</v>
      </c>
      <c r="AM410" s="459">
        <f t="shared" si="224"/>
        <v>-54.311853589952662</v>
      </c>
      <c r="AN410" s="457">
        <f t="shared" si="225"/>
        <v>685.30000000000109</v>
      </c>
      <c r="AO410" s="214">
        <f t="shared" si="228"/>
        <v>5.6628875520592405E-2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215"/>
        <v>35.514244041143918</v>
      </c>
      <c r="Z411" s="87">
        <f t="shared" si="216"/>
        <v>2910.8868772797505</v>
      </c>
      <c r="AA411" s="455"/>
      <c r="AB411" s="461">
        <f t="shared" si="217"/>
        <v>35.514244041143918</v>
      </c>
      <c r="AC411" s="87">
        <f t="shared" si="218"/>
        <v>2910.8868772797505</v>
      </c>
      <c r="AD411" s="462"/>
      <c r="AE411" s="461">
        <f t="shared" si="219"/>
        <v>0</v>
      </c>
      <c r="AF411" s="87">
        <f t="shared" si="220"/>
        <v>0</v>
      </c>
      <c r="AG411" s="456">
        <f t="shared" ref="AG411:AH411" si="230">AE411-AB411</f>
        <v>-35.514244041143918</v>
      </c>
      <c r="AH411" s="457">
        <f t="shared" si="230"/>
        <v>-2910.8868772797505</v>
      </c>
      <c r="AI411" s="458">
        <f t="shared" si="227"/>
        <v>-1</v>
      </c>
      <c r="AJ411" s="462"/>
      <c r="AK411" s="457">
        <f t="shared" si="222"/>
        <v>8.8979629629629624</v>
      </c>
      <c r="AL411" s="87">
        <f t="shared" si="223"/>
        <v>960.98</v>
      </c>
      <c r="AM411" s="459">
        <f t="shared" si="224"/>
        <v>-35.514244041143918</v>
      </c>
      <c r="AN411" s="457">
        <f t="shared" si="225"/>
        <v>-960.98</v>
      </c>
      <c r="AO411" s="216">
        <f t="shared" si="228"/>
        <v>-1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215"/>
        <v>44.431896175317277</v>
      </c>
      <c r="Z412" s="446">
        <f t="shared" si="216"/>
        <v>3641.8126585926752</v>
      </c>
      <c r="AA412" s="445"/>
      <c r="AB412" s="464">
        <f t="shared" si="217"/>
        <v>44.431896175317277</v>
      </c>
      <c r="AC412" s="446">
        <f t="shared" si="218"/>
        <v>3641.8126585926752</v>
      </c>
      <c r="AD412" s="465"/>
      <c r="AE412" s="464">
        <f t="shared" si="219"/>
        <v>25.740990990990991</v>
      </c>
      <c r="AF412" s="446">
        <f t="shared" si="220"/>
        <v>2857.25</v>
      </c>
      <c r="AG412" s="447">
        <f t="shared" ref="AG412:AH412" si="231">AE412-AB412</f>
        <v>-18.690905184326287</v>
      </c>
      <c r="AH412" s="448">
        <f t="shared" si="231"/>
        <v>-784.56265859267523</v>
      </c>
      <c r="AI412" s="466">
        <f t="shared" si="227"/>
        <v>-0.21543191046402094</v>
      </c>
      <c r="AJ412" s="465"/>
      <c r="AK412" s="448">
        <f t="shared" si="222"/>
        <v>46.656018518518522</v>
      </c>
      <c r="AL412" s="446">
        <f t="shared" si="223"/>
        <v>5038.8500000000004</v>
      </c>
      <c r="AM412" s="450">
        <f t="shared" si="224"/>
        <v>-18.690905184326287</v>
      </c>
      <c r="AN412" s="448">
        <f t="shared" si="225"/>
        <v>-2181.6000000000004</v>
      </c>
      <c r="AO412" s="215">
        <f t="shared" si="228"/>
        <v>-0.43295593240521157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215"/>
        <v>148.96386783529545</v>
      </c>
      <c r="Z413" s="87">
        <f t="shared" si="216"/>
        <v>12209.663468219773</v>
      </c>
      <c r="AA413" s="458"/>
      <c r="AB413" s="461">
        <f t="shared" si="217"/>
        <v>148.96386783529545</v>
      </c>
      <c r="AC413" s="87">
        <f t="shared" si="218"/>
        <v>12209.663468219773</v>
      </c>
      <c r="AD413" s="462"/>
      <c r="AE413" s="461">
        <f t="shared" si="219"/>
        <v>98.376396396396387</v>
      </c>
      <c r="AF413" s="87">
        <f t="shared" si="220"/>
        <v>10919.779999999999</v>
      </c>
      <c r="AG413" s="456">
        <f t="shared" ref="AG413:AH414" si="232">AE413-AB413</f>
        <v>-50.587471438899058</v>
      </c>
      <c r="AH413" s="457">
        <f t="shared" si="232"/>
        <v>-1289.8834682197739</v>
      </c>
      <c r="AI413" s="458">
        <f t="shared" si="227"/>
        <v>-0.10564447345966409</v>
      </c>
      <c r="AJ413" s="462"/>
      <c r="AK413" s="457">
        <f t="shared" si="222"/>
        <v>104.07407407407408</v>
      </c>
      <c r="AL413" s="87">
        <f t="shared" si="223"/>
        <v>11240</v>
      </c>
      <c r="AM413" s="459">
        <f t="shared" si="224"/>
        <v>-50.587471438899058</v>
      </c>
      <c r="AN413" s="457">
        <f t="shared" si="225"/>
        <v>-320.22000000000116</v>
      </c>
      <c r="AO413" s="214">
        <f t="shared" si="228"/>
        <v>-2.8489323843416473E-2</v>
      </c>
      <c r="AP413" s="79"/>
      <c r="AQ413" s="79" t="s">
        <v>2930</v>
      </c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4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215"/>
        <v>193.25422354483004</v>
      </c>
      <c r="Z414" s="87">
        <f t="shared" si="216"/>
        <v>15839.874914522146</v>
      </c>
      <c r="AA414" s="455"/>
      <c r="AB414" s="461">
        <f t="shared" si="217"/>
        <v>194.75319368656079</v>
      </c>
      <c r="AC414" s="87">
        <f t="shared" si="218"/>
        <v>15962.736392579887</v>
      </c>
      <c r="AD414" s="462"/>
      <c r="AE414" s="461">
        <f>IF(AF414=0,0,AF414/(J$13+J$13))</f>
        <v>101.81369565217391</v>
      </c>
      <c r="AF414" s="87">
        <f t="shared" si="220"/>
        <v>14050.289999999999</v>
      </c>
      <c r="AG414" s="456">
        <f t="shared" si="232"/>
        <v>-92.939498034386887</v>
      </c>
      <c r="AH414" s="457">
        <f t="shared" si="232"/>
        <v>-1912.4463925798882</v>
      </c>
      <c r="AI414" s="458">
        <f t="shared" ref="AI414" si="233">IF(AC414=0,0,AH414/AC414)</f>
        <v>-0.11980692692944983</v>
      </c>
      <c r="AJ414" s="462"/>
      <c r="AK414" s="457">
        <f t="shared" si="222"/>
        <v>189.79222222222219</v>
      </c>
      <c r="AL414" s="87">
        <f t="shared" si="223"/>
        <v>20497.559999999998</v>
      </c>
      <c r="AM414" s="459">
        <f t="shared" ref="AM414" si="234">AE414-Y414</f>
        <v>-91.440527892656135</v>
      </c>
      <c r="AN414" s="457">
        <f t="shared" ref="AN414" si="235">AF414-AL414</f>
        <v>-6447.2699999999986</v>
      </c>
      <c r="AO414" s="214">
        <f t="shared" ref="AO414" si="236">IF(AL414=0,0,AN414/AL414)</f>
        <v>-0.31453841335261362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4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37">Z415/(D$13+D$96)</f>
        <v>0</v>
      </c>
      <c r="Z415" s="87">
        <f t="shared" si="216"/>
        <v>0</v>
      </c>
      <c r="AA415" s="455"/>
      <c r="AB415" s="461">
        <f t="shared" ref="AB415:AB417" si="238">IF(AC415=0,0,AC415/(G$13+G$96))</f>
        <v>0</v>
      </c>
      <c r="AC415" s="87">
        <f t="shared" si="218"/>
        <v>0</v>
      </c>
      <c r="AD415" s="462"/>
      <c r="AE415" s="461">
        <f t="shared" ref="AE415:AE417" si="239">IF(AF415=0,0,AF415/(J$13+J$13))</f>
        <v>0</v>
      </c>
      <c r="AF415" s="87">
        <f t="shared" si="220"/>
        <v>0</v>
      </c>
      <c r="AG415" s="456">
        <f t="shared" ref="AG415:AG417" si="240">AE415-AB415</f>
        <v>0</v>
      </c>
      <c r="AH415" s="457">
        <f t="shared" ref="AH415:AH417" si="241">AF415-AC415</f>
        <v>0</v>
      </c>
      <c r="AI415" s="458">
        <f t="shared" ref="AI415:AI417" si="242">IF(AC415=0,0,AH415/AC415)</f>
        <v>0</v>
      </c>
      <c r="AJ415" s="462"/>
      <c r="AK415" s="457">
        <f t="shared" ref="AK415:AK417" si="243">AL415/(O$13+O$96)</f>
        <v>0</v>
      </c>
      <c r="AL415" s="87">
        <f t="shared" si="223"/>
        <v>0</v>
      </c>
      <c r="AM415" s="459">
        <f t="shared" ref="AM415:AM417" si="244">AE415-Y415</f>
        <v>0</v>
      </c>
      <c r="AN415" s="457">
        <f t="shared" ref="AN415:AN417" si="245">AF415-AL415</f>
        <v>0</v>
      </c>
      <c r="AO415" s="214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4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37"/>
        <v>0</v>
      </c>
      <c r="Z416" s="87">
        <f t="shared" si="216"/>
        <v>0</v>
      </c>
      <c r="AA416" s="455"/>
      <c r="AB416" s="461">
        <f t="shared" si="238"/>
        <v>0</v>
      </c>
      <c r="AC416" s="87">
        <f t="shared" si="218"/>
        <v>0</v>
      </c>
      <c r="AD416" s="462"/>
      <c r="AE416" s="461">
        <f t="shared" si="239"/>
        <v>0</v>
      </c>
      <c r="AF416" s="87">
        <f t="shared" si="220"/>
        <v>0</v>
      </c>
      <c r="AG416" s="456">
        <f t="shared" si="240"/>
        <v>0</v>
      </c>
      <c r="AH416" s="457">
        <f t="shared" si="241"/>
        <v>0</v>
      </c>
      <c r="AI416" s="458">
        <f t="shared" si="242"/>
        <v>0</v>
      </c>
      <c r="AJ416" s="462"/>
      <c r="AK416" s="457">
        <f t="shared" si="243"/>
        <v>0</v>
      </c>
      <c r="AL416" s="87">
        <f t="shared" si="223"/>
        <v>0</v>
      </c>
      <c r="AM416" s="459">
        <f t="shared" si="244"/>
        <v>0</v>
      </c>
      <c r="AN416" s="457">
        <f t="shared" si="245"/>
        <v>0</v>
      </c>
      <c r="AO416" s="214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37"/>
        <v>0</v>
      </c>
      <c r="Z417" s="87">
        <f t="shared" si="216"/>
        <v>0</v>
      </c>
      <c r="AA417" s="455"/>
      <c r="AB417" s="461">
        <f t="shared" si="238"/>
        <v>0</v>
      </c>
      <c r="AC417" s="87">
        <f t="shared" si="218"/>
        <v>0</v>
      </c>
      <c r="AD417" s="462"/>
      <c r="AE417" s="461">
        <f t="shared" si="239"/>
        <v>0</v>
      </c>
      <c r="AF417" s="87">
        <f t="shared" si="220"/>
        <v>0</v>
      </c>
      <c r="AG417" s="456">
        <f t="shared" si="240"/>
        <v>0</v>
      </c>
      <c r="AH417" s="457">
        <f t="shared" si="241"/>
        <v>0</v>
      </c>
      <c r="AI417" s="458">
        <f t="shared" si="242"/>
        <v>0</v>
      </c>
      <c r="AJ417" s="462"/>
      <c r="AK417" s="457">
        <f t="shared" si="243"/>
        <v>0</v>
      </c>
      <c r="AL417" s="87">
        <f t="shared" si="223"/>
        <v>0</v>
      </c>
      <c r="AM417" s="459">
        <f t="shared" si="244"/>
        <v>0</v>
      </c>
      <c r="AN417" s="457">
        <f t="shared" si="245"/>
        <v>0</v>
      </c>
      <c r="AO417" s="214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0.25438767185717603</v>
      </c>
      <c r="Y418" s="88"/>
      <c r="Z418" s="90">
        <f>SUM(Z408:Z417)</f>
        <v>113825.34658062943</v>
      </c>
      <c r="AA418" s="89">
        <f>AC418/AC406</f>
        <v>0.24185997404799031</v>
      </c>
      <c r="AB418" s="88"/>
      <c r="AC418" s="90">
        <f>SUM(AC408:AC417)</f>
        <v>114420.69473162046</v>
      </c>
      <c r="AD418" s="91">
        <f>AF418/AF406</f>
        <v>0.24617928696110394</v>
      </c>
      <c r="AE418" s="88"/>
      <c r="AF418" s="90">
        <f>SUM(AF408:AF417)</f>
        <v>140378.48000000001</v>
      </c>
      <c r="AG418" s="92"/>
      <c r="AH418" s="93">
        <f>AF418-AC418</f>
        <v>25957.78526837955</v>
      </c>
      <c r="AI418" s="89">
        <f>AH418/AC418</f>
        <v>0.22686267837531357</v>
      </c>
      <c r="AJ418" s="91">
        <f>IF($AL$406=0,0,AL418/$AL$406)</f>
        <v>0.26782669540907045</v>
      </c>
      <c r="AK418" s="88"/>
      <c r="AL418" s="90">
        <f>SUM(AL408:AL417)</f>
        <v>119130.98</v>
      </c>
      <c r="AM418" s="94"/>
      <c r="AN418" s="93">
        <f t="shared" ref="AN418:AN423" si="247">AF418-AL418</f>
        <v>21247.500000000015</v>
      </c>
      <c r="AO418" s="453">
        <f>IF(AL418=0,0,AN418/AL418)</f>
        <v>0.17835411074432542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2916.67</v>
      </c>
      <c r="AG419" s="456"/>
      <c r="AH419" s="457">
        <f t="shared" ref="AH419:AH423" si="248">AF419-AC419</f>
        <v>2916.67</v>
      </c>
      <c r="AI419" s="458">
        <f>IF(AC419=0,0,AH419/AC419)</f>
        <v>0</v>
      </c>
      <c r="AJ419" s="462"/>
      <c r="AK419" s="455"/>
      <c r="AL419" s="87">
        <f>SUMIFS(BV_Data_An_Prec!$O:$O,BV_Data_An_Prec!$V:$V,$V419)</f>
        <v>7202.5999999999995</v>
      </c>
      <c r="AM419" s="459"/>
      <c r="AN419" s="457">
        <f t="shared" si="247"/>
        <v>-4285.9299999999994</v>
      </c>
      <c r="AO419" s="214">
        <f t="shared" ref="AO419:AO423" si="249">IF(AL419=0,0,AN419/AL419)</f>
        <v>-0.59505317524227364</v>
      </c>
      <c r="AP419" s="79" t="s">
        <v>2875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50">+SUMIF($C:$C,$V420,F:F)</f>
        <v>55660.690680415813</v>
      </c>
      <c r="AA420" s="455"/>
      <c r="AB420" s="455"/>
      <c r="AC420" s="87">
        <f t="shared" ref="AC420:AC431" si="251">+SUMIF($C:$C,$V420,I:I)</f>
        <v>55660.690680415813</v>
      </c>
      <c r="AD420" s="462"/>
      <c r="AE420" s="461"/>
      <c r="AF420" s="87">
        <f t="shared" ref="AF420:AF431" si="252">+SUMIF($C:$C,$V420,L:L)</f>
        <v>35572.54</v>
      </c>
      <c r="AG420" s="456"/>
      <c r="AH420" s="457">
        <f t="shared" si="248"/>
        <v>-20088.150680415813</v>
      </c>
      <c r="AI420" s="458">
        <f t="shared" ref="AI420:AI430" si="253">IF(AC420=0,0,AH420/AC420)</f>
        <v>-0.36090372639741281</v>
      </c>
      <c r="AJ420" s="462"/>
      <c r="AK420" s="455"/>
      <c r="AL420" s="87">
        <f t="shared" ref="AL420:AL431" si="254">+SUMIF($C:$C,$V420,Q:Q)</f>
        <v>66409.740000000005</v>
      </c>
      <c r="AM420" s="459"/>
      <c r="AN420" s="457">
        <f t="shared" si="247"/>
        <v>-30837.200000000004</v>
      </c>
      <c r="AO420" s="214">
        <f t="shared" si="249"/>
        <v>-0.46434754901916497</v>
      </c>
      <c r="AP420" s="79"/>
      <c r="AQ420" s="79" t="s">
        <v>2889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50"/>
        <v>27636.906156015328</v>
      </c>
      <c r="AA421" s="445"/>
      <c r="AB421" s="445"/>
      <c r="AC421" s="446">
        <f t="shared" si="251"/>
        <v>27636.906156015328</v>
      </c>
      <c r="AD421" s="465"/>
      <c r="AE421" s="464"/>
      <c r="AF421" s="446">
        <f t="shared" si="252"/>
        <v>23701.83</v>
      </c>
      <c r="AG421" s="447"/>
      <c r="AH421" s="448">
        <f t="shared" si="248"/>
        <v>-3935.076156015326</v>
      </c>
      <c r="AI421" s="466">
        <f t="shared" si="253"/>
        <v>-0.14238482896027183</v>
      </c>
      <c r="AJ421" s="465"/>
      <c r="AK421" s="445"/>
      <c r="AL421" s="446">
        <f t="shared" si="254"/>
        <v>23792.899999999998</v>
      </c>
      <c r="AM421" s="450"/>
      <c r="AN421" s="448">
        <f t="shared" si="247"/>
        <v>-91.069999999996071</v>
      </c>
      <c r="AO421" s="451">
        <f t="shared" si="249"/>
        <v>-3.8276124390047486E-3</v>
      </c>
      <c r="AP421" s="79"/>
      <c r="AQ421" s="79" t="s">
        <v>2879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50"/>
        <v>47825.042585011499</v>
      </c>
      <c r="AA422" s="455"/>
      <c r="AB422" s="455"/>
      <c r="AC422" s="87">
        <f t="shared" si="251"/>
        <v>47825.042585011499</v>
      </c>
      <c r="AD422" s="462"/>
      <c r="AE422" s="461"/>
      <c r="AF422" s="87">
        <f t="shared" si="252"/>
        <v>51866.240000000005</v>
      </c>
      <c r="AG422" s="456"/>
      <c r="AH422" s="457">
        <f t="shared" si="248"/>
        <v>4041.1974149885064</v>
      </c>
      <c r="AI422" s="458">
        <f t="shared" si="253"/>
        <v>8.449960933761988E-2</v>
      </c>
      <c r="AJ422" s="462"/>
      <c r="AK422" s="455"/>
      <c r="AL422" s="87">
        <f t="shared" si="254"/>
        <v>44420.84</v>
      </c>
      <c r="AM422" s="459"/>
      <c r="AN422" s="457">
        <f t="shared" si="247"/>
        <v>7445.4000000000087</v>
      </c>
      <c r="AO422" s="214">
        <f t="shared" si="249"/>
        <v>0.16761051794608137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50"/>
        <v>35446.628519540238</v>
      </c>
      <c r="AA423" s="455"/>
      <c r="AB423" s="455"/>
      <c r="AC423" s="87">
        <f t="shared" si="251"/>
        <v>35446.628519540238</v>
      </c>
      <c r="AD423" s="462"/>
      <c r="AE423" s="461"/>
      <c r="AF423" s="87">
        <f t="shared" si="252"/>
        <v>28208.93</v>
      </c>
      <c r="AG423" s="456"/>
      <c r="AH423" s="457">
        <f t="shared" si="248"/>
        <v>-7237.6985195402376</v>
      </c>
      <c r="AI423" s="458">
        <f t="shared" si="253"/>
        <v>-0.20418580897053151</v>
      </c>
      <c r="AJ423" s="462"/>
      <c r="AK423" s="455"/>
      <c r="AL423" s="87">
        <f t="shared" si="254"/>
        <v>22979.45</v>
      </c>
      <c r="AM423" s="459"/>
      <c r="AN423" s="457">
        <f t="shared" si="247"/>
        <v>5229.4799999999996</v>
      </c>
      <c r="AO423" s="214">
        <f t="shared" si="249"/>
        <v>0.22757202631046433</v>
      </c>
      <c r="AP423" s="79"/>
      <c r="AQ423" s="79" t="s">
        <v>2929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4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50"/>
        <v>0</v>
      </c>
      <c r="AA424" s="455"/>
      <c r="AB424" s="455"/>
      <c r="AC424" s="87">
        <f t="shared" si="251"/>
        <v>0</v>
      </c>
      <c r="AD424" s="462"/>
      <c r="AE424" s="461"/>
      <c r="AF424" s="87">
        <f t="shared" si="252"/>
        <v>0</v>
      </c>
      <c r="AG424" s="456"/>
      <c r="AH424" s="457">
        <f t="shared" ref="AH424:AH426" si="255">AF424-AC424</f>
        <v>0</v>
      </c>
      <c r="AI424" s="458">
        <f t="shared" ref="AI424:AI426" si="256">IF(AC424=0,0,AH424/AC424)</f>
        <v>0</v>
      </c>
      <c r="AJ424" s="462"/>
      <c r="AK424" s="455"/>
      <c r="AL424" s="87">
        <f t="shared" si="254"/>
        <v>0</v>
      </c>
      <c r="AM424" s="459"/>
      <c r="AN424" s="457">
        <f t="shared" ref="AN424:AN426" si="257">AF424-AL424</f>
        <v>0</v>
      </c>
      <c r="AO424" s="214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4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50"/>
        <v>0</v>
      </c>
      <c r="AA425" s="455"/>
      <c r="AB425" s="455"/>
      <c r="AC425" s="87">
        <f t="shared" si="251"/>
        <v>0</v>
      </c>
      <c r="AD425" s="462"/>
      <c r="AE425" s="461"/>
      <c r="AF425" s="87">
        <f t="shared" si="252"/>
        <v>0</v>
      </c>
      <c r="AG425" s="456"/>
      <c r="AH425" s="457">
        <f t="shared" si="255"/>
        <v>0</v>
      </c>
      <c r="AI425" s="458">
        <f t="shared" si="256"/>
        <v>0</v>
      </c>
      <c r="AJ425" s="462"/>
      <c r="AK425" s="455"/>
      <c r="AL425" s="87">
        <f t="shared" si="254"/>
        <v>0</v>
      </c>
      <c r="AM425" s="459"/>
      <c r="AN425" s="457">
        <f t="shared" si="257"/>
        <v>0</v>
      </c>
      <c r="AO425" s="214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4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50"/>
        <v>0</v>
      </c>
      <c r="AA426" s="455"/>
      <c r="AB426" s="455"/>
      <c r="AC426" s="87">
        <f t="shared" si="251"/>
        <v>0</v>
      </c>
      <c r="AD426" s="462"/>
      <c r="AE426" s="461"/>
      <c r="AF426" s="87">
        <f t="shared" si="252"/>
        <v>0</v>
      </c>
      <c r="AG426" s="456"/>
      <c r="AH426" s="457">
        <f t="shared" si="255"/>
        <v>0</v>
      </c>
      <c r="AI426" s="458">
        <f t="shared" si="256"/>
        <v>0</v>
      </c>
      <c r="AJ426" s="462"/>
      <c r="AK426" s="455"/>
      <c r="AL426" s="87">
        <f t="shared" si="254"/>
        <v>0</v>
      </c>
      <c r="AM426" s="459"/>
      <c r="AN426" s="457">
        <f t="shared" si="257"/>
        <v>0</v>
      </c>
      <c r="AO426" s="214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50"/>
        <v>37360.994528538766</v>
      </c>
      <c r="AA427" s="445"/>
      <c r="AB427" s="445"/>
      <c r="AC427" s="446">
        <f t="shared" si="251"/>
        <v>37417.692929290759</v>
      </c>
      <c r="AD427" s="465"/>
      <c r="AE427" s="464"/>
      <c r="AF427" s="1100">
        <f t="shared" si="252"/>
        <v>24559.629999999997</v>
      </c>
      <c r="AG427" s="447"/>
      <c r="AH427" s="448">
        <f t="shared" ref="AH427:AH430" si="259">AF427-AC427</f>
        <v>-12858.062929290762</v>
      </c>
      <c r="AI427" s="466">
        <f t="shared" si="253"/>
        <v>-0.34363590918309678</v>
      </c>
      <c r="AJ427" s="465"/>
      <c r="AK427" s="445"/>
      <c r="AL427" s="446">
        <f t="shared" si="254"/>
        <v>40098.769999999997</v>
      </c>
      <c r="AM427" s="450"/>
      <c r="AN427" s="448">
        <f t="shared" ref="AN427:AN430" si="260">AF427-AL427</f>
        <v>-15539.14</v>
      </c>
      <c r="AO427" s="215">
        <f t="shared" ref="AO427:AO430" si="261">IF(AL427=0,0,AN427/AL427)</f>
        <v>-0.38752161225892967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50"/>
        <v>37360.994528538766</v>
      </c>
      <c r="AA428" s="455"/>
      <c r="AB428" s="455"/>
      <c r="AC428" s="87">
        <f t="shared" si="251"/>
        <v>37417.692929290759</v>
      </c>
      <c r="AD428" s="462"/>
      <c r="AE428" s="461"/>
      <c r="AF428" s="87">
        <f t="shared" si="252"/>
        <v>20259.45</v>
      </c>
      <c r="AG428" s="456"/>
      <c r="AH428" s="457">
        <f t="shared" si="259"/>
        <v>-17158.242929290758</v>
      </c>
      <c r="AI428" s="458">
        <f t="shared" si="253"/>
        <v>-0.4585596167490914</v>
      </c>
      <c r="AJ428" s="462"/>
      <c r="AK428" s="455"/>
      <c r="AL428" s="87">
        <f t="shared" si="254"/>
        <v>31312.319999999996</v>
      </c>
      <c r="AM428" s="459"/>
      <c r="AN428" s="457">
        <f t="shared" si="260"/>
        <v>-11052.869999999995</v>
      </c>
      <c r="AO428" s="214">
        <f t="shared" si="261"/>
        <v>-0.35298789741545811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50"/>
        <v>26775.379412119448</v>
      </c>
      <c r="AA429" s="455"/>
      <c r="AB429" s="455"/>
      <c r="AC429" s="87">
        <f t="shared" si="251"/>
        <v>26816.013265991711</v>
      </c>
      <c r="AD429" s="462"/>
      <c r="AE429" s="461"/>
      <c r="AF429" s="87">
        <f t="shared" si="252"/>
        <v>30700.16</v>
      </c>
      <c r="AG429" s="456"/>
      <c r="AH429" s="457">
        <f t="shared" si="259"/>
        <v>3884.1467340082891</v>
      </c>
      <c r="AI429" s="458">
        <f t="shared" si="253"/>
        <v>0.14484430237563301</v>
      </c>
      <c r="AJ429" s="462"/>
      <c r="AK429" s="455"/>
      <c r="AL429" s="87">
        <f t="shared" si="254"/>
        <v>25042.830000000005</v>
      </c>
      <c r="AM429" s="459"/>
      <c r="AN429" s="457">
        <f t="shared" si="260"/>
        <v>5657.3299999999945</v>
      </c>
      <c r="AO429" s="214">
        <f t="shared" si="261"/>
        <v>0.22590617753664397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50"/>
        <v>6226.8324214231288</v>
      </c>
      <c r="AA430" s="455"/>
      <c r="AB430" s="455"/>
      <c r="AC430" s="87">
        <f t="shared" si="251"/>
        <v>6236.2821548817947</v>
      </c>
      <c r="AD430" s="462"/>
      <c r="AE430" s="461"/>
      <c r="AF430" s="87">
        <f t="shared" si="252"/>
        <v>21219.09</v>
      </c>
      <c r="AG430" s="456"/>
      <c r="AH430" s="457">
        <f t="shared" si="259"/>
        <v>14982.807845118205</v>
      </c>
      <c r="AI430" s="97">
        <f t="shared" si="253"/>
        <v>2.4025224441439974</v>
      </c>
      <c r="AJ430" s="462"/>
      <c r="AK430" s="455"/>
      <c r="AL430" s="87">
        <f t="shared" si="254"/>
        <v>11609.64</v>
      </c>
      <c r="AM430" s="459"/>
      <c r="AN430" s="457">
        <f t="shared" si="260"/>
        <v>9609.4500000000007</v>
      </c>
      <c r="AO430" s="214">
        <f t="shared" si="261"/>
        <v>0.82771300402079662</v>
      </c>
      <c r="AP430" s="79"/>
      <c r="AQ430" s="79" t="s">
        <v>2928</v>
      </c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50"/>
        <v>0</v>
      </c>
      <c r="AA431" s="455"/>
      <c r="AB431" s="461"/>
      <c r="AC431" s="87">
        <f t="shared" si="251"/>
        <v>0</v>
      </c>
      <c r="AD431" s="462"/>
      <c r="AE431" s="461"/>
      <c r="AF431" s="87">
        <f t="shared" si="252"/>
        <v>0</v>
      </c>
      <c r="AG431" s="456"/>
      <c r="AH431" s="457"/>
      <c r="AI431" s="458"/>
      <c r="AJ431" s="462"/>
      <c r="AK431" s="457"/>
      <c r="AL431" s="87">
        <f t="shared" si="25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0.61301703915545003</v>
      </c>
      <c r="Y432" s="88"/>
      <c r="Z432" s="90">
        <f>SUM(Z419:Z431)</f>
        <v>274293.46883160301</v>
      </c>
      <c r="AA432" s="89">
        <f>AC432/AC406</f>
        <v>0.58014112544451613</v>
      </c>
      <c r="AB432" s="88"/>
      <c r="AC432" s="90">
        <f>SUM(AC419:AC431)</f>
        <v>274456.94922043791</v>
      </c>
      <c r="AD432" s="91">
        <f>AF432/AF406</f>
        <v>0.41913808468126057</v>
      </c>
      <c r="AE432" s="98"/>
      <c r="AF432" s="90">
        <f>SUM(AF419:AF431)</f>
        <v>239004.54</v>
      </c>
      <c r="AG432" s="99"/>
      <c r="AH432" s="93">
        <f t="shared" ref="AH432:AH446" si="262">AF432-AC432</f>
        <v>-35452.409220437898</v>
      </c>
      <c r="AI432" s="89">
        <f>AH432/AC432</f>
        <v>-0.12917293339132502</v>
      </c>
      <c r="AJ432" s="91">
        <f>IF($AL$406=0,0,AL432/$AL$406)</f>
        <v>0.61345610230000824</v>
      </c>
      <c r="AK432" s="88"/>
      <c r="AL432" s="90">
        <f>SUM(AL419:AL431)</f>
        <v>272869.09000000003</v>
      </c>
      <c r="AM432" s="100"/>
      <c r="AN432" s="93">
        <f t="shared" ref="AN432:AN446" si="263">AF432-AL432</f>
        <v>-33864.550000000017</v>
      </c>
      <c r="AO432" s="453">
        <f>IF(AL432=0,0,AN432/AL432)</f>
        <v>-0.12410548222959226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64">+SUMIF($C:$C,$V433,F:F)</f>
        <v>10881.833333333332</v>
      </c>
      <c r="AA433" s="469"/>
      <c r="AB433" s="469"/>
      <c r="AC433" s="470">
        <f t="shared" ref="AC433:AC450" si="265">+SUMIF($C:$C,$V433,I:I)</f>
        <v>10881.833333333332</v>
      </c>
      <c r="AD433" s="471"/>
      <c r="AE433" s="472"/>
      <c r="AF433" s="1098">
        <f t="shared" ref="AF433:AF450" si="266">+SUMIF($C:$C,$V433,L:L)</f>
        <v>15548.16</v>
      </c>
      <c r="AG433" s="471"/>
      <c r="AH433" s="1097">
        <f t="shared" si="262"/>
        <v>4666.3266666666677</v>
      </c>
      <c r="AI433" s="474">
        <f>IF(AC433=0,0,AH433/AC433)</f>
        <v>0.42881806068217687</v>
      </c>
      <c r="AJ433" s="471"/>
      <c r="AK433" s="469"/>
      <c r="AL433" s="470">
        <f t="shared" ref="AL433:AL450" si="267">+SUMIF($C:$C,$V433,Q:Q)</f>
        <v>21376.309999999998</v>
      </c>
      <c r="AM433" s="475"/>
      <c r="AN433" s="473">
        <f t="shared" si="263"/>
        <v>-5828.1499999999978</v>
      </c>
      <c r="AO433" s="213">
        <f t="shared" ref="AO433:AO446" si="268">IF(AL433=0,0,AN433/AL433)</f>
        <v>-0.27264527881566081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64"/>
        <v>5093.9266179776569</v>
      </c>
      <c r="AA434" s="455"/>
      <c r="AB434" s="455"/>
      <c r="AC434" s="87">
        <f t="shared" si="265"/>
        <v>5093.9266179776569</v>
      </c>
      <c r="AD434" s="462"/>
      <c r="AE434" s="461"/>
      <c r="AF434" s="87">
        <f t="shared" si="266"/>
        <v>5766.95</v>
      </c>
      <c r="AG434" s="456"/>
      <c r="AH434" s="457">
        <f t="shared" si="262"/>
        <v>673.02338202234296</v>
      </c>
      <c r="AI434" s="458">
        <f t="shared" ref="AI434:AI446" si="269">IF(AC434=0,0,AH434/AC434)</f>
        <v>0.13212270856966926</v>
      </c>
      <c r="AJ434" s="462"/>
      <c r="AK434" s="455"/>
      <c r="AL434" s="87">
        <f t="shared" si="267"/>
        <v>4673.21</v>
      </c>
      <c r="AM434" s="459"/>
      <c r="AN434" s="457">
        <f t="shared" si="263"/>
        <v>1093.7399999999998</v>
      </c>
      <c r="AO434" s="214">
        <f t="shared" si="268"/>
        <v>0.23404469304824729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64"/>
        <v>26652.437500000004</v>
      </c>
      <c r="AA435" s="445"/>
      <c r="AB435" s="445"/>
      <c r="AC435" s="446">
        <f t="shared" si="265"/>
        <v>26652.437500000004</v>
      </c>
      <c r="AD435" s="465"/>
      <c r="AE435" s="464"/>
      <c r="AF435" s="446">
        <f t="shared" si="266"/>
        <v>23981.399999999998</v>
      </c>
      <c r="AG435" s="447"/>
      <c r="AH435" s="448">
        <f t="shared" si="262"/>
        <v>-2671.0375000000058</v>
      </c>
      <c r="AI435" s="466">
        <f t="shared" si="269"/>
        <v>-0.10021738161847318</v>
      </c>
      <c r="AJ435" s="465"/>
      <c r="AK435" s="445"/>
      <c r="AL435" s="446">
        <f t="shared" si="267"/>
        <v>20406.879999999997</v>
      </c>
      <c r="AM435" s="450"/>
      <c r="AN435" s="448">
        <f t="shared" si="263"/>
        <v>3574.5200000000004</v>
      </c>
      <c r="AO435" s="451">
        <f t="shared" si="268"/>
        <v>0.17516249421763644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64"/>
        <v>19483.113333333335</v>
      </c>
      <c r="AA436" s="455"/>
      <c r="AB436" s="455"/>
      <c r="AC436" s="87">
        <f t="shared" si="265"/>
        <v>19483.113333333335</v>
      </c>
      <c r="AD436" s="462"/>
      <c r="AE436" s="461"/>
      <c r="AF436" s="87">
        <f t="shared" si="266"/>
        <v>16655.149999999998</v>
      </c>
      <c r="AG436" s="456"/>
      <c r="AH436" s="457">
        <f t="shared" si="262"/>
        <v>-2827.9633333333368</v>
      </c>
      <c r="AI436" s="458">
        <f t="shared" si="269"/>
        <v>-0.14514945763288362</v>
      </c>
      <c r="AJ436" s="462"/>
      <c r="AK436" s="455"/>
      <c r="AL436" s="87">
        <f t="shared" si="267"/>
        <v>19492.98</v>
      </c>
      <c r="AM436" s="459"/>
      <c r="AN436" s="457">
        <f t="shared" si="263"/>
        <v>-2837.8300000000017</v>
      </c>
      <c r="AO436" s="214">
        <f t="shared" si="268"/>
        <v>-0.14558215316488304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64"/>
        <v>4989.0524999999998</v>
      </c>
      <c r="AA437" s="455"/>
      <c r="AB437" s="455"/>
      <c r="AC437" s="87">
        <f t="shared" si="265"/>
        <v>4989.0524999999998</v>
      </c>
      <c r="AD437" s="462"/>
      <c r="AE437" s="461"/>
      <c r="AF437" s="87">
        <f t="shared" si="266"/>
        <v>1835.6</v>
      </c>
      <c r="AG437" s="456"/>
      <c r="AH437" s="457">
        <f t="shared" si="262"/>
        <v>-3153.4524999999999</v>
      </c>
      <c r="AI437" s="458">
        <f t="shared" si="269"/>
        <v>-0.63207442695782412</v>
      </c>
      <c r="AJ437" s="462"/>
      <c r="AK437" s="455"/>
      <c r="AL437" s="87">
        <f t="shared" si="267"/>
        <v>6077.0000000000009</v>
      </c>
      <c r="AM437" s="459"/>
      <c r="AN437" s="457">
        <f t="shared" si="263"/>
        <v>-4241.4000000000015</v>
      </c>
      <c r="AO437" s="214">
        <f t="shared" si="268"/>
        <v>-0.69794306401184814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64"/>
        <v>24453.016333333333</v>
      </c>
      <c r="AA438" s="455"/>
      <c r="AB438" s="455"/>
      <c r="AC438" s="87">
        <f t="shared" si="265"/>
        <v>24453.016333333333</v>
      </c>
      <c r="AD438" s="462"/>
      <c r="AE438" s="461"/>
      <c r="AF438" s="87">
        <f t="shared" si="266"/>
        <v>14501.26</v>
      </c>
      <c r="AG438" s="456"/>
      <c r="AH438" s="457">
        <f t="shared" si="262"/>
        <v>-9951.7563333333328</v>
      </c>
      <c r="AI438" s="458">
        <f t="shared" si="269"/>
        <v>-0.40697459150540516</v>
      </c>
      <c r="AJ438" s="462"/>
      <c r="AK438" s="455"/>
      <c r="AL438" s="87">
        <f t="shared" si="267"/>
        <v>32634.19</v>
      </c>
      <c r="AM438" s="459"/>
      <c r="AN438" s="457">
        <f t="shared" si="263"/>
        <v>-18132.93</v>
      </c>
      <c r="AO438" s="214">
        <f t="shared" si="268"/>
        <v>-0.55564210418582483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64"/>
        <v>0</v>
      </c>
      <c r="AA439" s="691"/>
      <c r="AB439" s="691"/>
      <c r="AC439" s="692">
        <f t="shared" si="265"/>
        <v>0</v>
      </c>
      <c r="AD439" s="693"/>
      <c r="AE439" s="694"/>
      <c r="AF439" s="692">
        <f t="shared" si="266"/>
        <v>0</v>
      </c>
      <c r="AG439" s="695"/>
      <c r="AH439" s="696">
        <f t="shared" ref="AH439" si="270">AF439-AC439</f>
        <v>0</v>
      </c>
      <c r="AI439" s="697">
        <f t="shared" ref="AI439" si="271">IF(AC439=0,0,AH439/AC439)</f>
        <v>0</v>
      </c>
      <c r="AJ439" s="693"/>
      <c r="AK439" s="691"/>
      <c r="AL439" s="692">
        <f t="shared" si="267"/>
        <v>0</v>
      </c>
      <c r="AM439" s="698"/>
      <c r="AN439" s="696">
        <f t="shared" ref="AN439" si="272">AF439-AL439</f>
        <v>0</v>
      </c>
      <c r="AO439" s="699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64"/>
        <v>1055.9918945244963</v>
      </c>
      <c r="AA440" s="455"/>
      <c r="AB440" s="461"/>
      <c r="AC440" s="87">
        <f t="shared" si="265"/>
        <v>1055.9918945244963</v>
      </c>
      <c r="AD440" s="462"/>
      <c r="AE440" s="461"/>
      <c r="AF440" s="87">
        <f t="shared" si="266"/>
        <v>726.3</v>
      </c>
      <c r="AG440" s="456"/>
      <c r="AH440" s="457">
        <f t="shared" si="262"/>
        <v>-329.69189452449632</v>
      </c>
      <c r="AI440" s="458">
        <f t="shared" si="269"/>
        <v>-0.31221062986752718</v>
      </c>
      <c r="AJ440" s="462"/>
      <c r="AK440" s="455"/>
      <c r="AL440" s="87">
        <f t="shared" si="267"/>
        <v>867</v>
      </c>
      <c r="AM440" s="459"/>
      <c r="AN440" s="457">
        <f t="shared" si="263"/>
        <v>-140.70000000000005</v>
      </c>
      <c r="AO440" s="214">
        <f t="shared" si="268"/>
        <v>-0.1622837370242215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64"/>
        <v>1515</v>
      </c>
      <c r="AA441" s="455"/>
      <c r="AB441" s="455"/>
      <c r="AC441" s="87">
        <f t="shared" si="265"/>
        <v>1515</v>
      </c>
      <c r="AD441" s="462"/>
      <c r="AE441" s="461"/>
      <c r="AF441" s="87">
        <f t="shared" si="266"/>
        <v>844.55</v>
      </c>
      <c r="AG441" s="456"/>
      <c r="AH441" s="457">
        <f t="shared" si="262"/>
        <v>-670.45</v>
      </c>
      <c r="AI441" s="97">
        <f t="shared" si="269"/>
        <v>-0.44254125412541256</v>
      </c>
      <c r="AJ441" s="462"/>
      <c r="AK441" s="455"/>
      <c r="AL441" s="87">
        <f t="shared" si="267"/>
        <v>1515</v>
      </c>
      <c r="AM441" s="459"/>
      <c r="AN441" s="457">
        <f t="shared" si="263"/>
        <v>-670.45</v>
      </c>
      <c r="AO441" s="214">
        <f t="shared" si="268"/>
        <v>-0.44254125412541256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64"/>
        <v>2180</v>
      </c>
      <c r="AA442" s="455"/>
      <c r="AB442" s="455"/>
      <c r="AC442" s="87">
        <f t="shared" si="265"/>
        <v>2180</v>
      </c>
      <c r="AD442" s="462"/>
      <c r="AE442" s="461"/>
      <c r="AF442" s="87">
        <f t="shared" si="266"/>
        <v>1320.73</v>
      </c>
      <c r="AG442" s="456"/>
      <c r="AH442" s="457">
        <f t="shared" si="262"/>
        <v>-859.27</v>
      </c>
      <c r="AI442" s="458">
        <f t="shared" si="269"/>
        <v>-0.39416055045871556</v>
      </c>
      <c r="AJ442" s="462"/>
      <c r="AK442" s="455"/>
      <c r="AL442" s="87">
        <f t="shared" si="267"/>
        <v>1850</v>
      </c>
      <c r="AM442" s="459"/>
      <c r="AN442" s="457">
        <f t="shared" si="263"/>
        <v>-529.27</v>
      </c>
      <c r="AO442" s="214">
        <f t="shared" si="268"/>
        <v>-0.28609189189189188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64"/>
        <v>1949.1</v>
      </c>
      <c r="AA443" s="455"/>
      <c r="AB443" s="455"/>
      <c r="AC443" s="87">
        <f t="shared" si="265"/>
        <v>1949.1</v>
      </c>
      <c r="AD443" s="462"/>
      <c r="AE443" s="461"/>
      <c r="AF443" s="87">
        <f t="shared" si="266"/>
        <v>850.31999999999994</v>
      </c>
      <c r="AG443" s="456"/>
      <c r="AH443" s="457">
        <f t="shared" si="262"/>
        <v>-1098.78</v>
      </c>
      <c r="AI443" s="97">
        <f t="shared" si="269"/>
        <v>-0.5637371094351239</v>
      </c>
      <c r="AJ443" s="462"/>
      <c r="AK443" s="455"/>
      <c r="AL443" s="87">
        <f t="shared" si="267"/>
        <v>1960.29</v>
      </c>
      <c r="AM443" s="459"/>
      <c r="AN443" s="457">
        <f t="shared" si="263"/>
        <v>-1109.97</v>
      </c>
      <c r="AO443" s="214">
        <f t="shared" si="268"/>
        <v>-0.56622744593912133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64"/>
        <v>865</v>
      </c>
      <c r="AA444" s="455"/>
      <c r="AB444" s="455"/>
      <c r="AC444" s="87">
        <f t="shared" si="265"/>
        <v>865</v>
      </c>
      <c r="AD444" s="462"/>
      <c r="AE444" s="461"/>
      <c r="AF444" s="87">
        <f t="shared" si="266"/>
        <v>393.99</v>
      </c>
      <c r="AG444" s="456"/>
      <c r="AH444" s="457">
        <f t="shared" si="262"/>
        <v>-471.01</v>
      </c>
      <c r="AI444" s="458">
        <f t="shared" si="269"/>
        <v>-0.54452023121387283</v>
      </c>
      <c r="AJ444" s="462"/>
      <c r="AK444" s="455"/>
      <c r="AL444" s="87">
        <f t="shared" si="267"/>
        <v>307</v>
      </c>
      <c r="AM444" s="459"/>
      <c r="AN444" s="457">
        <f t="shared" si="263"/>
        <v>86.990000000000009</v>
      </c>
      <c r="AO444" s="214">
        <f t="shared" si="268"/>
        <v>0.2833550488599349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64"/>
        <v>3891</v>
      </c>
      <c r="AA445" s="455"/>
      <c r="AB445" s="461"/>
      <c r="AC445" s="87">
        <f t="shared" si="265"/>
        <v>3891</v>
      </c>
      <c r="AD445" s="462"/>
      <c r="AE445" s="461"/>
      <c r="AF445" s="87">
        <f t="shared" si="266"/>
        <v>7490.0599999999995</v>
      </c>
      <c r="AG445" s="456"/>
      <c r="AH445" s="457">
        <f t="shared" si="262"/>
        <v>3599.0599999999995</v>
      </c>
      <c r="AI445" s="97">
        <f t="shared" si="269"/>
        <v>0.92497044461577982</v>
      </c>
      <c r="AJ445" s="462"/>
      <c r="AK445" s="455"/>
      <c r="AL445" s="87">
        <f t="shared" si="267"/>
        <v>4793.9799999999996</v>
      </c>
      <c r="AM445" s="459"/>
      <c r="AN445" s="457">
        <f t="shared" si="263"/>
        <v>2696.08</v>
      </c>
      <c r="AO445" s="214">
        <f t="shared" si="268"/>
        <v>0.56238866244748631</v>
      </c>
      <c r="AP445" s="79"/>
      <c r="AQ445" s="79" t="s">
        <v>2948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64"/>
        <v>3188.5833333333335</v>
      </c>
      <c r="AA446" s="455"/>
      <c r="AB446" s="461"/>
      <c r="AC446" s="87">
        <f t="shared" si="265"/>
        <v>3188.5833333333335</v>
      </c>
      <c r="AD446" s="462"/>
      <c r="AE446" s="461"/>
      <c r="AF446" s="87">
        <f t="shared" si="266"/>
        <v>2127.3799999999997</v>
      </c>
      <c r="AG446" s="456"/>
      <c r="AH446" s="457">
        <f t="shared" si="262"/>
        <v>-1061.2033333333338</v>
      </c>
      <c r="AI446" s="458">
        <f t="shared" si="269"/>
        <v>-0.33281342288895294</v>
      </c>
      <c r="AJ446" s="462"/>
      <c r="AK446" s="455"/>
      <c r="AL446" s="87">
        <f t="shared" si="267"/>
        <v>7762.5</v>
      </c>
      <c r="AM446" s="459"/>
      <c r="AN446" s="457">
        <f t="shared" si="263"/>
        <v>-5635.1200000000008</v>
      </c>
      <c r="AO446" s="214">
        <f t="shared" si="268"/>
        <v>-0.7259413848631241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4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64"/>
        <v>6510.3567420586751</v>
      </c>
      <c r="AA447" s="455"/>
      <c r="AB447" s="461"/>
      <c r="AC447" s="87">
        <f t="shared" si="265"/>
        <v>6510.3567420586751</v>
      </c>
      <c r="AD447" s="462"/>
      <c r="AE447" s="461"/>
      <c r="AF447" s="1035">
        <f>SUMIFS(BV_Data_An_Cour!$O:$O,BV_Data_An_Cour!$V:$V,$V447)</f>
        <v>6675.78</v>
      </c>
      <c r="AG447" s="456"/>
      <c r="AH447" s="457">
        <f t="shared" ref="AH447:AH450" si="274">AF447-AC447</f>
        <v>165.42325794132466</v>
      </c>
      <c r="AI447" s="458">
        <f t="shared" ref="AI447:AI450" si="275">IF(AC447=0,0,AH447/AC447)</f>
        <v>2.5409246297156872E-2</v>
      </c>
      <c r="AJ447" s="462"/>
      <c r="AK447" s="455"/>
      <c r="AL447" s="87">
        <f t="shared" si="267"/>
        <v>5960.74</v>
      </c>
      <c r="AM447" s="459"/>
      <c r="AN447" s="457">
        <f t="shared" ref="AN447:AN450" si="276">AF447-AL447</f>
        <v>715.04</v>
      </c>
      <c r="AO447" s="214">
        <f t="shared" ref="AO447:AO450" si="277">IF(AL447=0,0,AN447/AL447)</f>
        <v>0.11995826021601344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4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64"/>
        <v>0</v>
      </c>
      <c r="AA448" s="455"/>
      <c r="AB448" s="461"/>
      <c r="AC448" s="87">
        <f t="shared" si="265"/>
        <v>0</v>
      </c>
      <c r="AD448" s="462"/>
      <c r="AE448" s="461"/>
      <c r="AF448" s="87">
        <f t="shared" si="266"/>
        <v>0</v>
      </c>
      <c r="AG448" s="456"/>
      <c r="AH448" s="457">
        <f t="shared" si="274"/>
        <v>0</v>
      </c>
      <c r="AI448" s="458">
        <f t="shared" si="275"/>
        <v>0</v>
      </c>
      <c r="AJ448" s="462"/>
      <c r="AK448" s="455"/>
      <c r="AL448" s="87">
        <f t="shared" si="267"/>
        <v>0</v>
      </c>
      <c r="AM448" s="459"/>
      <c r="AN448" s="457">
        <f t="shared" si="276"/>
        <v>0</v>
      </c>
      <c r="AO448" s="214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4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64"/>
        <v>0</v>
      </c>
      <c r="AA449" s="455"/>
      <c r="AB449" s="461"/>
      <c r="AC449" s="87">
        <f t="shared" si="265"/>
        <v>0</v>
      </c>
      <c r="AD449" s="462"/>
      <c r="AE449" s="461"/>
      <c r="AF449" s="87">
        <f t="shared" si="266"/>
        <v>0</v>
      </c>
      <c r="AG449" s="456"/>
      <c r="AH449" s="457">
        <f t="shared" si="274"/>
        <v>0</v>
      </c>
      <c r="AI449" s="458">
        <f t="shared" si="275"/>
        <v>0</v>
      </c>
      <c r="AJ449" s="462"/>
      <c r="AK449" s="455"/>
      <c r="AL449" s="87">
        <f t="shared" si="267"/>
        <v>0</v>
      </c>
      <c r="AM449" s="459"/>
      <c r="AN449" s="457">
        <f t="shared" si="276"/>
        <v>0</v>
      </c>
      <c r="AO449" s="214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64"/>
        <v>0</v>
      </c>
      <c r="AA450" s="455"/>
      <c r="AB450" s="461"/>
      <c r="AC450" s="87">
        <f t="shared" si="265"/>
        <v>0</v>
      </c>
      <c r="AD450" s="462"/>
      <c r="AE450" s="461"/>
      <c r="AF450" s="87">
        <f t="shared" si="266"/>
        <v>0</v>
      </c>
      <c r="AG450" s="456"/>
      <c r="AH450" s="457">
        <f t="shared" si="274"/>
        <v>0</v>
      </c>
      <c r="AI450" s="458">
        <f t="shared" si="275"/>
        <v>0</v>
      </c>
      <c r="AJ450" s="462"/>
      <c r="AK450" s="455"/>
      <c r="AL450" s="87">
        <f t="shared" si="267"/>
        <v>0</v>
      </c>
      <c r="AM450" s="459"/>
      <c r="AN450" s="457">
        <f t="shared" si="276"/>
        <v>0</v>
      </c>
      <c r="AO450" s="214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0.25189143968259214</v>
      </c>
      <c r="Y451" s="88"/>
      <c r="Z451" s="90">
        <f>+SUM(Z433:Z450)</f>
        <v>112708.41158789417</v>
      </c>
      <c r="AA451" s="89">
        <f>AC451/+AC406</f>
        <v>0.23824058720825977</v>
      </c>
      <c r="AB451" s="88"/>
      <c r="AC451" s="90">
        <f>+SUM(AC433:AC450)</f>
        <v>112708.41158789417</v>
      </c>
      <c r="AD451" s="91">
        <f>AF451/AF406</f>
        <v>0.17311938242877459</v>
      </c>
      <c r="AE451" s="88"/>
      <c r="AF451" s="90">
        <f>+SUM(AF433:AF450)</f>
        <v>98717.63</v>
      </c>
      <c r="AG451" s="99"/>
      <c r="AH451" s="555">
        <f>+SUM(AH433:AH450)</f>
        <v>-13990.781587894169</v>
      </c>
      <c r="AI451" s="89">
        <f>AH451/AC451</f>
        <v>-0.12413254158039165</v>
      </c>
      <c r="AJ451" s="91">
        <f>IF($AL$406=0,0,AL451/$AL$406)</f>
        <v>0.29153612105514165</v>
      </c>
      <c r="AK451" s="89"/>
      <c r="AL451" s="90">
        <f>+SUM(AL433:AL450)</f>
        <v>129677.07999999999</v>
      </c>
      <c r="AM451" s="100"/>
      <c r="AN451" s="93">
        <f>+SUM(AN433:AN450)</f>
        <v>-30959.450000000004</v>
      </c>
      <c r="AO451" s="637">
        <f>IF(AL451=0,0,AN451/AL451)</f>
        <v>-0.23874265213251261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78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26000.14</v>
      </c>
      <c r="AM452" s="459"/>
      <c r="AN452" s="457">
        <f t="shared" ref="AN452:AN460" si="279">AF452-AL452</f>
        <v>-0.13999999999941792</v>
      </c>
      <c r="AO452" s="214">
        <f t="shared" ref="AO452:AO460" si="280">IF(AL452=0,0,AN452/AL452)</f>
        <v>-5.3845863906662779E-6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78"/>
        <v>0</v>
      </c>
      <c r="AI453" s="458">
        <f t="shared" ref="AI453:AI460" si="281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79"/>
        <v>110</v>
      </c>
      <c r="AO453" s="214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78"/>
        <v>0</v>
      </c>
      <c r="AI454" s="466">
        <f t="shared" si="281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79"/>
        <v>50</v>
      </c>
      <c r="AO454" s="451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78"/>
        <v>0</v>
      </c>
      <c r="AI455" s="458">
        <f t="shared" si="281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79"/>
        <v>0</v>
      </c>
      <c r="AO455" s="214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78"/>
        <v>2.6666666666187666E-2</v>
      </c>
      <c r="AI456" s="466">
        <f t="shared" si="281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79"/>
        <v>2208.11</v>
      </c>
      <c r="AO456" s="451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1144">
        <f>SUMIFS(BV_Data_An_Cour!$O:$O,BV_Data_An_Cour!$V:$V,$V457)</f>
        <v>6944.88</v>
      </c>
      <c r="AG457" s="456"/>
      <c r="AH457" s="457">
        <f t="shared" si="278"/>
        <v>3134.88</v>
      </c>
      <c r="AI457" s="458">
        <f t="shared" si="281"/>
        <v>0.82280314960629919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79"/>
        <v>3274.8799999999997</v>
      </c>
      <c r="AO457" s="214">
        <f t="shared" si="280"/>
        <v>0.89233787465940029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6217.0899999999992</v>
      </c>
      <c r="AG458" s="456"/>
      <c r="AH458" s="457">
        <f t="shared" si="278"/>
        <v>-7.6666666668643302E-2</v>
      </c>
      <c r="AI458" s="458">
        <f t="shared" si="281"/>
        <v>-1.2331447873143172E-5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79"/>
        <v>-1807.9100000000008</v>
      </c>
      <c r="AO458" s="214">
        <f t="shared" si="280"/>
        <v>-0.22528473520249231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756.45</v>
      </c>
      <c r="AG459" s="447"/>
      <c r="AH459" s="448">
        <f t="shared" si="278"/>
        <v>-243.54999999999995</v>
      </c>
      <c r="AI459" s="466">
        <f t="shared" si="281"/>
        <v>-0.24354999999999996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79"/>
        <v>-127.54999999999995</v>
      </c>
      <c r="AO459" s="451">
        <f t="shared" si="280"/>
        <v>-0.14428733031674204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78"/>
        <v>-900</v>
      </c>
      <c r="AI460" s="478">
        <f t="shared" si="281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79"/>
        <v>-900</v>
      </c>
      <c r="AO460" s="214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4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4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4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0.11095190961989719</v>
      </c>
      <c r="Y465" s="88"/>
      <c r="Z465" s="90">
        <f>SUM(Z452:Z464)</f>
        <v>49645.25</v>
      </c>
      <c r="AA465" s="89">
        <f>AC465/+AC406</f>
        <v>0.10493904887371541</v>
      </c>
      <c r="AB465" s="88"/>
      <c r="AC465" s="90">
        <f>SUM(AC452:AC464)</f>
        <v>49645.25</v>
      </c>
      <c r="AD465" s="91">
        <f>AF465/AF406</f>
        <v>9.0554080201934437E-2</v>
      </c>
      <c r="AE465" s="88"/>
      <c r="AF465" s="90">
        <f>SUM(AF452:AF464)</f>
        <v>51636.529999999992</v>
      </c>
      <c r="AG465" s="99"/>
      <c r="AH465" s="557">
        <f>SUM(AH452:AH464)</f>
        <v>1991.2799999999979</v>
      </c>
      <c r="AI465" s="89">
        <f>IF(AC465=0,0,AH465/AC465)</f>
        <v>4.0110181739441295E-2</v>
      </c>
      <c r="AJ465" s="91">
        <f>IF($AL$406=0,0,AL465/$AL$406)</f>
        <v>0.10977620771580035</v>
      </c>
      <c r="AK465" s="89"/>
      <c r="AL465" s="90">
        <f>SUM(AL452:AL464)</f>
        <v>48829.14</v>
      </c>
      <c r="AM465" s="100"/>
      <c r="AN465" s="93">
        <f>SUM(AN452:AN464)</f>
        <v>2807.3899999999994</v>
      </c>
      <c r="AO465" s="637">
        <f>IF(AL465=0,0,AN465/AL465)</f>
        <v>5.7494152057562337E-2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82">AF466-AC466</f>
        <v>0</v>
      </c>
      <c r="AI466" s="458"/>
      <c r="AJ466" s="462"/>
      <c r="AK466" s="455"/>
      <c r="AL466" s="105"/>
      <c r="AM466" s="479"/>
      <c r="AN466" s="457">
        <f t="shared" ref="AN466:AN472" si="283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1.2302480603151154</v>
      </c>
      <c r="Y467" s="88"/>
      <c r="Z467" s="90">
        <f>Z418+Z432+Z451+Z465</f>
        <v>550472.47700012662</v>
      </c>
      <c r="AA467" s="89">
        <f>AC467/+AC406</f>
        <v>1.1651807355744817</v>
      </c>
      <c r="AB467" s="88"/>
      <c r="AC467" s="90">
        <f>AC418+AC432+AC451+AC465</f>
        <v>551231.30553995259</v>
      </c>
      <c r="AD467" s="91">
        <f>AF467/AF406</f>
        <v>0.92899083427307361</v>
      </c>
      <c r="AE467" s="88"/>
      <c r="AF467" s="90">
        <f>AF418+AF432+AF451+AF465</f>
        <v>529737.18000000005</v>
      </c>
      <c r="AG467" s="99"/>
      <c r="AH467" s="93">
        <f t="shared" si="282"/>
        <v>-21494.12553995254</v>
      </c>
      <c r="AI467" s="89">
        <f>AH467/AC467</f>
        <v>-3.8992933318433731E-2</v>
      </c>
      <c r="AJ467" s="91">
        <f>IF($AL$406=0,0,AL467/$AL$406)</f>
        <v>1.2825951264800208</v>
      </c>
      <c r="AK467" s="89"/>
      <c r="AL467" s="90">
        <f>AL418+AL432+AL451+AL465</f>
        <v>570506.29</v>
      </c>
      <c r="AM467" s="100"/>
      <c r="AN467" s="93">
        <f t="shared" si="283"/>
        <v>-40769.109999999986</v>
      </c>
      <c r="AO467" s="453">
        <f>IF(AL467=0,0,AN467/AL467)</f>
        <v>-7.1461280470720104E-2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72972.09</v>
      </c>
      <c r="AG468" s="251"/>
      <c r="AH468" s="482">
        <f t="shared" si="282"/>
        <v>72972.09</v>
      </c>
      <c r="AI468" s="483" t="e">
        <f t="shared" ref="AI468:AI472" si="284">IF(AH468=0,0,AH468/AC468)</f>
        <v>#DIV/0!</v>
      </c>
      <c r="AJ468" s="252"/>
      <c r="AK468" s="249"/>
      <c r="AL468" s="484">
        <f>-SUMIFS(BV_Data_An_Prec!$O:$O,BV_Data_An_Prec!$V:$V,$V468)</f>
        <v>37185.800000000003</v>
      </c>
      <c r="AM468" s="253"/>
      <c r="AN468" s="482">
        <f t="shared" si="283"/>
        <v>35786.289999999994</v>
      </c>
      <c r="AO468" s="261">
        <f>IF(AL468=0,0,AN468/AL468)</f>
        <v>0.96236439716235744</v>
      </c>
      <c r="AP468" s="79"/>
      <c r="AQ468" s="79" t="s">
        <v>2947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85">+SUMIF($C:$C,$V469,F:F)</f>
        <v>72775.567500000005</v>
      </c>
      <c r="AA469" s="255"/>
      <c r="AB469" s="247"/>
      <c r="AC469" s="254">
        <f t="shared" ref="AC469:AC479" si="286">+SUMIF($C:$C,$V469,I:I)</f>
        <v>73926.169357707506</v>
      </c>
      <c r="AD469" s="258"/>
      <c r="AE469" s="247"/>
      <c r="AF469" s="254">
        <f t="shared" ref="AF469:AF479" si="287">+SUMIF($C:$C,$V469,L:L)</f>
        <v>91841</v>
      </c>
      <c r="AG469" s="256"/>
      <c r="AH469" s="482">
        <f t="shared" si="282"/>
        <v>17914.830642292494</v>
      </c>
      <c r="AI469" s="257">
        <f>IF(AC469=0,0,AH469/AC469)</f>
        <v>0.24233408545230814</v>
      </c>
      <c r="AJ469" s="258"/>
      <c r="AK469" s="255"/>
      <c r="AL469" s="259">
        <f t="shared" ref="AL469:AL479" si="288">+SUMIF($C:$C,$V469,Q:Q)</f>
        <v>60872</v>
      </c>
      <c r="AM469" s="260"/>
      <c r="AN469" s="482">
        <f t="shared" si="283"/>
        <v>30969</v>
      </c>
      <c r="AO469" s="261">
        <f>IF(AL469=0,0,AN469/AL469)</f>
        <v>0.50875607832829539</v>
      </c>
      <c r="AP469" s="79"/>
      <c r="AQ469" s="79" t="s">
        <v>2927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85"/>
        <v>45357.637500000012</v>
      </c>
      <c r="AA470" s="255"/>
      <c r="AB470" s="247"/>
      <c r="AC470" s="254">
        <f t="shared" si="286"/>
        <v>758.49607159347272</v>
      </c>
      <c r="AD470" s="258"/>
      <c r="AE470" s="247"/>
      <c r="AF470" s="254">
        <f t="shared" si="287"/>
        <v>26100</v>
      </c>
      <c r="AG470" s="256"/>
      <c r="AH470" s="482">
        <f t="shared" si="282"/>
        <v>25341.503928406528</v>
      </c>
      <c r="AI470" s="257">
        <f t="shared" si="284"/>
        <v>33.410197992414503</v>
      </c>
      <c r="AJ470" s="258"/>
      <c r="AK470" s="255"/>
      <c r="AL470" s="259">
        <f t="shared" si="288"/>
        <v>10850</v>
      </c>
      <c r="AM470" s="260"/>
      <c r="AN470" s="482">
        <f t="shared" si="283"/>
        <v>15250</v>
      </c>
      <c r="AO470" s="261">
        <f t="shared" ref="AO470:AO472" si="289">IF(AL470=0,0,AN470/AL470)</f>
        <v>1.4055299539170507</v>
      </c>
      <c r="AP470" s="79"/>
      <c r="AQ470" s="79" t="s">
        <v>2946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85"/>
        <v>0</v>
      </c>
      <c r="AA471" s="255"/>
      <c r="AB471" s="247"/>
      <c r="AC471" s="254">
        <f t="shared" si="286"/>
        <v>0</v>
      </c>
      <c r="AD471" s="258"/>
      <c r="AE471" s="247"/>
      <c r="AF471" s="254">
        <f t="shared" si="287"/>
        <v>0</v>
      </c>
      <c r="AG471" s="256"/>
      <c r="AH471" s="482">
        <f t="shared" si="282"/>
        <v>0</v>
      </c>
      <c r="AI471" s="257">
        <f t="shared" si="284"/>
        <v>0</v>
      </c>
      <c r="AJ471" s="258"/>
      <c r="AK471" s="255"/>
      <c r="AL471" s="259">
        <f t="shared" si="288"/>
        <v>0</v>
      </c>
      <c r="AM471" s="260"/>
      <c r="AN471" s="482">
        <f t="shared" si="283"/>
        <v>0</v>
      </c>
      <c r="AO471" s="261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85"/>
        <v>0</v>
      </c>
      <c r="AA472" s="255"/>
      <c r="AB472" s="247"/>
      <c r="AC472" s="254">
        <f t="shared" si="286"/>
        <v>0</v>
      </c>
      <c r="AD472" s="258"/>
      <c r="AE472" s="247"/>
      <c r="AF472" s="254">
        <f t="shared" si="287"/>
        <v>0</v>
      </c>
      <c r="AG472" s="256"/>
      <c r="AH472" s="482">
        <f t="shared" si="282"/>
        <v>0</v>
      </c>
      <c r="AI472" s="257">
        <f t="shared" si="284"/>
        <v>0</v>
      </c>
      <c r="AJ472" s="258"/>
      <c r="AK472" s="255"/>
      <c r="AL472" s="259">
        <f t="shared" si="288"/>
        <v>0</v>
      </c>
      <c r="AM472" s="260"/>
      <c r="AN472" s="482">
        <f t="shared" si="283"/>
        <v>0</v>
      </c>
      <c r="AO472" s="261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85"/>
        <v>8500</v>
      </c>
      <c r="AA473" s="255"/>
      <c r="AB473" s="247"/>
      <c r="AC473" s="254">
        <f t="shared" si="286"/>
        <v>8500</v>
      </c>
      <c r="AD473" s="258"/>
      <c r="AE473" s="247"/>
      <c r="AF473" s="254">
        <f t="shared" si="287"/>
        <v>8500</v>
      </c>
      <c r="AG473" s="256"/>
      <c r="AH473" s="482">
        <f t="shared" ref="AH473:AH478" si="290">AF473-AC473</f>
        <v>0</v>
      </c>
      <c r="AI473" s="257">
        <f t="shared" ref="AI473:AI478" si="291">IF(AH473=0,0,AH473/AC473)</f>
        <v>0</v>
      </c>
      <c r="AJ473" s="258"/>
      <c r="AK473" s="255"/>
      <c r="AL473" s="259">
        <f t="shared" si="288"/>
        <v>0</v>
      </c>
      <c r="AM473" s="260"/>
      <c r="AN473" s="482">
        <f t="shared" ref="AN473:AN475" si="292">AF473-AL473</f>
        <v>8500</v>
      </c>
      <c r="AO473" s="261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85"/>
        <v>0</v>
      </c>
      <c r="AA474" s="255"/>
      <c r="AB474" s="247"/>
      <c r="AC474" s="254">
        <f t="shared" si="286"/>
        <v>0</v>
      </c>
      <c r="AD474" s="258"/>
      <c r="AE474" s="247"/>
      <c r="AF474" s="254">
        <f t="shared" si="287"/>
        <v>0</v>
      </c>
      <c r="AG474" s="256"/>
      <c r="AH474" s="482">
        <f t="shared" si="290"/>
        <v>0</v>
      </c>
      <c r="AI474" s="257">
        <f t="shared" si="291"/>
        <v>0</v>
      </c>
      <c r="AJ474" s="258"/>
      <c r="AK474" s="255"/>
      <c r="AL474" s="259">
        <f t="shared" si="288"/>
        <v>0</v>
      </c>
      <c r="AM474" s="260"/>
      <c r="AN474" s="482">
        <f t="shared" si="292"/>
        <v>0</v>
      </c>
      <c r="AO474" s="261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85"/>
        <v>0</v>
      </c>
      <c r="AA475" s="255"/>
      <c r="AB475" s="247"/>
      <c r="AC475" s="254">
        <f t="shared" si="286"/>
        <v>0</v>
      </c>
      <c r="AD475" s="258"/>
      <c r="AE475" s="247"/>
      <c r="AF475" s="254">
        <f t="shared" si="287"/>
        <v>0</v>
      </c>
      <c r="AG475" s="256"/>
      <c r="AH475" s="482">
        <f t="shared" si="290"/>
        <v>0</v>
      </c>
      <c r="AI475" s="257">
        <f t="shared" si="291"/>
        <v>0</v>
      </c>
      <c r="AJ475" s="258"/>
      <c r="AK475" s="255"/>
      <c r="AL475" s="259">
        <f t="shared" si="288"/>
        <v>0</v>
      </c>
      <c r="AM475" s="260"/>
      <c r="AN475" s="482">
        <f t="shared" si="292"/>
        <v>0</v>
      </c>
      <c r="AO475" s="261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4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85"/>
        <v>0</v>
      </c>
      <c r="AA476" s="255"/>
      <c r="AB476" s="247"/>
      <c r="AC476" s="254">
        <f t="shared" si="286"/>
        <v>0</v>
      </c>
      <c r="AD476" s="258"/>
      <c r="AE476" s="247"/>
      <c r="AF476" s="254">
        <f t="shared" si="287"/>
        <v>0</v>
      </c>
      <c r="AG476" s="256"/>
      <c r="AH476" s="482">
        <f t="shared" si="290"/>
        <v>0</v>
      </c>
      <c r="AI476" s="257">
        <f t="shared" si="291"/>
        <v>0</v>
      </c>
      <c r="AJ476" s="258"/>
      <c r="AK476" s="255"/>
      <c r="AL476" s="259">
        <f t="shared" si="288"/>
        <v>0</v>
      </c>
      <c r="AM476" s="260"/>
      <c r="AN476" s="482">
        <f t="shared" ref="AN476:AN479" si="294">AF476-AL476</f>
        <v>0</v>
      </c>
      <c r="AO476" s="261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4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85"/>
        <v>0</v>
      </c>
      <c r="AA477" s="255"/>
      <c r="AB477" s="247"/>
      <c r="AC477" s="254">
        <f t="shared" si="286"/>
        <v>0</v>
      </c>
      <c r="AD477" s="258"/>
      <c r="AE477" s="247"/>
      <c r="AF477" s="254">
        <f t="shared" si="287"/>
        <v>0</v>
      </c>
      <c r="AG477" s="256"/>
      <c r="AH477" s="482">
        <f t="shared" si="290"/>
        <v>0</v>
      </c>
      <c r="AI477" s="257">
        <f t="shared" si="291"/>
        <v>0</v>
      </c>
      <c r="AJ477" s="258"/>
      <c r="AK477" s="255"/>
      <c r="AL477" s="259">
        <f t="shared" si="288"/>
        <v>0</v>
      </c>
      <c r="AM477" s="260"/>
      <c r="AN477" s="482">
        <f t="shared" si="294"/>
        <v>0</v>
      </c>
      <c r="AO477" s="261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4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85"/>
        <v>0</v>
      </c>
      <c r="AA478" s="255"/>
      <c r="AB478" s="247"/>
      <c r="AC478" s="254">
        <f t="shared" si="286"/>
        <v>0</v>
      </c>
      <c r="AD478" s="258"/>
      <c r="AE478" s="247"/>
      <c r="AF478" s="254">
        <f t="shared" si="287"/>
        <v>0</v>
      </c>
      <c r="AG478" s="256"/>
      <c r="AH478" s="482">
        <f t="shared" si="290"/>
        <v>0</v>
      </c>
      <c r="AI478" s="257">
        <f t="shared" si="291"/>
        <v>0</v>
      </c>
      <c r="AJ478" s="258"/>
      <c r="AK478" s="255"/>
      <c r="AL478" s="259">
        <f t="shared" si="288"/>
        <v>0</v>
      </c>
      <c r="AM478" s="260"/>
      <c r="AN478" s="482">
        <f t="shared" si="294"/>
        <v>0</v>
      </c>
      <c r="AO478" s="261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85"/>
        <v>27640.163517536079</v>
      </c>
      <c r="AA479" s="255"/>
      <c r="AB479" s="247"/>
      <c r="AC479" s="254">
        <f t="shared" si="286"/>
        <v>27640.163517536083</v>
      </c>
      <c r="AD479" s="258"/>
      <c r="AE479" s="247"/>
      <c r="AF479" s="254">
        <f t="shared" si="287"/>
        <v>34846</v>
      </c>
      <c r="AG479" s="256"/>
      <c r="AH479" s="482">
        <f t="shared" ref="AH479:AH480" si="296">AF479-AC479</f>
        <v>7205.8364824639175</v>
      </c>
      <c r="AI479" s="257">
        <f>IF(AH479=0,0,AH479/AC479)</f>
        <v>0.26070165894251068</v>
      </c>
      <c r="AJ479" s="258"/>
      <c r="AK479" s="255"/>
      <c r="AL479" s="259">
        <f t="shared" si="288"/>
        <v>33871</v>
      </c>
      <c r="AM479" s="260"/>
      <c r="AN479" s="482">
        <f t="shared" si="294"/>
        <v>975</v>
      </c>
      <c r="AO479" s="261">
        <f t="shared" si="295"/>
        <v>2.8785686870774409E-2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0.34478474457304087</v>
      </c>
      <c r="Y480" s="103"/>
      <c r="Z480" s="90">
        <f>SUM(Z468:Z479)</f>
        <v>154273.36851753609</v>
      </c>
      <c r="AA480" s="89">
        <f>AC480/+AC406</f>
        <v>0.23425911121956855</v>
      </c>
      <c r="AB480" s="103"/>
      <c r="AC480" s="90">
        <f>SUM(AC468:AC479)</f>
        <v>110824.82894683706</v>
      </c>
      <c r="AD480" s="89">
        <f>AF480/+AF406</f>
        <v>0.4108160719531731</v>
      </c>
      <c r="AE480" s="103"/>
      <c r="AF480" s="90">
        <f>SUM(AF468:AF479)</f>
        <v>234259.09</v>
      </c>
      <c r="AG480" s="99"/>
      <c r="AH480" s="93">
        <f t="shared" si="296"/>
        <v>123434.26105316293</v>
      </c>
      <c r="AI480" s="89">
        <f>AH480/AC480</f>
        <v>1.1137780425754109</v>
      </c>
      <c r="AJ480" s="109"/>
      <c r="AK480" s="110"/>
      <c r="AL480" s="90">
        <f>SUM(AL468:AL479)</f>
        <v>142778.79999999999</v>
      </c>
      <c r="AM480" s="111"/>
      <c r="AN480" s="93">
        <f t="shared" ref="AN480:AN482" si="297">AF480-AL480</f>
        <v>91480.290000000008</v>
      </c>
      <c r="AO480" s="637">
        <f>IF(AL480=0,0,AN480/AL480)</f>
        <v>0.64071339722703946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486">
        <f t="shared" ref="AO481" si="298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2.47178419195529E-2</v>
      </c>
      <c r="Z482" s="491">
        <f>Z406-Z467+Z480</f>
        <v>51249.251532810566</v>
      </c>
      <c r="AA482" s="489" t="s">
        <v>258</v>
      </c>
      <c r="AB482" s="490">
        <f>AC482/AC405</f>
        <v>1.5761796586512097E-2</v>
      </c>
      <c r="AC482" s="491">
        <f>AC406-AC467+AC480</f>
        <v>32680.048707333292</v>
      </c>
      <c r="AD482" s="489" t="s">
        <v>258</v>
      </c>
      <c r="AE482" s="490">
        <f>AF482/AF405</f>
        <v>5.07930409291815E-2</v>
      </c>
      <c r="AF482" s="217">
        <f>AF406-AF467+AF480</f>
        <v>274750.54999999981</v>
      </c>
      <c r="AG482" s="492"/>
      <c r="AH482" s="492">
        <f>AF482-AC482</f>
        <v>242070.50129266654</v>
      </c>
      <c r="AI482" s="546">
        <f>AH482/AC482</f>
        <v>7.4072870411097869</v>
      </c>
      <c r="AJ482" s="493" t="s">
        <v>258</v>
      </c>
      <c r="AK482" s="490">
        <f>IF($AL$405=0,0,AL482/$AL$405)</f>
        <v>3.9868924758369086E-3</v>
      </c>
      <c r="AL482" s="217">
        <f>AL406-AL467+AL480</f>
        <v>17078.73000000004</v>
      </c>
      <c r="AM482" s="218"/>
      <c r="AN482" s="217">
        <f t="shared" si="297"/>
        <v>257671.81999999977</v>
      </c>
      <c r="AO482" s="494">
        <f>IF(AL482=0,0,AN482/AL482)</f>
        <v>15.0872939615533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2.47178419195529E-2</v>
      </c>
      <c r="Z488" s="499">
        <f>Z482</f>
        <v>51249.251532810566</v>
      </c>
      <c r="AA488" s="497" t="s">
        <v>258</v>
      </c>
      <c r="AB488" s="498">
        <f>AC488/AC405</f>
        <v>1.5761796586512097E-2</v>
      </c>
      <c r="AC488" s="499">
        <f>AC482</f>
        <v>32680.048707333292</v>
      </c>
      <c r="AD488" s="497" t="s">
        <v>258</v>
      </c>
      <c r="AE488" s="498">
        <f>AF488/AF405</f>
        <v>5.07930409291815E-2</v>
      </c>
      <c r="AF488" s="499">
        <f>AF482</f>
        <v>274750.54999999981</v>
      </c>
      <c r="AG488" s="500"/>
      <c r="AH488" s="492">
        <f>AF488-AC488</f>
        <v>242070.50129266654</v>
      </c>
      <c r="AI488" s="546">
        <f>AH488/AC488</f>
        <v>7.4072870411097869</v>
      </c>
      <c r="AJ488" s="497" t="s">
        <v>258</v>
      </c>
      <c r="AK488" s="498">
        <f>IF($AL$405=0,0,AL488/$AL$405)</f>
        <v>3.9868924758369086E-3</v>
      </c>
      <c r="AL488" s="501">
        <f>AL482</f>
        <v>17078.73000000004</v>
      </c>
      <c r="AM488" s="502"/>
      <c r="AN488" s="503">
        <f>AF488-AL488</f>
        <v>257671.81999999977</v>
      </c>
      <c r="AO488" s="504">
        <f>IF(AL488=0,0,AN488/AL488)</f>
        <v>15.0872939615533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9167</v>
      </c>
      <c r="AG490" s="455"/>
      <c r="AH490" s="457">
        <f t="shared" ref="AH490:AH491" si="300">AF490-AC490</f>
        <v>0</v>
      </c>
      <c r="AI490" s="97">
        <f>IF(AC490=0,0,AH490/AC490)</f>
        <v>0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01">AF490-AL490</f>
        <v>167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213.88</v>
      </c>
      <c r="AG491" s="439"/>
      <c r="AH491" s="457">
        <f t="shared" si="300"/>
        <v>-242.37</v>
      </c>
      <c r="AI491" s="97">
        <f t="shared" ref="AI491" si="302">IF(AC491=0,0,AH491/AC491)</f>
        <v>-0.53122191780821915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01"/>
        <v>213.88</v>
      </c>
      <c r="AO491" s="214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587.16228670116425</v>
      </c>
      <c r="AA492" s="439"/>
      <c r="AB492" s="439"/>
      <c r="AC492" s="87">
        <f>+INDEX('Budget révisé'!$A$2:$AO$496,MATCH($A492,'Budget révisé'!$A$2:$A$496,0),MATCH(I$2,'Budget révisé'!$A$2:$AO$2,0))</f>
        <v>587.16228670116425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04">AF492-AC492</f>
        <v>-16.57228670116433</v>
      </c>
      <c r="AI492" s="97">
        <f t="shared" ref="AI492:AI496" si="305">IF(AC492=0,0,AH492/AC492)</f>
        <v>-2.8224371824477859E-2</v>
      </c>
      <c r="AJ492" s="439"/>
      <c r="AK492" s="439"/>
      <c r="AL492" s="87">
        <f>SUMIFS(BV_Data_An_Prec!$O:$O,BV_Data_An_Prec!$V:$V,$V492)</f>
        <v>5219.41</v>
      </c>
      <c r="AM492" s="508"/>
      <c r="AN492" s="457">
        <f t="shared" ref="AN492:AN496" si="306">AF492-AL492</f>
        <v>-4648.82</v>
      </c>
      <c r="AO492" s="214">
        <f t="shared" ref="AO492:AO496" si="307">IF(AL492=0,0,AN492/AL492)</f>
        <v>-0.89067921470051215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299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04"/>
        <v>0</v>
      </c>
      <c r="AI493" s="97">
        <f t="shared" si="305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06"/>
        <v>0</v>
      </c>
      <c r="AO493" s="214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299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04"/>
        <v>0</v>
      </c>
      <c r="AI494" s="97">
        <f t="shared" si="305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06"/>
        <v>0</v>
      </c>
      <c r="AO494" s="214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299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04"/>
        <v>0</v>
      </c>
      <c r="AI495" s="97">
        <f t="shared" si="305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06"/>
        <v>0</v>
      </c>
      <c r="AO495" s="214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04"/>
        <v>0</v>
      </c>
      <c r="AI496" s="97">
        <f t="shared" si="305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06"/>
        <v>0</v>
      </c>
      <c r="AO496" s="214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1.9793294744955378E-2</v>
      </c>
      <c r="Z497" s="491">
        <f>Z488-Z490-Z491-Z492-Z496</f>
        <v>41038.839246109404</v>
      </c>
      <c r="AA497" s="489" t="s">
        <v>258</v>
      </c>
      <c r="AB497" s="490">
        <f>AC497/AC405</f>
        <v>1.0837249411914574E-2</v>
      </c>
      <c r="AC497" s="491">
        <f>AC488-AC490-AC491-AC492-AC496</f>
        <v>22469.636420632127</v>
      </c>
      <c r="AD497" s="489" t="s">
        <v>258</v>
      </c>
      <c r="AE497" s="490">
        <f>AF497/AF405</f>
        <v>4.8953316047773532E-2</v>
      </c>
      <c r="AF497" s="217">
        <f>AF488-AF490-AF491-AF492-AF496</f>
        <v>264799.07999999978</v>
      </c>
      <c r="AG497" s="492"/>
      <c r="AH497" s="492">
        <f>AF497-AC497</f>
        <v>242329.44357936765</v>
      </c>
      <c r="AI497" s="546">
        <f>AH497/AC497</f>
        <v>10.784751432686971</v>
      </c>
      <c r="AJ497" s="493" t="s">
        <v>258</v>
      </c>
      <c r="AK497" s="490">
        <f>IF($AL$405=0,0,AL497/$AL$405)</f>
        <v>6.6748531032518937E-4</v>
      </c>
      <c r="AL497" s="217">
        <f>AL488-AL490-AL491-AL492-AL496</f>
        <v>2859.3200000000397</v>
      </c>
      <c r="AM497" s="218"/>
      <c r="AN497" s="217">
        <f>AF497-AL497</f>
        <v>261939.75999999975</v>
      </c>
      <c r="AO497" s="509">
        <f>IF(AL497=0,0,AN497/AL497)</f>
        <v>91.609109858286629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41039</v>
      </c>
      <c r="AA500" s="79"/>
      <c r="AB500" s="79"/>
      <c r="AC500" s="79">
        <v>22470</v>
      </c>
      <c r="AD500" s="79"/>
      <c r="AE500" s="79"/>
      <c r="AF500" s="79">
        <v>269548</v>
      </c>
      <c r="AG500" s="79"/>
      <c r="AH500" s="79"/>
      <c r="AI500" s="79"/>
      <c r="AJ500" s="79"/>
      <c r="AK500" s="79"/>
      <c r="AL500" s="79">
        <v>2859.32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-0.16075389059551526</v>
      </c>
      <c r="AA501" s="79"/>
      <c r="AB501" s="79"/>
      <c r="AC501" s="101">
        <f>AC497-AC500</f>
        <v>-0.36357936787317158</v>
      </c>
      <c r="AD501" s="79"/>
      <c r="AE501" s="79"/>
      <c r="AF501" s="127">
        <f>AF497-AF500</f>
        <v>-4748.9200000002165</v>
      </c>
      <c r="AG501" s="79"/>
      <c r="AH501" s="79"/>
      <c r="AI501" s="79"/>
      <c r="AJ501" s="79"/>
      <c r="AK501" s="79"/>
      <c r="AL501" s="127">
        <f>AL497-AL500</f>
        <v>3.9563019527122378E-11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6" priority="558" stopIfTrue="1">
      <formula>"esterreur(reference)"</formula>
    </cfRule>
  </conditionalFormatting>
  <conditionalFormatting sqref="M95:M96">
    <cfRule type="expression" dxfId="685" priority="559" stopIfTrue="1">
      <formula>"esterreur(reference)"</formula>
    </cfRule>
  </conditionalFormatting>
  <conditionalFormatting sqref="H275:H280 J275:K280">
    <cfRule type="expression" dxfId="684" priority="560" stopIfTrue="1">
      <formula>"esterreur(reference)"</formula>
    </cfRule>
  </conditionalFormatting>
  <conditionalFormatting sqref="H219:H224 J219:K224">
    <cfRule type="expression" dxfId="683" priority="561" stopIfTrue="1">
      <formula>"esterreur(reference)"</formula>
    </cfRule>
  </conditionalFormatting>
  <conditionalFormatting sqref="H141:H147 J141:K147">
    <cfRule type="expression" dxfId="682" priority="562" stopIfTrue="1">
      <formula>"esterreur(reference)"</formula>
    </cfRule>
  </conditionalFormatting>
  <conditionalFormatting sqref="H137:H139 J137:K139">
    <cfRule type="expression" dxfId="681" priority="563" stopIfTrue="1">
      <formula>"esterreur(reference)"</formula>
    </cfRule>
  </conditionalFormatting>
  <conditionalFormatting sqref="H140 J140:K140">
    <cfRule type="expression" dxfId="680" priority="564" stopIfTrue="1">
      <formula>"esterreur(reference)"</formula>
    </cfRule>
  </conditionalFormatting>
  <conditionalFormatting sqref="L82">
    <cfRule type="expression" dxfId="679" priority="505" stopIfTrue="1">
      <formula>"esterreur(reference)"</formula>
    </cfRule>
  </conditionalFormatting>
  <conditionalFormatting sqref="M311">
    <cfRule type="expression" dxfId="678" priority="566" stopIfTrue="1">
      <formula>"esterreur(reference)"</formula>
    </cfRule>
  </conditionalFormatting>
  <conditionalFormatting sqref="R311">
    <cfRule type="expression" dxfId="677" priority="56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76" priority="568" operator="greaterThan">
      <formula>0</formula>
    </cfRule>
  </conditionalFormatting>
  <conditionalFormatting sqref="AH468:AI479">
    <cfRule type="cellIs" dxfId="675" priority="569" operator="lessThan">
      <formula>0</formula>
    </cfRule>
  </conditionalFormatting>
  <conditionalFormatting sqref="AH491:AH496">
    <cfRule type="cellIs" dxfId="674" priority="572" operator="greaterThan">
      <formula>0</formula>
    </cfRule>
  </conditionalFormatting>
  <conditionalFormatting sqref="J281:K283">
    <cfRule type="expression" dxfId="673" priority="576" stopIfTrue="1">
      <formula>"esterreur(reference)"</formula>
    </cfRule>
  </conditionalFormatting>
  <conditionalFormatting sqref="K356 J356:J357 H356:I356 L355:L356 H358:L358">
    <cfRule type="expression" dxfId="672" priority="580" stopIfTrue="1">
      <formula>"esterreur(reference)"</formula>
    </cfRule>
  </conditionalFormatting>
  <conditionalFormatting sqref="H396">
    <cfRule type="expression" dxfId="671" priority="581" stopIfTrue="1">
      <formula>"esterreur(reference)"</formula>
    </cfRule>
  </conditionalFormatting>
  <conditionalFormatting sqref="I376:L376 H377:H392 J377:K392">
    <cfRule type="expression" dxfId="670" priority="582" stopIfTrue="1">
      <formula>"esterreur(reference)"</formula>
    </cfRule>
  </conditionalFormatting>
  <conditionalFormatting sqref="H397:L398 I396:L396 H395:L395 H393:H394 J393:K393">
    <cfRule type="expression" dxfId="669" priority="583" stopIfTrue="1">
      <formula>"esterreur(reference)"</formula>
    </cfRule>
  </conditionalFormatting>
  <conditionalFormatting sqref="H360:L362 H359 K359">
    <cfRule type="expression" dxfId="668" priority="584" stopIfTrue="1">
      <formula>"esterreur(reference)"</formula>
    </cfRule>
  </conditionalFormatting>
  <conditionalFormatting sqref="K394">
    <cfRule type="expression" dxfId="667" priority="585" stopIfTrue="1">
      <formula>"esterreur(reference)"</formula>
    </cfRule>
  </conditionalFormatting>
  <conditionalFormatting sqref="H316:L316">
    <cfRule type="expression" dxfId="666" priority="589" stopIfTrue="1">
      <formula>"esterreur(reference)"</formula>
    </cfRule>
  </conditionalFormatting>
  <conditionalFormatting sqref="H196:L196">
    <cfRule type="expression" dxfId="665" priority="590" stopIfTrue="1">
      <formula>"esterreur(reference)"</formula>
    </cfRule>
  </conditionalFormatting>
  <conditionalFormatting sqref="H55:H56 J55:K56 H71 J71:K71">
    <cfRule type="expression" dxfId="664" priority="595" stopIfTrue="1">
      <formula>"esterreur(reference)"</formula>
    </cfRule>
  </conditionalFormatting>
  <conditionalFormatting sqref="J61:K70 H61:H70">
    <cfRule type="expression" dxfId="663" priority="596" stopIfTrue="1">
      <formula>"esterreur(reference)"</formula>
    </cfRule>
  </conditionalFormatting>
  <conditionalFormatting sqref="H57:H59 J57:K59">
    <cfRule type="expression" dxfId="662" priority="597" stopIfTrue="1">
      <formula>"esterreur(reference)"</formula>
    </cfRule>
  </conditionalFormatting>
  <conditionalFormatting sqref="H60 J60:K60">
    <cfRule type="expression" dxfId="661" priority="598" stopIfTrue="1">
      <formula>"esterreur(reference)"</formula>
    </cfRule>
  </conditionalFormatting>
  <conditionalFormatting sqref="L19 L21:L23">
    <cfRule type="expression" dxfId="660" priority="554" stopIfTrue="1">
      <formula>"esterreur(reference)"</formula>
    </cfRule>
  </conditionalFormatting>
  <conditionalFormatting sqref="K98">
    <cfRule type="expression" dxfId="659" priority="600" stopIfTrue="1">
      <formula>"esterreur(reference)"</formula>
    </cfRule>
  </conditionalFormatting>
  <conditionalFormatting sqref="L331:L347">
    <cfRule type="expression" dxfId="658" priority="380" stopIfTrue="1">
      <formula>"esterreur(reference)"</formula>
    </cfRule>
  </conditionalFormatting>
  <conditionalFormatting sqref="L16:L17">
    <cfRule type="expression" dxfId="657" priority="556" stopIfTrue="1">
      <formula>"esterreur(reference)"</formula>
    </cfRule>
  </conditionalFormatting>
  <conditionalFormatting sqref="L20">
    <cfRule type="expression" dxfId="656" priority="551" stopIfTrue="1">
      <formula>"esterreur(reference)"</formula>
    </cfRule>
  </conditionalFormatting>
  <conditionalFormatting sqref="L325">
    <cfRule type="expression" dxfId="655" priority="385" stopIfTrue="1">
      <formula>"esterreur(reference)"</formula>
    </cfRule>
  </conditionalFormatting>
  <conditionalFormatting sqref="L326">
    <cfRule type="expression" dxfId="654" priority="384" stopIfTrue="1">
      <formula>"esterreur(reference)"</formula>
    </cfRule>
  </conditionalFormatting>
  <conditionalFormatting sqref="L327">
    <cfRule type="expression" dxfId="653" priority="383" stopIfTrue="1">
      <formula>"esterreur(reference)"</formula>
    </cfRule>
  </conditionalFormatting>
  <conditionalFormatting sqref="L328">
    <cfRule type="expression" dxfId="652" priority="382" stopIfTrue="1">
      <formula>"esterreur(reference)"</formula>
    </cfRule>
  </conditionalFormatting>
  <conditionalFormatting sqref="L42">
    <cfRule type="expression" dxfId="651" priority="535" stopIfTrue="1">
      <formula>"esterreur(reference)"</formula>
    </cfRule>
  </conditionalFormatting>
  <conditionalFormatting sqref="L43">
    <cfRule type="expression" dxfId="650" priority="534" stopIfTrue="1">
      <formula>"esterreur(reference)"</formula>
    </cfRule>
  </conditionalFormatting>
  <conditionalFormatting sqref="L44">
    <cfRule type="expression" dxfId="649" priority="533" stopIfTrue="1">
      <formula>"esterreur(reference)"</formula>
    </cfRule>
  </conditionalFormatting>
  <conditionalFormatting sqref="L45:L48">
    <cfRule type="expression" dxfId="648" priority="532" stopIfTrue="1">
      <formula>"esterreur(reference)"</formula>
    </cfRule>
  </conditionalFormatting>
  <conditionalFormatting sqref="L55">
    <cfRule type="expression" dxfId="647" priority="526" stopIfTrue="1">
      <formula>"esterreur(reference)"</formula>
    </cfRule>
  </conditionalFormatting>
  <conditionalFormatting sqref="L56">
    <cfRule type="expression" dxfId="646" priority="525" stopIfTrue="1">
      <formula>"esterreur(reference)"</formula>
    </cfRule>
  </conditionalFormatting>
  <conditionalFormatting sqref="L271">
    <cfRule type="expression" dxfId="645" priority="400" stopIfTrue="1">
      <formula>"esterreur(reference)"</formula>
    </cfRule>
  </conditionalFormatting>
  <conditionalFormatting sqref="L58">
    <cfRule type="expression" dxfId="644" priority="523" stopIfTrue="1">
      <formula>"esterreur(reference)"</formula>
    </cfRule>
  </conditionalFormatting>
  <conditionalFormatting sqref="L61">
    <cfRule type="expression" dxfId="643" priority="520" stopIfTrue="1">
      <formula>"esterreur(reference)"</formula>
    </cfRule>
  </conditionalFormatting>
  <conditionalFormatting sqref="L274">
    <cfRule type="expression" dxfId="642" priority="398" stopIfTrue="1">
      <formula>"esterreur(reference)"</formula>
    </cfRule>
  </conditionalFormatting>
  <conditionalFormatting sqref="L63">
    <cfRule type="expression" dxfId="641" priority="519" stopIfTrue="1">
      <formula>"esterreur(reference)"</formula>
    </cfRule>
  </conditionalFormatting>
  <conditionalFormatting sqref="L62">
    <cfRule type="expression" dxfId="640" priority="518" stopIfTrue="1">
      <formula>"esterreur(reference)"</formula>
    </cfRule>
  </conditionalFormatting>
  <conditionalFormatting sqref="L64">
    <cfRule type="expression" dxfId="639" priority="517" stopIfTrue="1">
      <formula>"esterreur(reference)"</formula>
    </cfRule>
  </conditionalFormatting>
  <conditionalFormatting sqref="L65">
    <cfRule type="expression" dxfId="638" priority="516" stopIfTrue="1">
      <formula>"esterreur(reference)"</formula>
    </cfRule>
  </conditionalFormatting>
  <conditionalFormatting sqref="L69 L66:L67">
    <cfRule type="expression" dxfId="637" priority="515" stopIfTrue="1">
      <formula>"esterreur(reference)"</formula>
    </cfRule>
  </conditionalFormatting>
  <conditionalFormatting sqref="L70">
    <cfRule type="expression" dxfId="636" priority="514" stopIfTrue="1">
      <formula>"esterreur(reference)"</formula>
    </cfRule>
  </conditionalFormatting>
  <conditionalFormatting sqref="L76:L77">
    <cfRule type="expression" dxfId="635" priority="510" stopIfTrue="1">
      <formula>"esterreur(reference)"</formula>
    </cfRule>
  </conditionalFormatting>
  <conditionalFormatting sqref="L78:L81">
    <cfRule type="expression" dxfId="634" priority="509" stopIfTrue="1">
      <formula>"esterreur(reference)"</formula>
    </cfRule>
  </conditionalFormatting>
  <conditionalFormatting sqref="L57">
    <cfRule type="expression" dxfId="633" priority="500" stopIfTrue="1">
      <formula>"esterreur(reference)"</formula>
    </cfRule>
  </conditionalFormatting>
  <conditionalFormatting sqref="L94:L95">
    <cfRule type="expression" dxfId="632" priority="498" stopIfTrue="1">
      <formula>"esterreur(reference)"</formula>
    </cfRule>
  </conditionalFormatting>
  <conditionalFormatting sqref="L98">
    <cfRule type="expression" dxfId="631" priority="497" stopIfTrue="1">
      <formula>"esterreur(reference)"</formula>
    </cfRule>
  </conditionalFormatting>
  <conditionalFormatting sqref="L99">
    <cfRule type="expression" dxfId="630" priority="496" stopIfTrue="1">
      <formula>"esterreur(reference)"</formula>
    </cfRule>
  </conditionalFormatting>
  <conditionalFormatting sqref="L101">
    <cfRule type="expression" dxfId="629" priority="495" stopIfTrue="1">
      <formula>"esterreur(reference)"</formula>
    </cfRule>
  </conditionalFormatting>
  <conditionalFormatting sqref="L102">
    <cfRule type="expression" dxfId="628" priority="494" stopIfTrue="1">
      <formula>"esterreur(reference)"</formula>
    </cfRule>
  </conditionalFormatting>
  <conditionalFormatting sqref="L103">
    <cfRule type="expression" dxfId="627" priority="492" stopIfTrue="1">
      <formula>"esterreur(reference)"</formula>
    </cfRule>
  </conditionalFormatting>
  <conditionalFormatting sqref="L111">
    <cfRule type="expression" dxfId="626" priority="491" stopIfTrue="1">
      <formula>"esterreur(reference)"</formula>
    </cfRule>
  </conditionalFormatting>
  <conditionalFormatting sqref="L112">
    <cfRule type="expression" dxfId="625" priority="490" stopIfTrue="1">
      <formula>"esterreur(reference)"</formula>
    </cfRule>
  </conditionalFormatting>
  <conditionalFormatting sqref="L207">
    <cfRule type="expression" dxfId="624" priority="426" stopIfTrue="1">
      <formula>"esterreur(reference)"</formula>
    </cfRule>
  </conditionalFormatting>
  <conditionalFormatting sqref="L114">
    <cfRule type="expression" dxfId="623" priority="488" stopIfTrue="1">
      <formula>"esterreur(reference)"</formula>
    </cfRule>
  </conditionalFormatting>
  <conditionalFormatting sqref="L227">
    <cfRule type="expression" dxfId="622" priority="422" stopIfTrue="1">
      <formula>"esterreur(reference)"</formula>
    </cfRule>
  </conditionalFormatting>
  <conditionalFormatting sqref="L116:L119">
    <cfRule type="expression" dxfId="621" priority="486" stopIfTrue="1">
      <formula>"esterreur(reference)"</formula>
    </cfRule>
  </conditionalFormatting>
  <conditionalFormatting sqref="L120">
    <cfRule type="expression" dxfId="620" priority="485" stopIfTrue="1">
      <formula>"esterreur(reference)"</formula>
    </cfRule>
  </conditionalFormatting>
  <conditionalFormatting sqref="L130">
    <cfRule type="expression" dxfId="619" priority="473" stopIfTrue="1">
      <formula>"esterreur(reference)"</formula>
    </cfRule>
  </conditionalFormatting>
  <conditionalFormatting sqref="L124">
    <cfRule type="expression" dxfId="618" priority="480" stopIfTrue="1">
      <formula>"esterreur(reference)"</formula>
    </cfRule>
  </conditionalFormatting>
  <conditionalFormatting sqref="L123">
    <cfRule type="expression" dxfId="617" priority="478" stopIfTrue="1">
      <formula>"esterreur(reference)"</formula>
    </cfRule>
  </conditionalFormatting>
  <conditionalFormatting sqref="L138">
    <cfRule type="expression" dxfId="616" priority="466" stopIfTrue="1">
      <formula>"esterreur(reference)"</formula>
    </cfRule>
  </conditionalFormatting>
  <conditionalFormatting sqref="L131">
    <cfRule type="expression" dxfId="615" priority="472" stopIfTrue="1">
      <formula>"esterreur(reference)"</formula>
    </cfRule>
  </conditionalFormatting>
  <conditionalFormatting sqref="L132">
    <cfRule type="expression" dxfId="614" priority="471" stopIfTrue="1">
      <formula>"esterreur(reference)"</formula>
    </cfRule>
  </conditionalFormatting>
  <conditionalFormatting sqref="L133">
    <cfRule type="expression" dxfId="613" priority="470" stopIfTrue="1">
      <formula>"esterreur(reference)"</formula>
    </cfRule>
  </conditionalFormatting>
  <conditionalFormatting sqref="L139">
    <cfRule type="expression" dxfId="612" priority="465" stopIfTrue="1">
      <formula>"esterreur(reference)"</formula>
    </cfRule>
  </conditionalFormatting>
  <conditionalFormatting sqref="L136">
    <cfRule type="expression" dxfId="611" priority="468" stopIfTrue="1">
      <formula>"esterreur(reference)"</formula>
    </cfRule>
  </conditionalFormatting>
  <conditionalFormatting sqref="L137">
    <cfRule type="expression" dxfId="610" priority="467" stopIfTrue="1">
      <formula>"esterreur(reference)"</formula>
    </cfRule>
  </conditionalFormatting>
  <conditionalFormatting sqref="L140">
    <cfRule type="expression" dxfId="609" priority="464" stopIfTrue="1">
      <formula>"esterreur(reference)"</formula>
    </cfRule>
  </conditionalFormatting>
  <conditionalFormatting sqref="L141">
    <cfRule type="expression" dxfId="608" priority="463" stopIfTrue="1">
      <formula>"esterreur(reference)"</formula>
    </cfRule>
  </conditionalFormatting>
  <conditionalFormatting sqref="L142">
    <cfRule type="expression" dxfId="607" priority="462" stopIfTrue="1">
      <formula>"esterreur(reference)"</formula>
    </cfRule>
  </conditionalFormatting>
  <conditionalFormatting sqref="L143">
    <cfRule type="expression" dxfId="606" priority="461" stopIfTrue="1">
      <formula>"esterreur(reference)"</formula>
    </cfRule>
  </conditionalFormatting>
  <conditionalFormatting sqref="L144">
    <cfRule type="expression" dxfId="605" priority="460" stopIfTrue="1">
      <formula>"esterreur(reference)"</formula>
    </cfRule>
  </conditionalFormatting>
  <conditionalFormatting sqref="L145">
    <cfRule type="expression" dxfId="604" priority="459" stopIfTrue="1">
      <formula>"esterreur(reference)"</formula>
    </cfRule>
  </conditionalFormatting>
  <conditionalFormatting sqref="L146">
    <cfRule type="expression" dxfId="603" priority="458" stopIfTrue="1">
      <formula>"esterreur(reference)"</formula>
    </cfRule>
  </conditionalFormatting>
  <conditionalFormatting sqref="L147">
    <cfRule type="expression" dxfId="602" priority="457" stopIfTrue="1">
      <formula>"esterreur(reference)"</formula>
    </cfRule>
  </conditionalFormatting>
  <conditionalFormatting sqref="L155">
    <cfRule type="expression" dxfId="601" priority="452" stopIfTrue="1">
      <formula>"esterreur(reference)"</formula>
    </cfRule>
  </conditionalFormatting>
  <conditionalFormatting sqref="L157">
    <cfRule type="expression" dxfId="600" priority="450" stopIfTrue="1">
      <formula>"esterreur(reference)"</formula>
    </cfRule>
  </conditionalFormatting>
  <conditionalFormatting sqref="L156">
    <cfRule type="expression" dxfId="599" priority="451" stopIfTrue="1">
      <formula>"esterreur(reference)"</formula>
    </cfRule>
  </conditionalFormatting>
  <conditionalFormatting sqref="L115">
    <cfRule type="expression" dxfId="598" priority="443" stopIfTrue="1">
      <formula>"esterreur(reference)"</formula>
    </cfRule>
  </conditionalFormatting>
  <conditionalFormatting sqref="L113">
    <cfRule type="expression" dxfId="597" priority="442" stopIfTrue="1">
      <formula>"esterreur(reference)"</formula>
    </cfRule>
  </conditionalFormatting>
  <conditionalFormatting sqref="L171">
    <cfRule type="expression" dxfId="596" priority="441" stopIfTrue="1">
      <formula>"esterreur(reference)"</formula>
    </cfRule>
  </conditionalFormatting>
  <conditionalFormatting sqref="L174">
    <cfRule type="expression" dxfId="595" priority="440" stopIfTrue="1">
      <formula>"esterreur(reference)"</formula>
    </cfRule>
  </conditionalFormatting>
  <conditionalFormatting sqref="L177">
    <cfRule type="expression" dxfId="594" priority="439" stopIfTrue="1">
      <formula>"esterreur(reference)"</formula>
    </cfRule>
  </conditionalFormatting>
  <conditionalFormatting sqref="L187">
    <cfRule type="expression" dxfId="593" priority="436" stopIfTrue="1">
      <formula>"esterreur(reference)"</formula>
    </cfRule>
  </conditionalFormatting>
  <conditionalFormatting sqref="L197">
    <cfRule type="expression" dxfId="592" priority="435" stopIfTrue="1">
      <formula>"esterreur(reference)"</formula>
    </cfRule>
  </conditionalFormatting>
  <conditionalFormatting sqref="L199">
    <cfRule type="expression" dxfId="591" priority="434" stopIfTrue="1">
      <formula>"esterreur(reference)"</formula>
    </cfRule>
  </conditionalFormatting>
  <conditionalFormatting sqref="L198">
    <cfRule type="expression" dxfId="590" priority="433" stopIfTrue="1">
      <formula>"esterreur(reference)"</formula>
    </cfRule>
  </conditionalFormatting>
  <conditionalFormatting sqref="L200">
    <cfRule type="expression" dxfId="589" priority="432" stopIfTrue="1">
      <formula>"esterreur(reference)"</formula>
    </cfRule>
  </conditionalFormatting>
  <conditionalFormatting sqref="L201">
    <cfRule type="expression" dxfId="588" priority="431" stopIfTrue="1">
      <formula>"esterreur(reference)"</formula>
    </cfRule>
  </conditionalFormatting>
  <conditionalFormatting sqref="L202:L204">
    <cfRule type="expression" dxfId="587" priority="430" stopIfTrue="1">
      <formula>"esterreur(reference)"</formula>
    </cfRule>
  </conditionalFormatting>
  <conditionalFormatting sqref="L206">
    <cfRule type="expression" dxfId="586" priority="427" stopIfTrue="1">
      <formula>"esterreur(reference)"</formula>
    </cfRule>
  </conditionalFormatting>
  <conditionalFormatting sqref="L205">
    <cfRule type="expression" dxfId="585" priority="428" stopIfTrue="1">
      <formula>"esterreur(reference)"</formula>
    </cfRule>
  </conditionalFormatting>
  <conditionalFormatting sqref="L208">
    <cfRule type="expression" dxfId="584" priority="425" stopIfTrue="1">
      <formula>"esterreur(reference)"</formula>
    </cfRule>
  </conditionalFormatting>
  <conditionalFormatting sqref="L211:L224">
    <cfRule type="expression" dxfId="583" priority="424" stopIfTrue="1">
      <formula>"esterreur(reference)"</formula>
    </cfRule>
  </conditionalFormatting>
  <conditionalFormatting sqref="L225:L226">
    <cfRule type="expression" dxfId="582" priority="423" stopIfTrue="1">
      <formula>"esterreur(reference)"</formula>
    </cfRule>
  </conditionalFormatting>
  <conditionalFormatting sqref="L180">
    <cfRule type="expression" dxfId="581" priority="420" stopIfTrue="1">
      <formula>"esterreur(reference)"</formula>
    </cfRule>
  </conditionalFormatting>
  <conditionalFormatting sqref="L243">
    <cfRule type="expression" dxfId="580" priority="418" stopIfTrue="1">
      <formula>"esterreur(reference)"</formula>
    </cfRule>
  </conditionalFormatting>
  <conditionalFormatting sqref="L246">
    <cfRule type="expression" dxfId="579" priority="417" stopIfTrue="1">
      <formula>"esterreur(reference)"</formula>
    </cfRule>
  </conditionalFormatting>
  <conditionalFormatting sqref="L253">
    <cfRule type="expression" dxfId="578" priority="416" stopIfTrue="1">
      <formula>"esterreur(reference)"</formula>
    </cfRule>
  </conditionalFormatting>
  <conditionalFormatting sqref="L254">
    <cfRule type="expression" dxfId="577" priority="415" stopIfTrue="1">
      <formula>"esterreur(reference)"</formula>
    </cfRule>
  </conditionalFormatting>
  <conditionalFormatting sqref="L255">
    <cfRule type="expression" dxfId="576" priority="414" stopIfTrue="1">
      <formula>"esterreur(reference)"</formula>
    </cfRule>
  </conditionalFormatting>
  <conditionalFormatting sqref="L256">
    <cfRule type="expression" dxfId="575" priority="413" stopIfTrue="1">
      <formula>"esterreur(reference)"</formula>
    </cfRule>
  </conditionalFormatting>
  <conditionalFormatting sqref="L257">
    <cfRule type="expression" dxfId="574" priority="412" stopIfTrue="1">
      <formula>"esterreur(reference)"</formula>
    </cfRule>
  </conditionalFormatting>
  <conditionalFormatting sqref="L258">
    <cfRule type="expression" dxfId="573" priority="411" stopIfTrue="1">
      <formula>"esterreur(reference)"</formula>
    </cfRule>
  </conditionalFormatting>
  <conditionalFormatting sqref="L259">
    <cfRule type="expression" dxfId="572" priority="410" stopIfTrue="1">
      <formula>"esterreur(reference)"</formula>
    </cfRule>
  </conditionalFormatting>
  <conditionalFormatting sqref="L260">
    <cfRule type="expression" dxfId="571" priority="409" stopIfTrue="1">
      <formula>"esterreur(reference)"</formula>
    </cfRule>
  </conditionalFormatting>
  <conditionalFormatting sqref="L261">
    <cfRule type="expression" dxfId="570" priority="408" stopIfTrue="1">
      <formula>"esterreur(reference)"</formula>
    </cfRule>
  </conditionalFormatting>
  <conditionalFormatting sqref="L262">
    <cfRule type="expression" dxfId="569" priority="407" stopIfTrue="1">
      <formula>"esterreur(reference)"</formula>
    </cfRule>
  </conditionalFormatting>
  <conditionalFormatting sqref="L263:L264">
    <cfRule type="expression" dxfId="568" priority="406" stopIfTrue="1">
      <formula>"esterreur(reference)"</formula>
    </cfRule>
  </conditionalFormatting>
  <conditionalFormatting sqref="L268">
    <cfRule type="expression" dxfId="567" priority="403" stopIfTrue="1">
      <formula>"esterreur(reference)"</formula>
    </cfRule>
  </conditionalFormatting>
  <conditionalFormatting sqref="L267">
    <cfRule type="expression" dxfId="566" priority="404" stopIfTrue="1">
      <formula>"esterreur(reference)"</formula>
    </cfRule>
  </conditionalFormatting>
  <conditionalFormatting sqref="L269">
    <cfRule type="expression" dxfId="565" priority="402" stopIfTrue="1">
      <formula>"esterreur(reference)"</formula>
    </cfRule>
  </conditionalFormatting>
  <conditionalFormatting sqref="L270">
    <cfRule type="expression" dxfId="564" priority="401" stopIfTrue="1">
      <formula>"esterreur(reference)"</formula>
    </cfRule>
  </conditionalFormatting>
  <conditionalFormatting sqref="L272:L273">
    <cfRule type="expression" dxfId="563" priority="399" stopIfTrue="1">
      <formula>"esterreur(reference)"</formula>
    </cfRule>
  </conditionalFormatting>
  <conditionalFormatting sqref="L294:L300">
    <cfRule type="expression" dxfId="562" priority="394" stopIfTrue="1">
      <formula>"esterreur(reference)"</formula>
    </cfRule>
  </conditionalFormatting>
  <conditionalFormatting sqref="L301">
    <cfRule type="expression" dxfId="561" priority="393" stopIfTrue="1">
      <formula>"esterreur(reference)"</formula>
    </cfRule>
  </conditionalFormatting>
  <conditionalFormatting sqref="L302">
    <cfRule type="expression" dxfId="560" priority="392" stopIfTrue="1">
      <formula>"esterreur(reference)"</formula>
    </cfRule>
  </conditionalFormatting>
  <conditionalFormatting sqref="L306">
    <cfRule type="expression" dxfId="559" priority="391" stopIfTrue="1">
      <formula>"esterreur(reference)"</formula>
    </cfRule>
  </conditionalFormatting>
  <conditionalFormatting sqref="L307">
    <cfRule type="expression" dxfId="558" priority="390" stopIfTrue="1">
      <formula>"esterreur(reference)"</formula>
    </cfRule>
  </conditionalFormatting>
  <conditionalFormatting sqref="L311">
    <cfRule type="expression" dxfId="557" priority="389" stopIfTrue="1">
      <formula>"esterreur(reference)"</formula>
    </cfRule>
  </conditionalFormatting>
  <conditionalFormatting sqref="L317">
    <cfRule type="expression" dxfId="556" priority="388" stopIfTrue="1">
      <formula>"esterreur(reference)"</formula>
    </cfRule>
  </conditionalFormatting>
  <conditionalFormatting sqref="L318">
    <cfRule type="expression" dxfId="555" priority="387" stopIfTrue="1">
      <formula>"esterreur(reference)"</formula>
    </cfRule>
  </conditionalFormatting>
  <conditionalFormatting sqref="K5">
    <cfRule type="expression" dxfId="554" priority="378" stopIfTrue="1">
      <formula>"esterreur(reference)"</formula>
    </cfRule>
  </conditionalFormatting>
  <conditionalFormatting sqref="L5">
    <cfRule type="expression" dxfId="553" priority="376" stopIfTrue="1">
      <formula>"esterreur(reference)"</formula>
    </cfRule>
  </conditionalFormatting>
  <conditionalFormatting sqref="K182">
    <cfRule type="expression" dxfId="552" priority="367" stopIfTrue="1">
      <formula>"esterreur(reference)"</formula>
    </cfRule>
  </conditionalFormatting>
  <conditionalFormatting sqref="L93">
    <cfRule type="expression" dxfId="551" priority="348" stopIfTrue="1">
      <formula>"esterreur(reference)"</formula>
    </cfRule>
  </conditionalFormatting>
  <conditionalFormatting sqref="K171">
    <cfRule type="expression" dxfId="550" priority="346" stopIfTrue="1">
      <formula>"esterreur(reference)"</formula>
    </cfRule>
  </conditionalFormatting>
  <conditionalFormatting sqref="K174">
    <cfRule type="expression" dxfId="549" priority="345" stopIfTrue="1">
      <formula>"esterreur(reference)"</formula>
    </cfRule>
  </conditionalFormatting>
  <conditionalFormatting sqref="K177">
    <cfRule type="expression" dxfId="548" priority="344" stopIfTrue="1">
      <formula>"esterreur(reference)"</formula>
    </cfRule>
  </conditionalFormatting>
  <conditionalFormatting sqref="K180">
    <cfRule type="expression" dxfId="547" priority="342" stopIfTrue="1">
      <formula>"esterreur(reference)"</formula>
    </cfRule>
  </conditionalFormatting>
  <conditionalFormatting sqref="K240">
    <cfRule type="expression" dxfId="546" priority="338" stopIfTrue="1">
      <formula>"esterreur(reference)"</formula>
    </cfRule>
  </conditionalFormatting>
  <conditionalFormatting sqref="K243">
    <cfRule type="expression" dxfId="545" priority="337" stopIfTrue="1">
      <formula>"esterreur(reference)"</formula>
    </cfRule>
  </conditionalFormatting>
  <conditionalFormatting sqref="K246">
    <cfRule type="expression" dxfId="544" priority="335" stopIfTrue="1">
      <formula>"esterreur(reference)"</formula>
    </cfRule>
  </conditionalFormatting>
  <conditionalFormatting sqref="J306:J307">
    <cfRule type="expression" dxfId="543" priority="333" stopIfTrue="1">
      <formula>"esterreur(reference)"</formula>
    </cfRule>
  </conditionalFormatting>
  <conditionalFormatting sqref="K187">
    <cfRule type="expression" dxfId="542" priority="329" stopIfTrue="1">
      <formula>"esterreur(reference)"</formula>
    </cfRule>
  </conditionalFormatting>
  <conditionalFormatting sqref="K190">
    <cfRule type="expression" dxfId="541" priority="327" stopIfTrue="1">
      <formula>"esterreur(reference)"</formula>
    </cfRule>
  </conditionalFormatting>
  <conditionalFormatting sqref="J311">
    <cfRule type="expression" dxfId="540" priority="326" stopIfTrue="1">
      <formula>"esterreur(reference)"</formula>
    </cfRule>
  </conditionalFormatting>
  <conditionalFormatting sqref="L364:L375">
    <cfRule type="expression" dxfId="539" priority="320" stopIfTrue="1">
      <formula>"esterreur(reference)"</formula>
    </cfRule>
  </conditionalFormatting>
  <conditionalFormatting sqref="L377:L393">
    <cfRule type="expression" dxfId="538" priority="318" stopIfTrue="1">
      <formula>"esterreur(reference)"</formula>
    </cfRule>
  </conditionalFormatting>
  <conditionalFormatting sqref="K93">
    <cfRule type="expression" dxfId="537" priority="317" stopIfTrue="1">
      <formula>"esterreur(reference)"</formula>
    </cfRule>
  </conditionalFormatting>
  <conditionalFormatting sqref="L240">
    <cfRule type="expression" dxfId="536" priority="314" stopIfTrue="1">
      <formula>"esterreur(reference)"</formula>
    </cfRule>
  </conditionalFormatting>
  <conditionalFormatting sqref="K239">
    <cfRule type="expression" dxfId="535" priority="311" stopIfTrue="1">
      <formula>"esterreur(reference)"</formula>
    </cfRule>
  </conditionalFormatting>
  <conditionalFormatting sqref="L239">
    <cfRule type="expression" dxfId="534" priority="309" stopIfTrue="1">
      <formula>"esterreur(reference)"</formula>
    </cfRule>
  </conditionalFormatting>
  <conditionalFormatting sqref="F183">
    <cfRule type="expression" dxfId="533" priority="308" stopIfTrue="1">
      <formula>"esterreur(reference)"</formula>
    </cfRule>
  </conditionalFormatting>
  <conditionalFormatting sqref="J359">
    <cfRule type="expression" dxfId="532" priority="306" stopIfTrue="1">
      <formula>"esterreur(reference)"</formula>
    </cfRule>
  </conditionalFormatting>
  <conditionalFormatting sqref="L359">
    <cfRule type="expression" dxfId="531" priority="304" stopIfTrue="1">
      <formula>"esterreur(reference)"</formula>
    </cfRule>
  </conditionalFormatting>
  <conditionalFormatting sqref="S185">
    <cfRule type="expression" dxfId="530" priority="302" stopIfTrue="1">
      <formula>"esterreur(reference)"</formula>
    </cfRule>
  </conditionalFormatting>
  <conditionalFormatting sqref="K286">
    <cfRule type="expression" dxfId="529" priority="296" stopIfTrue="1">
      <formula>"esterreur(reference)"</formula>
    </cfRule>
  </conditionalFormatting>
  <conditionalFormatting sqref="AO408:AO413">
    <cfRule type="cellIs" dxfId="528" priority="248" operator="greaterThan">
      <formula>0</formula>
    </cfRule>
  </conditionalFormatting>
  <conditionalFormatting sqref="L71">
    <cfRule type="expression" dxfId="527" priority="247" stopIfTrue="1">
      <formula>"esterreur(reference)"</formula>
    </cfRule>
  </conditionalFormatting>
  <conditionalFormatting sqref="L210">
    <cfRule type="expression" dxfId="526" priority="241" stopIfTrue="1">
      <formula>"esterreur(reference)"</formula>
    </cfRule>
  </conditionalFormatting>
  <conditionalFormatting sqref="L122">
    <cfRule type="expression" dxfId="525" priority="245" stopIfTrue="1">
      <formula>"esterreur(reference)"</formula>
    </cfRule>
  </conditionalFormatting>
  <conditionalFormatting sqref="L266">
    <cfRule type="expression" dxfId="524" priority="239" stopIfTrue="1">
      <formula>"esterreur(reference)"</formula>
    </cfRule>
  </conditionalFormatting>
  <conditionalFormatting sqref="L135">
    <cfRule type="expression" dxfId="523" priority="243" stopIfTrue="1">
      <formula>"esterreur(reference)"</formula>
    </cfRule>
  </conditionalFormatting>
  <conditionalFormatting sqref="L330">
    <cfRule type="expression" dxfId="522" priority="237" stopIfTrue="1">
      <formula>"esterreur(reference)"</formula>
    </cfRule>
  </conditionalFormatting>
  <conditionalFormatting sqref="L75">
    <cfRule type="expression" dxfId="521" priority="235" stopIfTrue="1">
      <formula>"esterreur(reference)"</formula>
    </cfRule>
  </conditionalFormatting>
  <conditionalFormatting sqref="L60">
    <cfRule type="expression" dxfId="520" priority="233" stopIfTrue="1">
      <formula>"esterreur(reference)"</formula>
    </cfRule>
  </conditionalFormatting>
  <conditionalFormatting sqref="L59">
    <cfRule type="expression" dxfId="519" priority="234" stopIfTrue="1">
      <formula>"esterreur(reference)"</formula>
    </cfRule>
  </conditionalFormatting>
  <conditionalFormatting sqref="F5">
    <cfRule type="expression" dxfId="518" priority="232" stopIfTrue="1">
      <formula>"esterreur(reference)"</formula>
    </cfRule>
  </conditionalFormatting>
  <conditionalFormatting sqref="O25:Q30 Q18 O83:Q85 O41:Q41 O72:Q72 Q24 O13:O14 O16 O18:O24 O49:Q54 Q6:Q14 O31:P40 O42:P48">
    <cfRule type="expression" dxfId="517" priority="227" stopIfTrue="1">
      <formula>"esterreur(reference)"</formula>
    </cfRule>
  </conditionalFormatting>
  <conditionalFormatting sqref="P5">
    <cfRule type="expression" dxfId="516" priority="201" stopIfTrue="1">
      <formula>"esterreur(reference)"</formula>
    </cfRule>
  </conditionalFormatting>
  <conditionalFormatting sqref="Q32">
    <cfRule type="expression" dxfId="515" priority="222" stopIfTrue="1">
      <formula>"esterreur(reference)"</formula>
    </cfRule>
  </conditionalFormatting>
  <conditionalFormatting sqref="Q35">
    <cfRule type="expression" dxfId="514" priority="221" stopIfTrue="1">
      <formula>"esterreur(reference)"</formula>
    </cfRule>
  </conditionalFormatting>
  <conditionalFormatting sqref="O55:P56 O71:P71">
    <cfRule type="expression" dxfId="513" priority="228" stopIfTrue="1">
      <formula>"esterreur(reference)"</formula>
    </cfRule>
  </conditionalFormatting>
  <conditionalFormatting sqref="O61:P70">
    <cfRule type="expression" dxfId="512" priority="229" stopIfTrue="1">
      <formula>"esterreur(reference)"</formula>
    </cfRule>
  </conditionalFormatting>
  <conditionalFormatting sqref="O57:P59">
    <cfRule type="expression" dxfId="511" priority="230" stopIfTrue="1">
      <formula>"esterreur(reference)"</formula>
    </cfRule>
  </conditionalFormatting>
  <conditionalFormatting sqref="O60:P60">
    <cfRule type="expression" dxfId="510" priority="231" stopIfTrue="1">
      <formula>"esterreur(reference)"</formula>
    </cfRule>
  </conditionalFormatting>
  <conditionalFormatting sqref="Q19 Q21:Q23">
    <cfRule type="expression" dxfId="509" priority="225" stopIfTrue="1">
      <formula>"esterreur(reference)"</formula>
    </cfRule>
  </conditionalFormatting>
  <conditionalFormatting sqref="Q16:Q17">
    <cfRule type="expression" dxfId="508" priority="226" stopIfTrue="1">
      <formula>"esterreur(reference)"</formula>
    </cfRule>
  </conditionalFormatting>
  <conditionalFormatting sqref="Q20">
    <cfRule type="expression" dxfId="507" priority="224" stopIfTrue="1">
      <formula>"esterreur(reference)"</formula>
    </cfRule>
  </conditionalFormatting>
  <conditionalFormatting sqref="Q31 Q33:Q34">
    <cfRule type="expression" dxfId="506" priority="223" stopIfTrue="1">
      <formula>"esterreur(reference)"</formula>
    </cfRule>
  </conditionalFormatting>
  <conditionalFormatting sqref="Q42">
    <cfRule type="expression" dxfId="505" priority="219" stopIfTrue="1">
      <formula>"esterreur(reference)"</formula>
    </cfRule>
  </conditionalFormatting>
  <conditionalFormatting sqref="Q43">
    <cfRule type="expression" dxfId="504" priority="218" stopIfTrue="1">
      <formula>"esterreur(reference)"</formula>
    </cfRule>
  </conditionalFormatting>
  <conditionalFormatting sqref="Q44">
    <cfRule type="expression" dxfId="503" priority="217" stopIfTrue="1">
      <formula>"esterreur(reference)"</formula>
    </cfRule>
  </conditionalFormatting>
  <conditionalFormatting sqref="Q45:Q48">
    <cfRule type="expression" dxfId="502" priority="216" stopIfTrue="1">
      <formula>"esterreur(reference)"</formula>
    </cfRule>
  </conditionalFormatting>
  <conditionalFormatting sqref="Q55">
    <cfRule type="expression" dxfId="501" priority="215" stopIfTrue="1">
      <formula>"esterreur(reference)"</formula>
    </cfRule>
  </conditionalFormatting>
  <conditionalFormatting sqref="Q56">
    <cfRule type="expression" dxfId="500" priority="214" stopIfTrue="1">
      <formula>"esterreur(reference)"</formula>
    </cfRule>
  </conditionalFormatting>
  <conditionalFormatting sqref="Q58">
    <cfRule type="expression" dxfId="499" priority="213" stopIfTrue="1">
      <formula>"esterreur(reference)"</formula>
    </cfRule>
  </conditionalFormatting>
  <conditionalFormatting sqref="Q61">
    <cfRule type="expression" dxfId="498" priority="212" stopIfTrue="1">
      <formula>"esterreur(reference)"</formula>
    </cfRule>
  </conditionalFormatting>
  <conditionalFormatting sqref="Q63">
    <cfRule type="expression" dxfId="497" priority="211" stopIfTrue="1">
      <formula>"esterreur(reference)"</formula>
    </cfRule>
  </conditionalFormatting>
  <conditionalFormatting sqref="Q62">
    <cfRule type="expression" dxfId="496" priority="210" stopIfTrue="1">
      <formula>"esterreur(reference)"</formula>
    </cfRule>
  </conditionalFormatting>
  <conditionalFormatting sqref="Q64">
    <cfRule type="expression" dxfId="495" priority="209" stopIfTrue="1">
      <formula>"esterreur(reference)"</formula>
    </cfRule>
  </conditionalFormatting>
  <conditionalFormatting sqref="Q65">
    <cfRule type="expression" dxfId="494" priority="208" stopIfTrue="1">
      <formula>"esterreur(reference)"</formula>
    </cfRule>
  </conditionalFormatting>
  <conditionalFormatting sqref="Q66:Q69">
    <cfRule type="expression" dxfId="493" priority="207" stopIfTrue="1">
      <formula>"esterreur(reference)"</formula>
    </cfRule>
  </conditionalFormatting>
  <conditionalFormatting sqref="Q70">
    <cfRule type="expression" dxfId="492" priority="206" stopIfTrue="1">
      <formula>"esterreur(reference)"</formula>
    </cfRule>
  </conditionalFormatting>
  <conditionalFormatting sqref="Q75:Q82">
    <cfRule type="expression" dxfId="491" priority="205" stopIfTrue="1">
      <formula>"esterreur(reference)"</formula>
    </cfRule>
  </conditionalFormatting>
  <conditionalFormatting sqref="Q57">
    <cfRule type="expression" dxfId="490" priority="202" stopIfTrue="1">
      <formula>"esterreur(reference)"</formula>
    </cfRule>
  </conditionalFormatting>
  <conditionalFormatting sqref="Q5">
    <cfRule type="expression" dxfId="489" priority="200" stopIfTrue="1">
      <formula>"esterreur(reference)"</formula>
    </cfRule>
  </conditionalFormatting>
  <conditionalFormatting sqref="Q71">
    <cfRule type="expression" dxfId="488" priority="199" stopIfTrue="1">
      <formula>"esterreur(reference)"</formula>
    </cfRule>
  </conditionalFormatting>
  <conditionalFormatting sqref="Q60">
    <cfRule type="expression" dxfId="487" priority="196" stopIfTrue="1">
      <formula>"esterreur(reference)"</formula>
    </cfRule>
  </conditionalFormatting>
  <conditionalFormatting sqref="P98">
    <cfRule type="expression" dxfId="486" priority="195" stopIfTrue="1">
      <formula>"esterreur(reference)"</formula>
    </cfRule>
  </conditionalFormatting>
  <conditionalFormatting sqref="Q59">
    <cfRule type="expression" dxfId="485" priority="197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4" priority="191" stopIfTrue="1">
      <formula>"esterreur(reference)"</formula>
    </cfRule>
  </conditionalFormatting>
  <conditionalFormatting sqref="O141:P147">
    <cfRule type="expression" dxfId="483" priority="192" stopIfTrue="1">
      <formula>"esterreur(reference)"</formula>
    </cfRule>
  </conditionalFormatting>
  <conditionalFormatting sqref="O137:P139">
    <cfRule type="expression" dxfId="482" priority="193" stopIfTrue="1">
      <formula>"esterreur(reference)"</formula>
    </cfRule>
  </conditionalFormatting>
  <conditionalFormatting sqref="O140:P140">
    <cfRule type="expression" dxfId="481" priority="194" stopIfTrue="1">
      <formula>"esterreur(reference)"</formula>
    </cfRule>
  </conditionalFormatting>
  <conditionalFormatting sqref="Q94:Q95">
    <cfRule type="expression" dxfId="480" priority="190" stopIfTrue="1">
      <formula>"esterreur(reference)"</formula>
    </cfRule>
  </conditionalFormatting>
  <conditionalFormatting sqref="Q98">
    <cfRule type="expression" dxfId="479" priority="189" stopIfTrue="1">
      <formula>"esterreur(reference)"</formula>
    </cfRule>
  </conditionalFormatting>
  <conditionalFormatting sqref="Q99">
    <cfRule type="expression" dxfId="478" priority="188" stopIfTrue="1">
      <formula>"esterreur(reference)"</formula>
    </cfRule>
  </conditionalFormatting>
  <conditionalFormatting sqref="Q101">
    <cfRule type="expression" dxfId="477" priority="187" stopIfTrue="1">
      <formula>"esterreur(reference)"</formula>
    </cfRule>
  </conditionalFormatting>
  <conditionalFormatting sqref="Q102">
    <cfRule type="expression" dxfId="476" priority="186" stopIfTrue="1">
      <formula>"esterreur(reference)"</formula>
    </cfRule>
  </conditionalFormatting>
  <conditionalFormatting sqref="Q103">
    <cfRule type="expression" dxfId="475" priority="185" stopIfTrue="1">
      <formula>"esterreur(reference)"</formula>
    </cfRule>
  </conditionalFormatting>
  <conditionalFormatting sqref="Q111">
    <cfRule type="expression" dxfId="474" priority="184" stopIfTrue="1">
      <formula>"esterreur(reference)"</formula>
    </cfRule>
  </conditionalFormatting>
  <conditionalFormatting sqref="Q112">
    <cfRule type="expression" dxfId="473" priority="183" stopIfTrue="1">
      <formula>"esterreur(reference)"</formula>
    </cfRule>
  </conditionalFormatting>
  <conditionalFormatting sqref="Q114">
    <cfRule type="expression" dxfId="472" priority="182" stopIfTrue="1">
      <formula>"esterreur(reference)"</formula>
    </cfRule>
  </conditionalFormatting>
  <conditionalFormatting sqref="Q116:Q119">
    <cfRule type="expression" dxfId="471" priority="181" stopIfTrue="1">
      <formula>"esterreur(reference)"</formula>
    </cfRule>
  </conditionalFormatting>
  <conditionalFormatting sqref="Q120">
    <cfRule type="expression" dxfId="470" priority="180" stopIfTrue="1">
      <formula>"esterreur(reference)"</formula>
    </cfRule>
  </conditionalFormatting>
  <conditionalFormatting sqref="Q130">
    <cfRule type="expression" dxfId="469" priority="175" stopIfTrue="1">
      <formula>"esterreur(reference)"</formula>
    </cfRule>
  </conditionalFormatting>
  <conditionalFormatting sqref="Q124">
    <cfRule type="expression" dxfId="468" priority="179" stopIfTrue="1">
      <formula>"esterreur(reference)"</formula>
    </cfRule>
  </conditionalFormatting>
  <conditionalFormatting sqref="Q123">
    <cfRule type="expression" dxfId="467" priority="177" stopIfTrue="1">
      <formula>"esterreur(reference)"</formula>
    </cfRule>
  </conditionalFormatting>
  <conditionalFormatting sqref="Q139">
    <cfRule type="expression" dxfId="466" priority="168" stopIfTrue="1">
      <formula>"esterreur(reference)"</formula>
    </cfRule>
  </conditionalFormatting>
  <conditionalFormatting sqref="Q131">
    <cfRule type="expression" dxfId="465" priority="174" stopIfTrue="1">
      <formula>"esterreur(reference)"</formula>
    </cfRule>
  </conditionalFormatting>
  <conditionalFormatting sqref="Q132">
    <cfRule type="expression" dxfId="464" priority="173" stopIfTrue="1">
      <formula>"esterreur(reference)"</formula>
    </cfRule>
  </conditionalFormatting>
  <conditionalFormatting sqref="Q133">
    <cfRule type="expression" dxfId="463" priority="172" stopIfTrue="1">
      <formula>"esterreur(reference)"</formula>
    </cfRule>
  </conditionalFormatting>
  <conditionalFormatting sqref="Q141">
    <cfRule type="expression" dxfId="462" priority="166" stopIfTrue="1">
      <formula>"esterreur(reference)"</formula>
    </cfRule>
  </conditionalFormatting>
  <conditionalFormatting sqref="Q136">
    <cfRule type="expression" dxfId="461" priority="171" stopIfTrue="1">
      <formula>"esterreur(reference)"</formula>
    </cfRule>
  </conditionalFormatting>
  <conditionalFormatting sqref="Q137">
    <cfRule type="expression" dxfId="460" priority="170" stopIfTrue="1">
      <formula>"esterreur(reference)"</formula>
    </cfRule>
  </conditionalFormatting>
  <conditionalFormatting sqref="Q138">
    <cfRule type="expression" dxfId="459" priority="169" stopIfTrue="1">
      <formula>"esterreur(reference)"</formula>
    </cfRule>
  </conditionalFormatting>
  <conditionalFormatting sqref="Q143">
    <cfRule type="expression" dxfId="458" priority="164" stopIfTrue="1">
      <formula>"esterreur(reference)"</formula>
    </cfRule>
  </conditionalFormatting>
  <conditionalFormatting sqref="Q140">
    <cfRule type="expression" dxfId="457" priority="167" stopIfTrue="1">
      <formula>"esterreur(reference)"</formula>
    </cfRule>
  </conditionalFormatting>
  <conditionalFormatting sqref="Q142">
    <cfRule type="expression" dxfId="456" priority="165" stopIfTrue="1">
      <formula>"esterreur(reference)"</formula>
    </cfRule>
  </conditionalFormatting>
  <conditionalFormatting sqref="Q144">
    <cfRule type="expression" dxfId="455" priority="163" stopIfTrue="1">
      <formula>"esterreur(reference)"</formula>
    </cfRule>
  </conditionalFormatting>
  <conditionalFormatting sqref="Q145">
    <cfRule type="expression" dxfId="454" priority="162" stopIfTrue="1">
      <formula>"esterreur(reference)"</formula>
    </cfRule>
  </conditionalFormatting>
  <conditionalFormatting sqref="Q146">
    <cfRule type="expression" dxfId="453" priority="161" stopIfTrue="1">
      <formula>"esterreur(reference)"</formula>
    </cfRule>
  </conditionalFormatting>
  <conditionalFormatting sqref="Q147">
    <cfRule type="expression" dxfId="452" priority="160" stopIfTrue="1">
      <formula>"esterreur(reference)"</formula>
    </cfRule>
  </conditionalFormatting>
  <conditionalFormatting sqref="Q113">
    <cfRule type="expression" dxfId="451" priority="153" stopIfTrue="1">
      <formula>"esterreur(reference)"</formula>
    </cfRule>
  </conditionalFormatting>
  <conditionalFormatting sqref="Q155:Q161">
    <cfRule type="expression" dxfId="450" priority="157" stopIfTrue="1">
      <formula>"esterreur(reference)"</formula>
    </cfRule>
  </conditionalFormatting>
  <conditionalFormatting sqref="Q93">
    <cfRule type="expression" dxfId="449" priority="152" stopIfTrue="1">
      <formula>"esterreur(reference)"</formula>
    </cfRule>
  </conditionalFormatting>
  <conditionalFormatting sqref="Q115">
    <cfRule type="expression" dxfId="448" priority="154" stopIfTrue="1">
      <formula>"esterreur(reference)"</formula>
    </cfRule>
  </conditionalFormatting>
  <conditionalFormatting sqref="P93">
    <cfRule type="expression" dxfId="447" priority="151" stopIfTrue="1">
      <formula>"esterreur(reference)"</formula>
    </cfRule>
  </conditionalFormatting>
  <conditionalFormatting sqref="Q122">
    <cfRule type="expression" dxfId="446" priority="150" stopIfTrue="1">
      <formula>"esterreur(reference)"</formula>
    </cfRule>
  </conditionalFormatting>
  <conditionalFormatting sqref="Q135">
    <cfRule type="expression" dxfId="445" priority="149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4" priority="115" stopIfTrue="1">
      <formula>"esterreur(reference)"</formula>
    </cfRule>
  </conditionalFormatting>
  <conditionalFormatting sqref="O219:P224">
    <cfRule type="expression" dxfId="443" priority="116" stopIfTrue="1">
      <formula>"esterreur(reference)"</formula>
    </cfRule>
  </conditionalFormatting>
  <conditionalFormatting sqref="O196:Q196">
    <cfRule type="expression" dxfId="442" priority="117" stopIfTrue="1">
      <formula>"esterreur(reference)"</formula>
    </cfRule>
  </conditionalFormatting>
  <conditionalFormatting sqref="Q207">
    <cfRule type="expression" dxfId="441" priority="100" stopIfTrue="1">
      <formula>"esterreur(reference)"</formula>
    </cfRule>
  </conditionalFormatting>
  <conditionalFormatting sqref="Q227">
    <cfRule type="expression" dxfId="440" priority="96" stopIfTrue="1">
      <formula>"esterreur(reference)"</formula>
    </cfRule>
  </conditionalFormatting>
  <conditionalFormatting sqref="Q171">
    <cfRule type="expression" dxfId="439" priority="114" stopIfTrue="1">
      <formula>"esterreur(reference)"</formula>
    </cfRule>
  </conditionalFormatting>
  <conditionalFormatting sqref="Q174">
    <cfRule type="expression" dxfId="438" priority="113" stopIfTrue="1">
      <formula>"esterreur(reference)"</formula>
    </cfRule>
  </conditionalFormatting>
  <conditionalFormatting sqref="Q177">
    <cfRule type="expression" dxfId="437" priority="112" stopIfTrue="1">
      <formula>"esterreur(reference)"</formula>
    </cfRule>
  </conditionalFormatting>
  <conditionalFormatting sqref="Q183">
    <cfRule type="expression" dxfId="436" priority="111" stopIfTrue="1">
      <formula>"esterreur(reference)"</formula>
    </cfRule>
  </conditionalFormatting>
  <conditionalFormatting sqref="Q187">
    <cfRule type="expression" dxfId="435" priority="110" stopIfTrue="1">
      <formula>"esterreur(reference)"</formula>
    </cfRule>
  </conditionalFormatting>
  <conditionalFormatting sqref="Q197">
    <cfRule type="expression" dxfId="434" priority="109" stopIfTrue="1">
      <formula>"esterreur(reference)"</formula>
    </cfRule>
  </conditionalFormatting>
  <conditionalFormatting sqref="Q199">
    <cfRule type="expression" dxfId="433" priority="108" stopIfTrue="1">
      <formula>"esterreur(reference)"</formula>
    </cfRule>
  </conditionalFormatting>
  <conditionalFormatting sqref="Q198">
    <cfRule type="expression" dxfId="432" priority="107" stopIfTrue="1">
      <formula>"esterreur(reference)"</formula>
    </cfRule>
  </conditionalFormatting>
  <conditionalFormatting sqref="Q200">
    <cfRule type="expression" dxfId="431" priority="106" stopIfTrue="1">
      <formula>"esterreur(reference)"</formula>
    </cfRule>
  </conditionalFormatting>
  <conditionalFormatting sqref="Q201">
    <cfRule type="expression" dxfId="430" priority="105" stopIfTrue="1">
      <formula>"esterreur(reference)"</formula>
    </cfRule>
  </conditionalFormatting>
  <conditionalFormatting sqref="Q202:Q204">
    <cfRule type="expression" dxfId="429" priority="104" stopIfTrue="1">
      <formula>"esterreur(reference)"</formula>
    </cfRule>
  </conditionalFormatting>
  <conditionalFormatting sqref="Q206">
    <cfRule type="expression" dxfId="428" priority="101" stopIfTrue="1">
      <formula>"esterreur(reference)"</formula>
    </cfRule>
  </conditionalFormatting>
  <conditionalFormatting sqref="Q205">
    <cfRule type="expression" dxfId="427" priority="102" stopIfTrue="1">
      <formula>"esterreur(reference)"</formula>
    </cfRule>
  </conditionalFormatting>
  <conditionalFormatting sqref="Q208">
    <cfRule type="expression" dxfId="426" priority="99" stopIfTrue="1">
      <formula>"esterreur(reference)"</formula>
    </cfRule>
  </conditionalFormatting>
  <conditionalFormatting sqref="Q211:Q224">
    <cfRule type="expression" dxfId="425" priority="98" stopIfTrue="1">
      <formula>"esterreur(reference)"</formula>
    </cfRule>
  </conditionalFormatting>
  <conditionalFormatting sqref="Q225:Q226">
    <cfRule type="expression" dxfId="424" priority="97" stopIfTrue="1">
      <formula>"esterreur(reference)"</formula>
    </cfRule>
  </conditionalFormatting>
  <conditionalFormatting sqref="Q180">
    <cfRule type="expression" dxfId="423" priority="95" stopIfTrue="1">
      <formula>"esterreur(reference)"</formula>
    </cfRule>
  </conditionalFormatting>
  <conditionalFormatting sqref="P182">
    <cfRule type="expression" dxfId="422" priority="94" stopIfTrue="1">
      <formula>"esterreur(reference)"</formula>
    </cfRule>
  </conditionalFormatting>
  <conditionalFormatting sqref="P171">
    <cfRule type="expression" dxfId="421" priority="93" stopIfTrue="1">
      <formula>"esterreur(reference)"</formula>
    </cfRule>
  </conditionalFormatting>
  <conditionalFormatting sqref="P174">
    <cfRule type="expression" dxfId="420" priority="92" stopIfTrue="1">
      <formula>"esterreur(reference)"</formula>
    </cfRule>
  </conditionalFormatting>
  <conditionalFormatting sqref="P177">
    <cfRule type="expression" dxfId="419" priority="91" stopIfTrue="1">
      <formula>"esterreur(reference)"</formula>
    </cfRule>
  </conditionalFormatting>
  <conditionalFormatting sqref="P180">
    <cfRule type="expression" dxfId="418" priority="90" stopIfTrue="1">
      <formula>"esterreur(reference)"</formula>
    </cfRule>
  </conditionalFormatting>
  <conditionalFormatting sqref="P187">
    <cfRule type="expression" dxfId="417" priority="89" stopIfTrue="1">
      <formula>"esterreur(reference)"</formula>
    </cfRule>
  </conditionalFormatting>
  <conditionalFormatting sqref="P190">
    <cfRule type="expression" dxfId="416" priority="88" stopIfTrue="1">
      <formula>"esterreur(reference)"</formula>
    </cfRule>
  </conditionalFormatting>
  <conditionalFormatting sqref="Q210">
    <cfRule type="expression" dxfId="415" priority="87" stopIfTrue="1">
      <formula>"esterreur(reference)"</formula>
    </cfRule>
  </conditionalFormatting>
  <conditionalFormatting sqref="O287:Q287 O288:P288 O242:Q242 O251:Q252 O284:Q284 Q275:Q283 O253:P274">
    <cfRule type="expression" dxfId="414" priority="84" stopIfTrue="1">
      <formula>"esterreur(reference)"</formula>
    </cfRule>
  </conditionalFormatting>
  <conditionalFormatting sqref="O275:P280">
    <cfRule type="expression" dxfId="413" priority="85" stopIfTrue="1">
      <formula>"esterreur(reference)"</formula>
    </cfRule>
  </conditionalFormatting>
  <conditionalFormatting sqref="O281:P283">
    <cfRule type="expression" dxfId="412" priority="86" stopIfTrue="1">
      <formula>"esterreur(reference)"</formula>
    </cfRule>
  </conditionalFormatting>
  <conditionalFormatting sqref="Q271">
    <cfRule type="expression" dxfId="411" priority="66" stopIfTrue="1">
      <formula>"esterreur(reference)"</formula>
    </cfRule>
  </conditionalFormatting>
  <conditionalFormatting sqref="Q274">
    <cfRule type="expression" dxfId="410" priority="64" stopIfTrue="1">
      <formula>"esterreur(reference)"</formula>
    </cfRule>
  </conditionalFormatting>
  <conditionalFormatting sqref="Q243">
    <cfRule type="expression" dxfId="409" priority="83" stopIfTrue="1">
      <formula>"esterreur(reference)"</formula>
    </cfRule>
  </conditionalFormatting>
  <conditionalFormatting sqref="Q246">
    <cfRule type="expression" dxfId="408" priority="82" stopIfTrue="1">
      <formula>"esterreur(reference)"</formula>
    </cfRule>
  </conditionalFormatting>
  <conditionalFormatting sqref="Q253">
    <cfRule type="expression" dxfId="407" priority="81" stopIfTrue="1">
      <formula>"esterreur(reference)"</formula>
    </cfRule>
  </conditionalFormatting>
  <conditionalFormatting sqref="Q254">
    <cfRule type="expression" dxfId="406" priority="80" stopIfTrue="1">
      <formula>"esterreur(reference)"</formula>
    </cfRule>
  </conditionalFormatting>
  <conditionalFormatting sqref="Q255">
    <cfRule type="expression" dxfId="405" priority="79" stopIfTrue="1">
      <formula>"esterreur(reference)"</formula>
    </cfRule>
  </conditionalFormatting>
  <conditionalFormatting sqref="Q256">
    <cfRule type="expression" dxfId="404" priority="78" stopIfTrue="1">
      <formula>"esterreur(reference)"</formula>
    </cfRule>
  </conditionalFormatting>
  <conditionalFormatting sqref="Q257">
    <cfRule type="expression" dxfId="403" priority="77" stopIfTrue="1">
      <formula>"esterreur(reference)"</formula>
    </cfRule>
  </conditionalFormatting>
  <conditionalFormatting sqref="Q258">
    <cfRule type="expression" dxfId="402" priority="76" stopIfTrue="1">
      <formula>"esterreur(reference)"</formula>
    </cfRule>
  </conditionalFormatting>
  <conditionalFormatting sqref="Q259">
    <cfRule type="expression" dxfId="401" priority="75" stopIfTrue="1">
      <formula>"esterreur(reference)"</formula>
    </cfRule>
  </conditionalFormatting>
  <conditionalFormatting sqref="Q260">
    <cfRule type="expression" dxfId="400" priority="74" stopIfTrue="1">
      <formula>"esterreur(reference)"</formula>
    </cfRule>
  </conditionalFormatting>
  <conditionalFormatting sqref="Q261">
    <cfRule type="expression" dxfId="399" priority="73" stopIfTrue="1">
      <formula>"esterreur(reference)"</formula>
    </cfRule>
  </conditionalFormatting>
  <conditionalFormatting sqref="Q262">
    <cfRule type="expression" dxfId="398" priority="72" stopIfTrue="1">
      <formula>"esterreur(reference)"</formula>
    </cfRule>
  </conditionalFormatting>
  <conditionalFormatting sqref="Q263:Q264">
    <cfRule type="expression" dxfId="397" priority="71" stopIfTrue="1">
      <formula>"esterreur(reference)"</formula>
    </cfRule>
  </conditionalFormatting>
  <conditionalFormatting sqref="Q268">
    <cfRule type="expression" dxfId="396" priority="69" stopIfTrue="1">
      <formula>"esterreur(reference)"</formula>
    </cfRule>
  </conditionalFormatting>
  <conditionalFormatting sqref="Q267">
    <cfRule type="expression" dxfId="395" priority="70" stopIfTrue="1">
      <formula>"esterreur(reference)"</formula>
    </cfRule>
  </conditionalFormatting>
  <conditionalFormatting sqref="Q269">
    <cfRule type="expression" dxfId="394" priority="68" stopIfTrue="1">
      <formula>"esterreur(reference)"</formula>
    </cfRule>
  </conditionalFormatting>
  <conditionalFormatting sqref="Q270">
    <cfRule type="expression" dxfId="393" priority="67" stopIfTrue="1">
      <formula>"esterreur(reference)"</formula>
    </cfRule>
  </conditionalFormatting>
  <conditionalFormatting sqref="Q272:Q273">
    <cfRule type="expression" dxfId="392" priority="65" stopIfTrue="1">
      <formula>"esterreur(reference)"</formula>
    </cfRule>
  </conditionalFormatting>
  <conditionalFormatting sqref="P240">
    <cfRule type="expression" dxfId="391" priority="63" stopIfTrue="1">
      <formula>"esterreur(reference)"</formula>
    </cfRule>
  </conditionalFormatting>
  <conditionalFormatting sqref="P243">
    <cfRule type="expression" dxfId="390" priority="62" stopIfTrue="1">
      <formula>"esterreur(reference)"</formula>
    </cfRule>
  </conditionalFormatting>
  <conditionalFormatting sqref="P246">
    <cfRule type="expression" dxfId="389" priority="61" stopIfTrue="1">
      <formula>"esterreur(reference)"</formula>
    </cfRule>
  </conditionalFormatting>
  <conditionalFormatting sqref="Q240">
    <cfRule type="expression" dxfId="388" priority="60" stopIfTrue="1">
      <formula>"esterreur(reference)"</formula>
    </cfRule>
  </conditionalFormatting>
  <conditionalFormatting sqref="P286">
    <cfRule type="expression" dxfId="387" priority="59" stopIfTrue="1">
      <formula>"esterreur(reference)"</formula>
    </cfRule>
  </conditionalFormatting>
  <conditionalFormatting sqref="Q266">
    <cfRule type="expression" dxfId="386" priority="5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5" priority="56" stopIfTrue="1">
      <formula>"esterreur(reference)"</formula>
    </cfRule>
  </conditionalFormatting>
  <conditionalFormatting sqref="O316:Q316">
    <cfRule type="expression" dxfId="384" priority="57" stopIfTrue="1">
      <formula>"esterreur(reference)"</formula>
    </cfRule>
  </conditionalFormatting>
  <conditionalFormatting sqref="Q331:Q347">
    <cfRule type="expression" dxfId="383" priority="43" stopIfTrue="1">
      <formula>"esterreur(reference)"</formula>
    </cfRule>
  </conditionalFormatting>
  <conditionalFormatting sqref="Q325">
    <cfRule type="expression" dxfId="382" priority="47" stopIfTrue="1">
      <formula>"esterreur(reference)"</formula>
    </cfRule>
  </conditionalFormatting>
  <conditionalFormatting sqref="Q326">
    <cfRule type="expression" dxfId="381" priority="46" stopIfTrue="1">
      <formula>"esterreur(reference)"</formula>
    </cfRule>
  </conditionalFormatting>
  <conditionalFormatting sqref="Q327">
    <cfRule type="expression" dxfId="380" priority="45" stopIfTrue="1">
      <formula>"esterreur(reference)"</formula>
    </cfRule>
  </conditionalFormatting>
  <conditionalFormatting sqref="Q328">
    <cfRule type="expression" dxfId="379" priority="44" stopIfTrue="1">
      <formula>"esterreur(reference)"</formula>
    </cfRule>
  </conditionalFormatting>
  <conditionalFormatting sqref="Q294:Q300">
    <cfRule type="expression" dxfId="378" priority="55" stopIfTrue="1">
      <formula>"esterreur(reference)"</formula>
    </cfRule>
  </conditionalFormatting>
  <conditionalFormatting sqref="Q301">
    <cfRule type="expression" dxfId="377" priority="54" stopIfTrue="1">
      <formula>"esterreur(reference)"</formula>
    </cfRule>
  </conditionalFormatting>
  <conditionalFormatting sqref="Q302">
    <cfRule type="expression" dxfId="376" priority="53" stopIfTrue="1">
      <formula>"esterreur(reference)"</formula>
    </cfRule>
  </conditionalFormatting>
  <conditionalFormatting sqref="Q306">
    <cfRule type="expression" dxfId="375" priority="52" stopIfTrue="1">
      <formula>"esterreur(reference)"</formula>
    </cfRule>
  </conditionalFormatting>
  <conditionalFormatting sqref="Q307">
    <cfRule type="expression" dxfId="374" priority="51" stopIfTrue="1">
      <formula>"esterreur(reference)"</formula>
    </cfRule>
  </conditionalFormatting>
  <conditionalFormatting sqref="Q311">
    <cfRule type="expression" dxfId="373" priority="50" stopIfTrue="1">
      <formula>"esterreur(reference)"</formula>
    </cfRule>
  </conditionalFormatting>
  <conditionalFormatting sqref="Q317">
    <cfRule type="expression" dxfId="372" priority="49" stopIfTrue="1">
      <formula>"esterreur(reference)"</formula>
    </cfRule>
  </conditionalFormatting>
  <conditionalFormatting sqref="Q318">
    <cfRule type="expression" dxfId="371" priority="48" stopIfTrue="1">
      <formula>"esterreur(reference)"</formula>
    </cfRule>
  </conditionalFormatting>
  <conditionalFormatting sqref="O306:O307">
    <cfRule type="expression" dxfId="370" priority="42" stopIfTrue="1">
      <formula>"esterreur(reference)"</formula>
    </cfRule>
  </conditionalFormatting>
  <conditionalFormatting sqref="O311">
    <cfRule type="expression" dxfId="369" priority="41" stopIfTrue="1">
      <formula>"esterreur(reference)"</formula>
    </cfRule>
  </conditionalFormatting>
  <conditionalFormatting sqref="Q330">
    <cfRule type="expression" dxfId="368" priority="40" stopIfTrue="1">
      <formula>"esterreur(reference)"</formula>
    </cfRule>
  </conditionalFormatting>
  <conditionalFormatting sqref="O363:Q363 O364:P375">
    <cfRule type="expression" dxfId="367" priority="34" stopIfTrue="1">
      <formula>"esterreur(reference)"</formula>
    </cfRule>
  </conditionalFormatting>
  <conditionalFormatting sqref="O358:Q358">
    <cfRule type="expression" dxfId="366" priority="35" stopIfTrue="1">
      <formula>"esterreur(reference)"</formula>
    </cfRule>
  </conditionalFormatting>
  <conditionalFormatting sqref="O376:Q376 O377:P392">
    <cfRule type="expression" dxfId="365" priority="36" stopIfTrue="1">
      <formula>"esterreur(reference)"</formula>
    </cfRule>
  </conditionalFormatting>
  <conditionalFormatting sqref="O395:Q398 O393:P393">
    <cfRule type="expression" dxfId="364" priority="37" stopIfTrue="1">
      <formula>"esterreur(reference)"</formula>
    </cfRule>
  </conditionalFormatting>
  <conditionalFormatting sqref="O360:Q362 P359">
    <cfRule type="expression" dxfId="363" priority="38" stopIfTrue="1">
      <formula>"esterreur(reference)"</formula>
    </cfRule>
  </conditionalFormatting>
  <conditionalFormatting sqref="P394">
    <cfRule type="expression" dxfId="362" priority="39" stopIfTrue="1">
      <formula>"esterreur(reference)"</formula>
    </cfRule>
  </conditionalFormatting>
  <conditionalFormatting sqref="Q364:Q375">
    <cfRule type="expression" dxfId="361" priority="33" stopIfTrue="1">
      <formula>"esterreur(reference)"</formula>
    </cfRule>
  </conditionalFormatting>
  <conditionalFormatting sqref="Q377:Q393">
    <cfRule type="expression" dxfId="360" priority="32" stopIfTrue="1">
      <formula>"esterreur(reference)"</formula>
    </cfRule>
  </conditionalFormatting>
  <conditionalFormatting sqref="O359">
    <cfRule type="expression" dxfId="359" priority="31" stopIfTrue="1">
      <formula>"esterreur(reference)"</formula>
    </cfRule>
  </conditionalFormatting>
  <conditionalFormatting sqref="Q359">
    <cfRule type="expression" dxfId="358" priority="30" stopIfTrue="1">
      <formula>"esterreur(reference)"</formula>
    </cfRule>
  </conditionalFormatting>
  <conditionalFormatting sqref="Q36:Q40">
    <cfRule type="expression" dxfId="357" priority="29" stopIfTrue="1">
      <formula>"esterreur(reference)"</formula>
    </cfRule>
  </conditionalFormatting>
  <conditionalFormatting sqref="L68">
    <cfRule type="expression" dxfId="356" priority="28" stopIfTrue="1">
      <formula>"esterreur(reference)"</formula>
    </cfRule>
  </conditionalFormatting>
  <conditionalFormatting sqref="Q149:Q151">
    <cfRule type="expression" dxfId="355" priority="19" stopIfTrue="1">
      <formula>"esterreur(reference)"</formula>
    </cfRule>
  </conditionalFormatting>
  <conditionalFormatting sqref="H148 J148:K148">
    <cfRule type="expression" dxfId="354" priority="26" stopIfTrue="1">
      <formula>"esterreur(reference)"</formula>
    </cfRule>
  </conditionalFormatting>
  <conditionalFormatting sqref="L148">
    <cfRule type="expression" dxfId="353" priority="25" stopIfTrue="1">
      <formula>"esterreur(reference)"</formula>
    </cfRule>
  </conditionalFormatting>
  <conditionalFormatting sqref="O148:P148">
    <cfRule type="expression" dxfId="352" priority="24" stopIfTrue="1">
      <formula>"esterreur(reference)"</formula>
    </cfRule>
  </conditionalFormatting>
  <conditionalFormatting sqref="Q148">
    <cfRule type="expression" dxfId="351" priority="23" stopIfTrue="1">
      <formula>"esterreur(reference)"</formula>
    </cfRule>
  </conditionalFormatting>
  <conditionalFormatting sqref="H149:H151 J149:K151">
    <cfRule type="expression" dxfId="350" priority="22" stopIfTrue="1">
      <formula>"esterreur(reference)"</formula>
    </cfRule>
  </conditionalFormatting>
  <conditionalFormatting sqref="L149:L151">
    <cfRule type="expression" dxfId="349" priority="21" stopIfTrue="1">
      <formula>"esterreur(reference)"</formula>
    </cfRule>
  </conditionalFormatting>
  <conditionalFormatting sqref="O149:P151">
    <cfRule type="expression" dxfId="348" priority="20" stopIfTrue="1">
      <formula>"esterreur(reference)"</formula>
    </cfRule>
  </conditionalFormatting>
  <conditionalFormatting sqref="L158:L161">
    <cfRule type="expression" dxfId="347" priority="18" stopIfTrue="1">
      <formula>"esterreur(reference)"</formula>
    </cfRule>
  </conditionalFormatting>
  <conditionalFormatting sqref="AG414:AI417">
    <cfRule type="cellIs" dxfId="346" priority="16" operator="greaterThan">
      <formula>0</formula>
    </cfRule>
  </conditionalFormatting>
  <conditionalFormatting sqref="AO414:AO417">
    <cfRule type="cellIs" dxfId="345" priority="15" operator="greaterThan">
      <formula>0</formula>
    </cfRule>
  </conditionalFormatting>
  <conditionalFormatting sqref="G31:G32">
    <cfRule type="expression" dxfId="344" priority="1" stopIfTrue="1">
      <formula>"esterreur(reference)"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view="pageBreakPreview" topLeftCell="C1" zoomScale="85" zoomScaleNormal="55" zoomScaleSheetLayoutView="85" workbookViewId="0">
      <selection activeCell="J31" sqref="J31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4.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3.875" style="570" customWidth="1"/>
    <col min="19" max="19" width="18.625" style="570" customWidth="1"/>
    <col min="20" max="20" width="3" style="570" customWidth="1"/>
    <col min="21" max="21" width="8.75" style="570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0.875" style="570" customWidth="1"/>
    <col min="31" max="31" width="12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2.375" style="570" customWidth="1"/>
    <col min="36" max="36" width="10.875" style="570" customWidth="1"/>
    <col min="37" max="37" width="10" style="570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34" t="s">
        <v>77</v>
      </c>
      <c r="E3" s="1135"/>
      <c r="F3" s="1136"/>
      <c r="G3" s="1137" t="s">
        <v>78</v>
      </c>
      <c r="H3" s="1135"/>
      <c r="I3" s="1136"/>
      <c r="J3" s="1137" t="s">
        <v>79</v>
      </c>
      <c r="K3" s="1135"/>
      <c r="L3" s="1136"/>
      <c r="M3" s="1137" t="s">
        <v>80</v>
      </c>
      <c r="N3" s="1136"/>
      <c r="O3" s="1134" t="s">
        <v>81</v>
      </c>
      <c r="P3" s="1135"/>
      <c r="Q3" s="1136"/>
      <c r="R3" s="1137" t="s">
        <v>82</v>
      </c>
      <c r="S3" s="1138"/>
      <c r="T3" s="25"/>
      <c r="U3" s="25"/>
      <c r="V3" s="969"/>
      <c r="W3" s="982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/>
      <c r="W4" s="982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3007127.0993966693</v>
      </c>
      <c r="G5" s="310"/>
      <c r="H5" s="422"/>
      <c r="I5" s="627">
        <f>+SUMPRODUCT(('Budget révisé'!$A$8:$A$496=$A5)*('Budget révisé'!$C$3:$AO$3=I$2),'Budget révisé'!$C$8:$AO$496)</f>
        <v>3007127.0993966693</v>
      </c>
      <c r="J5" s="310"/>
      <c r="K5" s="184"/>
      <c r="L5" s="177">
        <f>-SUMIFS(BV_Data_An_Cour!$P:$P,BV_Data_An_Cour!$X:$X,"Oui",BV_Data_An_Cour!$U:$U,$B5)</f>
        <v>6260698.2200000016</v>
      </c>
      <c r="M5" s="423"/>
      <c r="N5" s="424"/>
      <c r="O5" s="310"/>
      <c r="P5" s="184"/>
      <c r="Q5" s="177">
        <f>-SUMIFS(BV_Data_An_Prec!$P:$P,BV_Data_An_Prec!$X:$X,"Oui",BV_Data_An_Prec!$U:$U,$B5)</f>
        <v>6984757.7400000012</v>
      </c>
      <c r="R5" s="423"/>
      <c r="S5" s="425"/>
      <c r="T5" s="222"/>
      <c r="U5" s="222"/>
      <c r="V5" s="983"/>
      <c r="W5" s="98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64.566818572560095</v>
      </c>
      <c r="E6" s="179">
        <f>IF(D6=0,0,F6/D6)</f>
        <v>604.29042904290429</v>
      </c>
      <c r="F6" s="179">
        <f>+SUMPRODUCT(('Budget original'!$A$8:$A$496=$A6)*('Budget original'!$C$3:$AO$3=F$2),'Budget original'!$C$8:$AO$496)</f>
        <v>39017.110497147703</v>
      </c>
      <c r="G6" s="182">
        <f>+SUMPRODUCT(('Budget révisé'!$A$8:$A$496=$A6)*('Budget révisé'!$C$3:$AO$3=G$2),'Budget révisé'!$C$8:$AO$496)</f>
        <v>64.566818572560095</v>
      </c>
      <c r="H6" s="179">
        <f>IF(G6=0,0,I6/G6)</f>
        <v>955.05621789951272</v>
      </c>
      <c r="I6" s="179">
        <f>+SUMPRODUCT(('Budget révisé'!$A$8:$A$496=$A6)*('Budget révisé'!$C$3:$AO$3=I$2),'Budget révisé'!$C$8:$AO$496)</f>
        <v>61664.941547713257</v>
      </c>
      <c r="J6" s="182">
        <f>-SUMIFS(BV_Data_An_Cour!$P:$P,BV_Data_An_Cour!$U:$U,$B6,BV_Data_An_Cour!$V:$V,$C6,BV_Data_An_Cour!$W:$W,J$2)</f>
        <v>54</v>
      </c>
      <c r="K6" s="179">
        <f>IF(J6=0,0,L6/J6)</f>
        <v>1123.9203703703718</v>
      </c>
      <c r="L6" s="554">
        <f>-SUMIFS(BV_Data_An_Cour!$P:$P,BV_Data_An_Cour!$U:$U,$B6,BV_Data_An_Cour!$V:$V,$C6,BV_Data_An_Cour!$W:$W,L$2)</f>
        <v>60691.70000000007</v>
      </c>
      <c r="M6" s="182">
        <f t="shared" ref="M6" si="2">J6-G6</f>
        <v>-10.566818572560095</v>
      </c>
      <c r="N6" s="180">
        <f>L6-I6</f>
        <v>-973.24154771318717</v>
      </c>
      <c r="O6" s="987">
        <f>-SUMIFS(BV_Data_An_Prec!$P:$P,BV_Data_An_Prec!$U:$U,$B6,BV_Data_An_Prec!$V:$V,$C6,BV_Data_An_Prec!$W:$W,O$2)-3</f>
        <v>104</v>
      </c>
      <c r="P6" s="179">
        <f>IF(O6=0,0,Q6/O6)</f>
        <v>586.06971153846268</v>
      </c>
      <c r="Q6" s="554">
        <f>-SUMIFS(BV_Data_An_Prec!$P:$P,BV_Data_An_Prec!$U:$U,$B6,BV_Data_An_Prec!$V:$V,$C6,BV_Data_An_Prec!$W:$W,Q$2)</f>
        <v>60951.250000000116</v>
      </c>
      <c r="R6" s="182">
        <f t="shared" ref="R6" si="3">J6-O6</f>
        <v>-50</v>
      </c>
      <c r="S6" s="399">
        <f t="shared" ref="S6" si="4">L6-Q6</f>
        <v>-259.55000000004657</v>
      </c>
      <c r="T6" s="222"/>
      <c r="U6" s="222"/>
      <c r="V6" s="983"/>
      <c r="W6" s="98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86.728366861491608</v>
      </c>
      <c r="E7" s="179">
        <f t="shared" ref="E7:E12" si="6">IF(D7=0,0,F7/D7)</f>
        <v>1315.4791154791155</v>
      </c>
      <c r="F7" s="179">
        <f>+SUMPRODUCT(('Budget original'!$A$8:$A$496=$A7)*('Budget original'!$C$3:$AO$3=F$2),'Budget original'!$C$8:$AO$496)</f>
        <v>114089.35532590322</v>
      </c>
      <c r="G7" s="182">
        <f>+SUMPRODUCT(('Budget révisé'!$A$8:$A$496=$A7)*('Budget révisé'!$C$3:$AO$3=G$2),'Budget révisé'!$C$8:$AO$496)</f>
        <v>86.728366861491608</v>
      </c>
      <c r="H7" s="179">
        <f t="shared" ref="H7:H12" si="7">IF(G7=0,0,I7/G7)</f>
        <v>1702.6668817908317</v>
      </c>
      <c r="I7" s="179">
        <f>+SUMPRODUCT(('Budget révisé'!$A$8:$A$496=$A7)*('Budget révisé'!$C$3:$AO$3=I$2),'Budget révisé'!$C$8:$AO$496)</f>
        <v>147669.51796686722</v>
      </c>
      <c r="J7" s="182">
        <f>-SUMIFS(BV_Data_An_Cour!$P:$P,BV_Data_An_Cour!$U:$U,$B7,BV_Data_An_Cour!$V:$V,$C7,BV_Data_An_Cour!$W:$W,J$2)</f>
        <v>71</v>
      </c>
      <c r="K7" s="179">
        <f t="shared" ref="K7:K12" si="8">IF(J7=0,0,L7/J7)</f>
        <v>2030.2205633802871</v>
      </c>
      <c r="L7" s="554">
        <f>-SUMIFS(BV_Data_An_Cour!$P:$P,BV_Data_An_Cour!$U:$U,$B7,BV_Data_An_Cour!$V:$V,$C7,BV_Data_An_Cour!$W:$W,L$2)</f>
        <v>144145.66000000038</v>
      </c>
      <c r="M7" s="182">
        <f t="shared" ref="M7:M12" si="9">J7-G7</f>
        <v>-15.728366861491608</v>
      </c>
      <c r="N7" s="180">
        <f t="shared" ref="N7:N12" si="10">L7-I7</f>
        <v>-3523.857966866839</v>
      </c>
      <c r="O7" s="182">
        <f>-SUMIFS(BV_Data_An_Prec!$P:$P,BV_Data_An_Prec!$U:$U,$B7,BV_Data_An_Prec!$V:$V,$C7,BV_Data_An_Prec!$W:$W,O$2)</f>
        <v>87</v>
      </c>
      <c r="P7" s="179">
        <f t="shared" ref="P7:P12" si="11">IF(O7=0,0,Q7/O7)</f>
        <v>634.41724137930817</v>
      </c>
      <c r="Q7" s="554">
        <f>-SUMIFS(BV_Data_An_Prec!$P:$P,BV_Data_An_Prec!$U:$U,$B7,BV_Data_An_Prec!$V:$V,$C7,BV_Data_An_Prec!$W:$W,Q$2)</f>
        <v>55194.299999999814</v>
      </c>
      <c r="R7" s="182">
        <f t="shared" ref="R7:R12" si="12">J7-O7</f>
        <v>-16</v>
      </c>
      <c r="S7" s="399">
        <f t="shared" ref="S7:S12" si="13">L7-Q7</f>
        <v>88951.360000000568</v>
      </c>
      <c r="T7" s="222"/>
      <c r="U7" s="222"/>
      <c r="V7" s="969"/>
      <c r="W7" s="982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151.29518543405169</v>
      </c>
      <c r="E13" s="401">
        <f>IF(D13&lt;=0,0,F13/D13)</f>
        <v>1011.9718309859157</v>
      </c>
      <c r="F13" s="402">
        <f>+SUM(F6:F12)</f>
        <v>153106.46582305094</v>
      </c>
      <c r="G13" s="403">
        <f>+SUM(G6:G12)</f>
        <v>151.29518543405169</v>
      </c>
      <c r="H13" s="401">
        <f>IF(G13&lt;=0,0,I13/G13)</f>
        <v>1383.6161336794662</v>
      </c>
      <c r="I13" s="402">
        <f>+SUM(I6:I12)</f>
        <v>209334.45951458049</v>
      </c>
      <c r="J13" s="403">
        <f>+SUM(J6:J12)</f>
        <v>125</v>
      </c>
      <c r="K13" s="401">
        <f>IF(J13&lt;=0,0,L13/J13)</f>
        <v>1638.6988800000036</v>
      </c>
      <c r="L13" s="402">
        <f>+SUM(L6:L12)</f>
        <v>204837.36000000045</v>
      </c>
      <c r="M13" s="403">
        <f>+SUM(M6:M12)</f>
        <v>-26.295185434051703</v>
      </c>
      <c r="N13" s="402">
        <f>+SUM(N6:N12)</f>
        <v>-4497.0995145800262</v>
      </c>
      <c r="O13" s="403">
        <f>+SUM(O6:O12)</f>
        <v>191</v>
      </c>
      <c r="P13" s="401">
        <f>IF(O13&lt;=0,0,Q13/O13)</f>
        <v>608.09188481675358</v>
      </c>
      <c r="Q13" s="402">
        <f>+SUM(Q6:Q12)</f>
        <v>116145.54999999993</v>
      </c>
      <c r="R13" s="403">
        <f>+SUM(R6:R12)</f>
        <v>-66</v>
      </c>
      <c r="S13" s="404">
        <f>+SUM(S6:S12)</f>
        <v>88691.810000000522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-0.17380054334586578</v>
      </c>
      <c r="N14" s="332">
        <f>IF(I13=0,0,N13/I13)</f>
        <v>-2.1482843890146982E-2</v>
      </c>
      <c r="O14" s="303"/>
      <c r="P14" s="179"/>
      <c r="Q14" s="312"/>
      <c r="R14" s="362">
        <f>R13/O13</f>
        <v>-0.34554973821989526</v>
      </c>
      <c r="S14" s="333">
        <f>IF(Q13=0,0,(S13/Q13))</f>
        <v>0.76362641530390596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15.768793974816656</v>
      </c>
      <c r="E15" s="184">
        <f t="shared" ref="E15" si="14">IF(D15=0,0,F15/D15)</f>
        <v>400.00000000000006</v>
      </c>
      <c r="F15" s="177">
        <f>+SUMPRODUCT(('Budget original'!$A$8:$A$496=$A15)*('Budget original'!$C$3:$AO$3=F$2),'Budget original'!$C$8:$AO$496)</f>
        <v>6307.5175899266633</v>
      </c>
      <c r="G15" s="183">
        <f>+SUMPRODUCT(('Budget révisé'!$A$8:$A$496=$A15)*('Budget révisé'!$C$3:$AO$3=G$2),'Budget révisé'!$C$8:$AO$496)</f>
        <v>15.768793974816656</v>
      </c>
      <c r="H15" s="407">
        <f t="shared" ref="H15" si="15">IF(G15=0,0,I15/G15)</f>
        <v>790.03378359300473</v>
      </c>
      <c r="I15" s="405">
        <f>+SUMPRODUCT(('Budget révisé'!$A$8:$A$496=$A15)*('Budget révisé'!$C$3:$AO$3=I$2),'Budget révisé'!$C$8:$AO$496)</f>
        <v>12457.879966622979</v>
      </c>
      <c r="J15" s="548">
        <f>-SUMIFS(BV_Data_An_Cour!$P:$P,BV_Data_An_Cour!$U:$U,$B15,BV_Data_An_Cour!$V:$V,$C15,BV_Data_An_Cour!$W:$W,J$2)</f>
        <v>24</v>
      </c>
      <c r="K15" s="549">
        <f>IF(J15=0,0,L15/J15)</f>
        <v>789.10458333333372</v>
      </c>
      <c r="L15" s="549">
        <f>-SUMIFS(BV_Data_An_Cour!$P:$P,BV_Data_An_Cour!$U:$U,$B15,BV_Data_An_Cour!$V:$V,$C15,BV_Data_An_Cour!$W:$W,L$2)</f>
        <v>18938.510000000009</v>
      </c>
      <c r="M15" s="406">
        <f>J15-G15</f>
        <v>8.2312060251833437</v>
      </c>
      <c r="N15" s="405">
        <f>L15-I15</f>
        <v>6480.6300333770305</v>
      </c>
      <c r="O15" s="548">
        <f>-SUMIFS(BV_Data_An_Prec!$P:$P,BV_Data_An_Prec!$U:$U,$B15,BV_Data_An_Prec!$V:$V,$C15,BV_Data_An_Prec!$W:$W,O$2)</f>
        <v>0</v>
      </c>
      <c r="P15" s="549">
        <f>IF(O15=0,0,Q15/O15)</f>
        <v>0</v>
      </c>
      <c r="Q15" s="549">
        <f>-SUMIFS(BV_Data_An_Prec!$P:$P,BV_Data_An_Prec!$U:$U,$B15,BV_Data_An_Prec!$V:$V,$C15,BV_Data_An_Prec!$W:$W,Q$2)</f>
        <v>0</v>
      </c>
      <c r="R15" s="406">
        <f>J15-O15</f>
        <v>24</v>
      </c>
      <c r="S15" s="427">
        <f>L15-Q15</f>
        <v>18938.510000000009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6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3.6650647158284415</v>
      </c>
      <c r="H17" s="179">
        <f t="shared" ref="H17" si="17">IF(G17=0,0,I17/G17)</f>
        <v>800</v>
      </c>
      <c r="I17" s="179">
        <f>+SUMPRODUCT(('Budget révisé'!$A$8:$A$496=$A17)*('Budget révisé'!$C$3:$AO$3=I$2),'Budget révisé'!$C$8:$AO$496)</f>
        <v>2932.0517726627531</v>
      </c>
      <c r="J17" s="406">
        <f>-SUMIFS(BV_Data_An_Cour!$P:$P,BV_Data_An_Cour!$U:$U,$B17,BV_Data_An_Cour!$V:$V,$C17,BV_Data_An_Cour!$W:$W,J$2)</f>
        <v>8</v>
      </c>
      <c r="K17" s="179">
        <f>IF(J17=0,0,L17/J17)</f>
        <v>1008.28125</v>
      </c>
      <c r="L17" s="180">
        <f>-SUMIFS(BV_Data_An_Cour!$P:$P,BV_Data_An_Cour!$U:$U,$B17,BV_Data_An_Cour!$V:$V,$C17,BV_Data_An_Cour!$W:$W,L$2)</f>
        <v>8066.25</v>
      </c>
      <c r="M17" s="406">
        <f>J17-G17</f>
        <v>4.3349352841715589</v>
      </c>
      <c r="N17" s="180">
        <f>L17-I17</f>
        <v>5134.1982273372469</v>
      </c>
      <c r="O17" s="406">
        <f>-SUMIFS(BV_Data_An_Prec!$P:$P,BV_Data_An_Prec!$U:$U,$B17,BV_Data_An_Prec!$V:$V,$C17,BV_Data_An_Prec!$W:$W,O$2)</f>
        <v>0</v>
      </c>
      <c r="P17" s="179">
        <f>IF(O17=0,0,Q17/O17)</f>
        <v>0</v>
      </c>
      <c r="Q17" s="180">
        <f>-SUMIFS(BV_Data_An_Prec!$P:$P,BV_Data_An_Prec!$U:$U,$B17,BV_Data_An_Prec!$V:$V,$C17,BV_Data_An_Prec!$W:$W,Q$2)</f>
        <v>0</v>
      </c>
      <c r="R17" s="182">
        <f>J17-O17</f>
        <v>8</v>
      </c>
      <c r="S17" s="399">
        <f>L17-Q17</f>
        <v>8066.25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8">IF(D19=0,0,F19/D19)</f>
        <v>0</v>
      </c>
      <c r="F19" s="179">
        <f>+SUMPRODUCT(('Budget original'!$A$8:$A$496=$A19)*('Budget original'!$C$3:$AO$3=F$2),'Budget original'!$C$8:$AO$496)</f>
        <v>15000</v>
      </c>
      <c r="G19" s="182">
        <f>+SUMPRODUCT(('Budget révisé'!$A$8:$A$496=$A19)*('Budget révisé'!$C$3:$AO$3=G$2),'Budget révisé'!$C$8:$AO$496)</f>
        <v>0</v>
      </c>
      <c r="H19" s="179">
        <f t="shared" ref="H19" si="19">IF(G19=0,0,I19/G19)</f>
        <v>0</v>
      </c>
      <c r="I19" s="179">
        <f>+SUMPRODUCT(('Budget révisé'!$A$8:$A$496=$A19)*('Budget révisé'!$C$3:$AO$3=I$2),'Budget révisé'!$C$8:$AO$496)</f>
        <v>15000</v>
      </c>
      <c r="J19" s="183"/>
      <c r="K19" s="179"/>
      <c r="L19" s="180">
        <f>-SUMIFS(BV_Data_An_Cour!$P:$P,BV_Data_An_Cour!$U:$U,$B19,BV_Data_An_Cour!$V:$V,$C19,BV_Data_An_Cour!$W:$W,L$2)</f>
        <v>8770.7700000000186</v>
      </c>
      <c r="M19" s="182"/>
      <c r="N19" s="180">
        <f>L19-I19</f>
        <v>-6229.2299999999814</v>
      </c>
      <c r="O19" s="183"/>
      <c r="P19" s="179"/>
      <c r="Q19" s="180">
        <f>-SUMIFS(BV_Data_An_Prec!$P:$P,BV_Data_An_Prec!$U:$U,$B19,BV_Data_An_Prec!$V:$V,$C19,BV_Data_An_Prec!$W:$W,Q$2)</f>
        <v>16477.660000000003</v>
      </c>
      <c r="R19" s="182">
        <f>O19-K19</f>
        <v>0</v>
      </c>
      <c r="S19" s="399">
        <f>L19-Q19</f>
        <v>-7706.8899999999849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0">IF(D21=0,0,F21/D21)</f>
        <v>0</v>
      </c>
      <c r="F21" s="179">
        <f>+SUMPRODUCT(('Budget original'!$A$8:$A$496=$A21)*('Budget original'!$C$3:$AO$3=F$2),'Budget original'!$C$8:$AO$496)</f>
        <v>15717.344780937296</v>
      </c>
      <c r="G21" s="303">
        <f>+SUMPRODUCT(('Budget révisé'!$A$8:$A$496=$A21)*('Budget révisé'!$C$3:$AO$3=G$2),'Budget révisé'!$C$8:$AO$496)</f>
        <v>0</v>
      </c>
      <c r="H21" s="179">
        <f t="shared" ref="H21:H23" si="21">IF(G21=0,0,I21/G21)</f>
        <v>0</v>
      </c>
      <c r="I21" s="179">
        <f>+SUMPRODUCT(('Budget révisé'!$A$8:$A$496=$A21)*('Budget révisé'!$C$3:$AO$3=I$2),'Budget révisé'!$C$8:$AO$496)</f>
        <v>15717.344780937296</v>
      </c>
      <c r="J21" s="182"/>
      <c r="K21" s="179">
        <f>IF(J13=0,0,L21/(J13+J15))</f>
        <v>-7.2820134228187916</v>
      </c>
      <c r="L21" s="180">
        <f>-SUMIFS(BV_Data_An_Cour!$P:$P,BV_Data_An_Cour!$U:$U,$B21,BV_Data_An_Cour!$V:$V,$C21,BV_Data_An_Cour!$W:$W,L$2)</f>
        <v>-1085.02</v>
      </c>
      <c r="M21" s="182"/>
      <c r="N21" s="180">
        <f t="shared" ref="N21:N24" si="22">L21-I21</f>
        <v>-16802.364780937296</v>
      </c>
      <c r="O21" s="182"/>
      <c r="P21" s="179">
        <f>IF(O13=0,0,Q21/(O13+O15))</f>
        <v>131.64502617801048</v>
      </c>
      <c r="Q21" s="180">
        <f>-SUMIFS(BV_Data_An_Prec!$P:$P,BV_Data_An_Prec!$U:$U,$B21,BV_Data_An_Prec!$V:$V,$C21,BV_Data_An_Prec!$W:$W,Q$2)</f>
        <v>25144.2</v>
      </c>
      <c r="R21" s="182">
        <f t="shared" ref="R21:R23" si="23">O21-K21</f>
        <v>7.2820134228187916</v>
      </c>
      <c r="S21" s="399">
        <f t="shared" ref="S21:S24" si="24">L21-Q21</f>
        <v>-26229.22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0"/>
        <v>0</v>
      </c>
      <c r="F22" s="179">
        <f>+SUMPRODUCT(('Budget original'!$A$8:$A$496=$A22)*('Budget original'!$C$3:$AO$3=F$2),'Budget original'!$C$8:$AO$496)</f>
        <v>123180.12072502017</v>
      </c>
      <c r="G22" s="303">
        <f>+SUMPRODUCT(('Budget révisé'!$A$8:$A$496=$A22)*('Budget révisé'!$C$3:$AO$3=G$2),'Budget révisé'!$C$8:$AO$496)</f>
        <v>0</v>
      </c>
      <c r="H22" s="179">
        <f t="shared" si="21"/>
        <v>0</v>
      </c>
      <c r="I22" s="179">
        <f>+SUMPRODUCT(('Budget révisé'!$A$8:$A$496=$A22)*('Budget révisé'!$C$3:$AO$3=I$2),'Budget révisé'!$C$8:$AO$496)</f>
        <v>123180.12072502017</v>
      </c>
      <c r="J22" s="182"/>
      <c r="K22" s="179">
        <f>IF(J13=0,0,L22/(J13+J15))</f>
        <v>672.32328859060397</v>
      </c>
      <c r="L22" s="180">
        <f>-SUMIFS(BV_Data_An_Cour!$P:$P,BV_Data_An_Cour!$U:$U,$B22,BV_Data_An_Cour!$V:$V,$C22,BV_Data_An_Cour!$W:$W,L$2)</f>
        <v>100176.17</v>
      </c>
      <c r="M22" s="182"/>
      <c r="N22" s="180">
        <f t="shared" si="22"/>
        <v>-23003.950725020171</v>
      </c>
      <c r="O22" s="182"/>
      <c r="P22" s="179">
        <f>IF(O13=0,0,Q22/(O13+O15))</f>
        <v>530.12397905759155</v>
      </c>
      <c r="Q22" s="180">
        <f>-SUMIFS(BV_Data_An_Prec!$P:$P,BV_Data_An_Prec!$U:$U,$B22,BV_Data_An_Prec!$V:$V,$C22,BV_Data_An_Prec!$W:$W,Q$2)</f>
        <v>101253.68</v>
      </c>
      <c r="R22" s="182">
        <f t="shared" si="23"/>
        <v>-672.32328859060397</v>
      </c>
      <c r="S22" s="399">
        <f t="shared" si="24"/>
        <v>-1077.5099999999948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0"/>
        <v>0</v>
      </c>
      <c r="F23" s="179">
        <f>+SUMPRODUCT(('Budget original'!$A$8:$A$496=$A23)*('Budget original'!$C$3:$AO$3=F$2),'Budget original'!$C$8:$AO$496)</f>
        <v>3106.9169915806278</v>
      </c>
      <c r="G23" s="303">
        <f>+SUMPRODUCT(('Budget révisé'!$A$8:$A$496=$A23)*('Budget révisé'!$C$3:$AO$3=G$2),'Budget révisé'!$C$8:$AO$496)</f>
        <v>0</v>
      </c>
      <c r="H23" s="179">
        <f t="shared" si="21"/>
        <v>0</v>
      </c>
      <c r="I23" s="179">
        <f>+SUMPRODUCT(('Budget révisé'!$A$8:$A$496=$A23)*('Budget révisé'!$C$3:$AO$3=I$2),'Budget révisé'!$C$8:$AO$496)</f>
        <v>3106.9169915806278</v>
      </c>
      <c r="J23" s="182"/>
      <c r="K23" s="179">
        <f>IF(J13=0,0,L23/(J13+J15))</f>
        <v>25.743489932885907</v>
      </c>
      <c r="L23" s="180">
        <f>-SUMIFS(BV_Data_An_Cour!$P:$P,BV_Data_An_Cour!$U:$U,$B23,BV_Data_An_Cour!$V:$V,$C23,BV_Data_An_Cour!$W:$W,L$2)</f>
        <v>3835.78</v>
      </c>
      <c r="M23" s="406"/>
      <c r="N23" s="180">
        <f t="shared" si="22"/>
        <v>728.86300841937236</v>
      </c>
      <c r="O23" s="182"/>
      <c r="P23" s="179">
        <f>IF(O13=0,0,Q23/(O13+O15))</f>
        <v>39.964816753926698</v>
      </c>
      <c r="Q23" s="180">
        <f>-SUMIFS(BV_Data_An_Prec!$P:$P,BV_Data_An_Prec!$U:$U,$B23,BV_Data_An_Prec!$V:$V,$C23,BV_Data_An_Prec!$W:$W,Q$2)</f>
        <v>7633.28</v>
      </c>
      <c r="R23" s="182">
        <f t="shared" si="23"/>
        <v>-25.743489932885907</v>
      </c>
      <c r="S23" s="399">
        <f t="shared" si="24"/>
        <v>-3797.4999999999995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167.06397940886833</v>
      </c>
      <c r="E24" s="401">
        <f>IF(D24&lt;=0,0,F24/D24)</f>
        <v>850</v>
      </c>
      <c r="F24" s="402">
        <f>F21+F22+F23</f>
        <v>142004.38249753808</v>
      </c>
      <c r="G24" s="403">
        <f>+G15+G13</f>
        <v>167.06397940886833</v>
      </c>
      <c r="H24" s="401">
        <f>IF(G24&lt;=0,0,I24/G24)</f>
        <v>850</v>
      </c>
      <c r="I24" s="402">
        <f>I21+I22+I23</f>
        <v>142004.38249753808</v>
      </c>
      <c r="J24" s="403">
        <f>+J15+J13</f>
        <v>149</v>
      </c>
      <c r="K24" s="401">
        <f>IF(J24&lt;=0,0,L24/J24)</f>
        <v>690.78476510067105</v>
      </c>
      <c r="L24" s="402">
        <f>L21+L22+L23</f>
        <v>102926.93</v>
      </c>
      <c r="M24" s="431">
        <f>J24-G24</f>
        <v>-18.063979408868335</v>
      </c>
      <c r="N24" s="402">
        <f t="shared" si="22"/>
        <v>-39077.452497538092</v>
      </c>
      <c r="O24" s="403">
        <f>+O15+O13</f>
        <v>191</v>
      </c>
      <c r="P24" s="401">
        <f>IF(O24&lt;=0,0,Q24/O24)</f>
        <v>701.73382198952879</v>
      </c>
      <c r="Q24" s="402">
        <f>Q21+Q22+Q23</f>
        <v>134031.16</v>
      </c>
      <c r="R24" s="411"/>
      <c r="S24" s="404">
        <f t="shared" si="24"/>
        <v>-31104.23000000001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-0.27518483451181919</v>
      </c>
      <c r="O25" s="303"/>
      <c r="P25" s="178"/>
      <c r="Q25" s="304"/>
      <c r="R25" s="325"/>
      <c r="S25" s="333">
        <f>IF(Q24=0,0,(S24/Q24))</f>
        <v>-0.23206715513019516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167.06397940886833</v>
      </c>
      <c r="E27" s="27">
        <f>IF(D27&lt;=0,0,F27/D27)</f>
        <v>1893.9951450343528</v>
      </c>
      <c r="F27" s="28">
        <f>F13+F17+F24+F19+F15</f>
        <v>316418.36591051571</v>
      </c>
      <c r="G27" s="29">
        <f>+G13+G15+G17</f>
        <v>170.72904412469677</v>
      </c>
      <c r="H27" s="30">
        <f>IF(G27&lt;=0,0,I27/G27)</f>
        <v>2235.8748372807495</v>
      </c>
      <c r="I27" s="28">
        <f>I13+I17+I24+I19+I15</f>
        <v>381728.77375140431</v>
      </c>
      <c r="J27" s="29">
        <f>+J13+J15+J17</f>
        <v>157</v>
      </c>
      <c r="K27" s="30">
        <f>IF(J27&lt;=0,0,L27/J27)</f>
        <v>2188.1517197452258</v>
      </c>
      <c r="L27" s="28">
        <f>L13+L17+L24+L19+L15</f>
        <v>343539.82000000047</v>
      </c>
      <c r="M27" s="29">
        <f>J27-G27</f>
        <v>-13.72904412469677</v>
      </c>
      <c r="N27" s="28">
        <f>L27-I27</f>
        <v>-38188.953751403838</v>
      </c>
      <c r="O27" s="29">
        <f>+O13+O15+O17</f>
        <v>191</v>
      </c>
      <c r="P27" s="30">
        <f>IF(O27&lt;=0,0,Q27/O27)</f>
        <v>1396.0961780104708</v>
      </c>
      <c r="Q27" s="28">
        <f>Q13+Q17+Q24+Q19+Q15</f>
        <v>266654.36999999994</v>
      </c>
      <c r="R27" s="29">
        <f>J27-O27</f>
        <v>-34</v>
      </c>
      <c r="S27" s="363">
        <f>L27-Q27</f>
        <v>76885.450000000536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-8.0414227087626494E-2</v>
      </c>
      <c r="N28" s="34">
        <f>N27/I27</f>
        <v>-0.10004211465671141</v>
      </c>
      <c r="O28" s="31"/>
      <c r="P28" s="365"/>
      <c r="Q28" s="32"/>
      <c r="R28" s="33">
        <f>R27/O27</f>
        <v>-0.17801047120418848</v>
      </c>
      <c r="S28" s="272">
        <f>IF(Q27=0,0,S27/Q27)</f>
        <v>0.28833373328927836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5">F31/D$24</f>
        <v>396.86864442981664</v>
      </c>
      <c r="F31" s="179">
        <f>+SUMPRODUCT(('Budget original'!$A$8:$A$496=$A31)*('Budget original'!$C$3:$AO$3=F$2),'Budget original'!$C$8:$AO$496)</f>
        <v>66302.455041048379</v>
      </c>
      <c r="G31" s="302"/>
      <c r="H31" s="197">
        <f t="shared" ref="H31:H36" si="26">I31/G$24</f>
        <v>401.79395102154245</v>
      </c>
      <c r="I31" s="179">
        <f>+SUMPRODUCT(('Budget révisé'!$A$8:$A$496=$A31)*('Budget révisé'!$C$3:$AO$3=I$2),'Budget révisé'!$C$8:$AO$496)</f>
        <v>67125.296360070817</v>
      </c>
      <c r="J31" s="976"/>
      <c r="K31" s="197">
        <f t="shared" ref="K31:K36" si="27">IF(L31=0,0,L31/J$24)</f>
        <v>601.46295302013425</v>
      </c>
      <c r="L31" s="179">
        <f>SUMIFS(BV_Data_An_Cour!$P:$P,BV_Data_An_Cour!$U:$U,$B31,BV_Data_An_Cour!$V:$V,$C31,BV_Data_An_Cour!$W:$W,L$2)</f>
        <v>89617.98</v>
      </c>
      <c r="M31" s="303"/>
      <c r="N31" s="304">
        <f t="shared" ref="N31:N53" si="28">L31-I31</f>
        <v>22492.683639929179</v>
      </c>
      <c r="O31" s="303"/>
      <c r="P31" s="197">
        <f t="shared" ref="P31:P36" si="29">IF(Q31=0,0,Q31/O$24)</f>
        <v>465.97963350785341</v>
      </c>
      <c r="Q31" s="180">
        <f>SUMIFS(BV_Data_An_Prec!$P:$P,BV_Data_An_Prec!$U:$U,$B31,BV_Data_An_Prec!$V:$V,$C31,BV_Data_An_Prec!$W:$W,Q$2)</f>
        <v>89002.11</v>
      </c>
      <c r="R31" s="303"/>
      <c r="S31" s="199">
        <f t="shared" ref="S31:S41" si="30">L31-Q31</f>
        <v>615.86999999999534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5"/>
        <v>254.99999999999997</v>
      </c>
      <c r="F32" s="177">
        <f>+SUMPRODUCT(('Budget original'!$A$8:$A$496=$A32)*('Budget original'!$C$3:$AO$3=F$2),'Budget original'!$C$8:$AO$496)</f>
        <v>42601.314749261423</v>
      </c>
      <c r="G32" s="309"/>
      <c r="H32" s="190">
        <f t="shared" si="26"/>
        <v>254.99999999999997</v>
      </c>
      <c r="I32" s="177">
        <f>+SUMPRODUCT(('Budget révisé'!$A$8:$A$496=$A32)*('Budget révisé'!$C$3:$AO$3=I$2),'Budget révisé'!$C$8:$AO$496)</f>
        <v>42601.314749261423</v>
      </c>
      <c r="J32" s="977">
        <f>L32/L24</f>
        <v>0.29362519604927495</v>
      </c>
      <c r="K32" s="413">
        <f t="shared" si="27"/>
        <v>202.83181208053691</v>
      </c>
      <c r="L32" s="177">
        <f>SUMIFS(BV_Data_An_Cour!$P:$P,BV_Data_An_Cour!$U:$U,$B32,BV_Data_An_Cour!$V:$V,$C32,BV_Data_An_Cour!$W:$W,L$2)</f>
        <v>30221.94</v>
      </c>
      <c r="M32" s="310"/>
      <c r="N32" s="311">
        <f t="shared" si="28"/>
        <v>-12379.374749261424</v>
      </c>
      <c r="O32" s="310"/>
      <c r="P32" s="413">
        <f t="shared" si="29"/>
        <v>234.98099476439791</v>
      </c>
      <c r="Q32" s="177">
        <f>SUMIFS(BV_Data_An_Prec!$P:$P,BV_Data_An_Prec!$U:$U,$B32,BV_Data_An_Prec!$V:$V,$C32,BV_Data_An_Prec!$W:$W,Q$2)</f>
        <v>44881.37</v>
      </c>
      <c r="R32" s="310"/>
      <c r="S32" s="202">
        <f t="shared" si="30"/>
        <v>-14659.430000000004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5"/>
        <v>197.00000000000003</v>
      </c>
      <c r="F33" s="179">
        <f>+SUMPRODUCT(('Budget original'!$A$8:$A$496=$A33)*('Budget original'!$C$3:$AO$3=F$2),'Budget original'!$C$8:$AO$496)</f>
        <v>32911.603943547067</v>
      </c>
      <c r="G33" s="302"/>
      <c r="H33" s="197">
        <f t="shared" si="26"/>
        <v>197.00000000000003</v>
      </c>
      <c r="I33" s="179">
        <f>+SUMPRODUCT(('Budget révisé'!$A$8:$A$496=$A33)*('Budget révisé'!$C$3:$AO$3=I$2),'Budget révisé'!$C$8:$AO$496)</f>
        <v>32911.603943547067</v>
      </c>
      <c r="J33" s="303"/>
      <c r="K33" s="197">
        <f t="shared" si="27"/>
        <v>149.02536912751677</v>
      </c>
      <c r="L33" s="179">
        <f>SUMIFS(BV_Data_An_Cour!$P:$P,BV_Data_An_Cour!$U:$U,$B33,BV_Data_An_Cour!$V:$V,$C33,BV_Data_An_Cour!$W:$W,L$2)</f>
        <v>22204.78</v>
      </c>
      <c r="M33" s="303"/>
      <c r="N33" s="304">
        <f t="shared" si="28"/>
        <v>-10706.823943547068</v>
      </c>
      <c r="O33" s="303"/>
      <c r="P33" s="197">
        <f t="shared" si="29"/>
        <v>158.75659685863874</v>
      </c>
      <c r="Q33" s="180">
        <f>SUMIFS(BV_Data_An_Prec!$P:$P,BV_Data_An_Prec!$U:$U,$B33,BV_Data_An_Prec!$V:$V,$C33,BV_Data_An_Prec!$W:$W,Q$2)</f>
        <v>30322.51</v>
      </c>
      <c r="R33" s="303"/>
      <c r="S33" s="199">
        <f t="shared" si="30"/>
        <v>-8117.73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5"/>
        <v>6.0000000000000009</v>
      </c>
      <c r="F34" s="179">
        <f>+SUMPRODUCT(('Budget original'!$A$8:$A$496=$A34)*('Budget original'!$C$3:$AO$3=F$2),'Budget original'!$C$8:$AO$496)</f>
        <v>1002.3838764532102</v>
      </c>
      <c r="G34" s="302"/>
      <c r="H34" s="197">
        <f t="shared" si="26"/>
        <v>6.0000000000000009</v>
      </c>
      <c r="I34" s="179">
        <f>+SUMPRODUCT(('Budget révisé'!$A$8:$A$496=$A34)*('Budget révisé'!$C$3:$AO$3=I$2),'Budget révisé'!$C$8:$AO$496)</f>
        <v>1002.3838764532102</v>
      </c>
      <c r="J34" s="303"/>
      <c r="K34" s="197">
        <f t="shared" si="27"/>
        <v>3.2724161073825502</v>
      </c>
      <c r="L34" s="179">
        <f>SUMIFS(BV_Data_An_Cour!$P:$P,BV_Data_An_Cour!$U:$U,$B34,BV_Data_An_Cour!$V:$V,$C34,BV_Data_An_Cour!$W:$W,L$2)</f>
        <v>487.59</v>
      </c>
      <c r="M34" s="303"/>
      <c r="N34" s="304">
        <f t="shared" si="28"/>
        <v>-514.79387645321026</v>
      </c>
      <c r="O34" s="303"/>
      <c r="P34" s="197">
        <f t="shared" si="29"/>
        <v>9.56</v>
      </c>
      <c r="Q34" s="180">
        <f>SUMIFS(BV_Data_An_Prec!$P:$P,BV_Data_An_Prec!$U:$U,$B34,BV_Data_An_Prec!$V:$V,$C34,BV_Data_An_Prec!$W:$W,Q$2)</f>
        <v>1825.96</v>
      </c>
      <c r="R34" s="303"/>
      <c r="S34" s="199">
        <f t="shared" si="30"/>
        <v>-1338.3700000000001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5"/>
        <v>34</v>
      </c>
      <c r="F35" s="177">
        <f>+SUMPRODUCT(('Budget original'!$A$8:$A$496=$A35)*('Budget original'!$C$3:$AO$3=F$2),'Budget original'!$C$8:$AO$496)</f>
        <v>5680.1752999015234</v>
      </c>
      <c r="G35" s="309"/>
      <c r="H35" s="190">
        <f t="shared" si="26"/>
        <v>34</v>
      </c>
      <c r="I35" s="177">
        <f>+SUMPRODUCT(('Budget révisé'!$A$8:$A$496=$A35)*('Budget révisé'!$C$3:$AO$3=I$2),'Budget révisé'!$C$8:$AO$496)</f>
        <v>5680.1752999015234</v>
      </c>
      <c r="J35" s="310"/>
      <c r="K35" s="413">
        <f t="shared" si="27"/>
        <v>8.6006711409395979</v>
      </c>
      <c r="L35" s="177">
        <f>SUMIFS(BV_Data_An_Cour!$P:$P,BV_Data_An_Cour!$U:$U,$B35,BV_Data_An_Cour!$V:$V,$C35,BV_Data_An_Cour!$W:$W,L$2)</f>
        <v>1281.5</v>
      </c>
      <c r="M35" s="310"/>
      <c r="N35" s="311">
        <f t="shared" si="28"/>
        <v>-4398.6752999015234</v>
      </c>
      <c r="O35" s="310"/>
      <c r="P35" s="413">
        <f t="shared" si="29"/>
        <v>44.363979057591628</v>
      </c>
      <c r="Q35" s="180">
        <f>SUMIFS(BV_Data_An_Prec!$P:$P,BV_Data_An_Prec!$U:$U,$B35,BV_Data_An_Prec!$V:$V,$C35,BV_Data_An_Prec!$W:$W,Q$2)</f>
        <v>8473.52</v>
      </c>
      <c r="R35" s="310"/>
      <c r="S35" s="202">
        <f t="shared" si="30"/>
        <v>-7192.02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5"/>
        <v>180.66964285714286</v>
      </c>
      <c r="F36" s="179">
        <f>+SUMPRODUCT(('Budget original'!$A$8:$A$496=$A36)*('Budget original'!$C$3:$AO$3=F$2),'Budget original'!$C$8:$AO$496)</f>
        <v>30183.38949409331</v>
      </c>
      <c r="G36" s="302"/>
      <c r="H36" s="197">
        <f t="shared" si="26"/>
        <v>180.66964285714286</v>
      </c>
      <c r="I36" s="179">
        <f>+SUMPRODUCT(('Budget révisé'!$A$8:$A$496=$A36)*('Budget révisé'!$C$3:$AO$3=I$2),'Budget révisé'!$C$8:$AO$496)</f>
        <v>30183.38949409331</v>
      </c>
      <c r="J36" s="303"/>
      <c r="K36" s="197">
        <f t="shared" si="27"/>
        <v>161.26805369127518</v>
      </c>
      <c r="L36" s="630">
        <f>SUMIFS(BV_Data_An_Cour!$P:$P,BV_Data_An_Cour!$U:$U,$B36,BV_Data_An_Cour!$V:$V,$C36,BV_Data_An_Cour!$W:$W,L$2)</f>
        <v>24028.940000000002</v>
      </c>
      <c r="M36" s="178"/>
      <c r="N36" s="304">
        <f t="shared" si="28"/>
        <v>-6154.4494940933073</v>
      </c>
      <c r="O36" s="303"/>
      <c r="P36" s="197">
        <f t="shared" si="29"/>
        <v>82.670157068062821</v>
      </c>
      <c r="Q36" s="429">
        <f>SUMIFS(BV_Data_An_Prec!$P:$P,BV_Data_An_Prec!$U:$U,$B36,BV_Data_An_Prec!$V:$V,$C36,BV_Data_An_Prec!$W:$W,Q$2)</f>
        <v>15790</v>
      </c>
      <c r="R36" s="303"/>
      <c r="S36" s="199">
        <f t="shared" si="30"/>
        <v>8238.9400000000023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1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2">F37/D$24</f>
        <v>253.7318425246379</v>
      </c>
      <c r="F37" s="179">
        <f>+SUMPRODUCT(('Budget original'!$A$8:$A$496=$A37)*('Budget original'!$C$3:$AO$3=F$2),'Budget original'!$C$8:$AO$496)</f>
        <v>42389.45131491033</v>
      </c>
      <c r="G37" s="302"/>
      <c r="H37" s="197">
        <f t="shared" ref="H37:H40" si="33">I37/G$24</f>
        <v>255.27525388995036</v>
      </c>
      <c r="I37" s="179">
        <f>+SUMPRODUCT(('Budget révisé'!$A$8:$A$496=$A37)*('Budget révisé'!$C$3:$AO$3=I$2),'Budget révisé'!$C$8:$AO$496)</f>
        <v>42647.299759464302</v>
      </c>
      <c r="J37" s="303"/>
      <c r="K37" s="197">
        <f t="shared" ref="K37:K40" si="34">IF(L37=0,0,L37/J$24)</f>
        <v>246.25033557046982</v>
      </c>
      <c r="L37" s="631">
        <f>SUMIFS(BV_Data_An_Cour!$P:$P,BV_Data_An_Cour!$U:$U,$B37,BV_Data_An_Cour!$V:$V,$C37,BV_Data_An_Cour!$W:$W,L$2)</f>
        <v>36691.300000000003</v>
      </c>
      <c r="M37" s="178"/>
      <c r="N37" s="304">
        <f t="shared" ref="N37:N40" si="35">L37-I37</f>
        <v>-5955.9997594642991</v>
      </c>
      <c r="O37" s="303"/>
      <c r="P37" s="197">
        <f t="shared" ref="P37:P40" si="36">IF(Q37=0,0,Q37/O$24)</f>
        <v>289.29544502617802</v>
      </c>
      <c r="Q37" s="180">
        <f>SUMIFS(BV_Data_An_Prec!$P:$P,BV_Data_An_Prec!$U:$U,$B37,BV_Data_An_Prec!$V:$V,$C37,BV_Data_An_Prec!$W:$W,Q$2)</f>
        <v>55255.43</v>
      </c>
      <c r="R37" s="303"/>
      <c r="S37" s="199">
        <f t="shared" ref="S37:S40" si="37">L37-Q37</f>
        <v>-18564.129999999997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1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2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3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4"/>
        <v>0</v>
      </c>
      <c r="L38" s="631">
        <f>SUMIFS(BV_Data_An_Cour!$P:$P,BV_Data_An_Cour!$U:$U,$B38,BV_Data_An_Cour!$V:$V,$C38,BV_Data_An_Cour!$W:$W,L$2)</f>
        <v>0</v>
      </c>
      <c r="M38" s="178"/>
      <c r="N38" s="304">
        <f t="shared" si="35"/>
        <v>0</v>
      </c>
      <c r="O38" s="303"/>
      <c r="P38" s="197">
        <f t="shared" si="36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7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1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2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3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4"/>
        <v>0</v>
      </c>
      <c r="L39" s="631">
        <f>SUMIFS(BV_Data_An_Cour!$P:$P,BV_Data_An_Cour!$U:$U,$B39,BV_Data_An_Cour!$V:$V,$C39,BV_Data_An_Cour!$W:$W,L$2)</f>
        <v>0</v>
      </c>
      <c r="M39" s="178"/>
      <c r="N39" s="304">
        <f t="shared" si="35"/>
        <v>0</v>
      </c>
      <c r="O39" s="303"/>
      <c r="P39" s="197">
        <f t="shared" si="36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7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2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3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4"/>
        <v>0</v>
      </c>
      <c r="L40" s="632">
        <f>SUMIFS(BV_Data_An_Cour!$P:$P,BV_Data_An_Cour!$U:$U,$B40,BV_Data_An_Cour!$V:$V,$C40,BV_Data_An_Cour!$W:$W,L$2)</f>
        <v>0</v>
      </c>
      <c r="M40" s="178"/>
      <c r="N40" s="304">
        <f t="shared" si="35"/>
        <v>0</v>
      </c>
      <c r="O40" s="303"/>
      <c r="P40" s="197">
        <f t="shared" si="36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7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0.6986660622023908</v>
      </c>
      <c r="F41" s="41">
        <f>SUM(F31:F40)</f>
        <v>221070.77371921524</v>
      </c>
      <c r="G41" s="42" t="s">
        <v>111</v>
      </c>
      <c r="H41" s="40">
        <f>I41/I$27</f>
        <v>0.58196153593458155</v>
      </c>
      <c r="I41" s="41">
        <f>SUM(I31:I40)</f>
        <v>222151.46348279165</v>
      </c>
      <c r="J41" s="42" t="s">
        <v>111</v>
      </c>
      <c r="K41" s="40">
        <f>L41/L$27</f>
        <v>0.59537211727013117</v>
      </c>
      <c r="L41" s="41">
        <f>SUM(L31:L40)</f>
        <v>204534.03000000003</v>
      </c>
      <c r="M41" s="583"/>
      <c r="N41" s="41">
        <f t="shared" si="28"/>
        <v>-17617.433482791617</v>
      </c>
      <c r="O41" s="42" t="s">
        <v>111</v>
      </c>
      <c r="P41" s="40">
        <f>Q41/Q$27</f>
        <v>0.92085833808011497</v>
      </c>
      <c r="Q41" s="582">
        <f>SUM(Q31:Q40)</f>
        <v>245550.9</v>
      </c>
      <c r="R41" s="44"/>
      <c r="S41" s="316">
        <f t="shared" si="30"/>
        <v>-41016.869999999966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73881.563793103443</v>
      </c>
      <c r="G42" s="303"/>
      <c r="H42" s="178"/>
      <c r="I42" s="179">
        <f>+SUMPRODUCT(('Budget révisé'!$A$8:$A$496=$A42)*('Budget révisé'!$C$3:$AO$3=I$2),'Budget révisé'!$C$8:$AO$496)</f>
        <v>73881.563793103443</v>
      </c>
      <c r="J42" s="303"/>
      <c r="K42" s="178"/>
      <c r="L42" s="281">
        <f>SUMIFS(BV_Data_An_Cour!$P:$P,BV_Data_An_Cour!$U:$U,$B42,BV_Data_An_Cour!$V:$V,$C42,BV_Data_An_Cour!$W:$W,L$2)</f>
        <v>43064.1</v>
      </c>
      <c r="M42" s="303"/>
      <c r="N42" s="304">
        <f t="shared" si="28"/>
        <v>-30817.463793103445</v>
      </c>
      <c r="O42" s="303"/>
      <c r="P42" s="178"/>
      <c r="Q42" s="180">
        <f>SUMIFS(BV_Data_An_Prec!$P:$P,BV_Data_An_Prec!$U:$U,$B42,BV_Data_An_Prec!$V:$V,$C42,BV_Data_An_Prec!$W:$W,Q$2)</f>
        <v>71774.44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29176.321571310345</v>
      </c>
      <c r="G43" s="302"/>
      <c r="H43" s="178"/>
      <c r="I43" s="177">
        <f>+SUMPRODUCT(('Budget révisé'!$A$8:$A$496=$A43)*('Budget révisé'!$C$3:$AO$3=I$2),'Budget révisé'!$C$8:$AO$496)</f>
        <v>29176.321571310345</v>
      </c>
      <c r="J43" s="303"/>
      <c r="K43" s="178"/>
      <c r="L43" s="281">
        <f>SUMIFS(BV_Data_An_Cour!$P:$P,BV_Data_An_Cour!$U:$U,$B43,BV_Data_An_Cour!$V:$V,$C43,BV_Data_An_Cour!$W:$W,L$2)</f>
        <v>22061.19</v>
      </c>
      <c r="M43" s="303"/>
      <c r="N43" s="304">
        <f t="shared" si="28"/>
        <v>-7115.1315713103468</v>
      </c>
      <c r="O43" s="303"/>
      <c r="P43" s="178"/>
      <c r="Q43" s="180">
        <f>SUMIFS(BV_Data_An_Prec!$P:$P,BV_Data_An_Prec!$U:$U,$B43,BV_Data_An_Prec!$V:$V,$C43,BV_Data_An_Prec!$W:$W,Q$2)</f>
        <v>27402.400000000001</v>
      </c>
      <c r="R43" s="303"/>
      <c r="S43" s="199">
        <f t="shared" ref="S43:S53" si="38">L43-Q43</f>
        <v>-5341.2100000000028</v>
      </c>
      <c r="T43" s="222"/>
      <c r="U43" s="222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18385.271612616092</v>
      </c>
      <c r="G44" s="393"/>
      <c r="H44" s="352"/>
      <c r="I44" s="179">
        <f>+SUMPRODUCT(('Budget révisé'!$A$8:$A$496=$A44)*('Budget révisé'!$C$3:$AO$3=I$2),'Budget révisé'!$C$8:$AO$496)</f>
        <v>18385.271612616092</v>
      </c>
      <c r="J44" s="368"/>
      <c r="K44" s="352"/>
      <c r="L44" s="181">
        <f>SUMIFS(BV_Data_An_Cour!$P:$P,BV_Data_An_Cour!$U:$U,$B44,BV_Data_An_Cour!$V:$V,$C44,BV_Data_An_Cour!$W:$W,L$2)</f>
        <v>18679.11</v>
      </c>
      <c r="M44" s="368"/>
      <c r="N44" s="356">
        <f t="shared" si="28"/>
        <v>293.83838738390841</v>
      </c>
      <c r="O44" s="368"/>
      <c r="P44" s="352"/>
      <c r="Q44" s="181">
        <f>SUMIFS(BV_Data_An_Prec!$P:$P,BV_Data_An_Prec!$U:$U,$B44,BV_Data_An_Prec!$V:$V,$C44,BV_Data_An_Prec!$W:$W,Q$2)</f>
        <v>17645.34</v>
      </c>
      <c r="R44" s="368"/>
      <c r="S44" s="201">
        <f t="shared" si="38"/>
        <v>1033.7700000000004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8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8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39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0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1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39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0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1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39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0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1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27641.631212080763</v>
      </c>
      <c r="G49" s="302"/>
      <c r="H49" s="178"/>
      <c r="I49" s="177">
        <f>+SUMPRODUCT(('Budget révisé'!$A$8:$A$496=$A49)*('Budget révisé'!$C$3:$AO$3=I$2),'Budget révisé'!$C$8:$AO$496)</f>
        <v>27740.372170363451</v>
      </c>
      <c r="J49" s="303"/>
      <c r="K49" s="178"/>
      <c r="L49" s="177">
        <f>SUMIFS(BV_Data_An_Cour!$P:$P,BV_Data_An_Cour!$U:$U,$B49,BV_Data_An_Cour!$V:$V,$C49,BV_Data_An_Cour!$W:$W,L$2)</f>
        <v>27937.68</v>
      </c>
      <c r="M49" s="303"/>
      <c r="N49" s="304">
        <f t="shared" si="28"/>
        <v>197.30782963654929</v>
      </c>
      <c r="O49" s="303"/>
      <c r="P49" s="178"/>
      <c r="Q49" s="177">
        <f>SUMIFS(BV_Data_An_Prec!$P:$P,BV_Data_An_Prec!$U:$U,$B49,BV_Data_An_Prec!$V:$V,$C49,BV_Data_An_Prec!$W:$W,Q$2)</f>
        <v>38168.839999999997</v>
      </c>
      <c r="R49" s="303"/>
      <c r="S49" s="199">
        <f t="shared" si="38"/>
        <v>-10231.159999999996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27641.631212080763</v>
      </c>
      <c r="G50" s="393"/>
      <c r="H50" s="352"/>
      <c r="I50" s="179">
        <f>+SUMPRODUCT(('Budget révisé'!$A$8:$A$496=$A50)*('Budget révisé'!$C$3:$AO$3=I$2),'Budget révisé'!$C$8:$AO$496)</f>
        <v>27740.372170363451</v>
      </c>
      <c r="J50" s="368"/>
      <c r="K50" s="352"/>
      <c r="L50" s="180">
        <f>SUMIFS(BV_Data_An_Cour!$P:$P,BV_Data_An_Cour!$U:$U,$B50,BV_Data_An_Cour!$V:$V,$C50,BV_Data_An_Cour!$W:$W,L$2)</f>
        <v>27472.54</v>
      </c>
      <c r="M50" s="368"/>
      <c r="N50" s="356">
        <f t="shared" si="28"/>
        <v>-267.83217036345013</v>
      </c>
      <c r="O50" s="368"/>
      <c r="P50" s="352"/>
      <c r="Q50" s="180">
        <f>SUMIFS(BV_Data_An_Prec!$P:$P,BV_Data_An_Prec!$U:$U,$B50,BV_Data_An_Prec!$V:$V,$C50,BV_Data_An_Prec!$W:$W,Q$2)</f>
        <v>33734.81</v>
      </c>
      <c r="R50" s="368"/>
      <c r="S50" s="201">
        <f t="shared" si="38"/>
        <v>-6262.2699999999968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19809.835701991211</v>
      </c>
      <c r="G51" s="302"/>
      <c r="H51" s="178"/>
      <c r="I51" s="179">
        <f>+SUMPRODUCT(('Budget révisé'!$A$8:$A$496=$A51)*('Budget révisé'!$C$3:$AO$3=I$2),'Budget révisé'!$C$8:$AO$496)</f>
        <v>19880.600055427141</v>
      </c>
      <c r="J51" s="303"/>
      <c r="K51" s="178"/>
      <c r="L51" s="180">
        <f>SUMIFS(BV_Data_An_Cour!$P:$P,BV_Data_An_Cour!$U:$U,$B51,BV_Data_An_Cour!$V:$V,$C51,BV_Data_An_Cour!$W:$W,L$2)</f>
        <v>19688.650000000001</v>
      </c>
      <c r="M51" s="303"/>
      <c r="N51" s="304">
        <f t="shared" si="28"/>
        <v>-191.95005542713989</v>
      </c>
      <c r="O51" s="303"/>
      <c r="P51" s="178"/>
      <c r="Q51" s="180">
        <f>SUMIFS(BV_Data_An_Prec!$P:$P,BV_Data_An_Prec!$U:$U,$B51,BV_Data_An_Prec!$V:$V,$C51,BV_Data_An_Prec!$W:$W,Q$2)</f>
        <v>23268.86</v>
      </c>
      <c r="R51" s="303"/>
      <c r="S51" s="199">
        <f t="shared" si="38"/>
        <v>-3580.2099999999991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4606.9385353467942</v>
      </c>
      <c r="G52" s="302"/>
      <c r="H52" s="178"/>
      <c r="I52" s="179">
        <f>+SUMPRODUCT(('Budget révisé'!$A$8:$A$496=$A52)*('Budget révisé'!$C$3:$AO$3=I$2),'Budget révisé'!$C$8:$AO$496)</f>
        <v>4623.3953617272418</v>
      </c>
      <c r="J52" s="303"/>
      <c r="K52" s="178"/>
      <c r="L52" s="180">
        <f>SUMIFS(BV_Data_An_Cour!$P:$P,BV_Data_An_Cour!$U:$U,$B52,BV_Data_An_Cour!$V:$V,$C52,BV_Data_An_Cour!$W:$W,L$2)</f>
        <v>4578.76</v>
      </c>
      <c r="M52" s="303"/>
      <c r="N52" s="304">
        <f t="shared" si="28"/>
        <v>-44.635361727241616</v>
      </c>
      <c r="O52" s="303"/>
      <c r="P52" s="178"/>
      <c r="Q52" s="180">
        <f>SUMIFS(BV_Data_An_Prec!$P:$P,BV_Data_An_Prec!$U:$U,$B52,BV_Data_An_Prec!$V:$V,$C52,BV_Data_An_Prec!$W:$W,Q$2)</f>
        <v>8938.9599999999991</v>
      </c>
      <c r="R52" s="303"/>
      <c r="S52" s="199">
        <f t="shared" si="38"/>
        <v>-4360.1999999999989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8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8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0.63568747995940744</v>
      </c>
      <c r="F54" s="41">
        <f>+SUM(F42:F53)</f>
        <v>201143.19363852942</v>
      </c>
      <c r="G54" s="42" t="s">
        <v>111</v>
      </c>
      <c r="H54" s="40">
        <f>I54/I$27</f>
        <v>0.52767281532224342</v>
      </c>
      <c r="I54" s="41">
        <f>+SUM(I42:I53)</f>
        <v>201427.89673491119</v>
      </c>
      <c r="J54" s="42" t="s">
        <v>111</v>
      </c>
      <c r="K54" s="40">
        <f>L54/L$27</f>
        <v>0.47587505285413428</v>
      </c>
      <c r="L54" s="41">
        <f>+SUM(L42:L53)</f>
        <v>163482.03</v>
      </c>
      <c r="M54" s="44"/>
      <c r="N54" s="41">
        <f>+SUM(N42:N53)</f>
        <v>-37945.866734911164</v>
      </c>
      <c r="O54" s="42" t="s">
        <v>111</v>
      </c>
      <c r="P54" s="40">
        <f>Q54/Q$27</f>
        <v>0.82853939352278394</v>
      </c>
      <c r="Q54" s="41">
        <f>+SUM(Q42:Q53)</f>
        <v>220933.65</v>
      </c>
      <c r="R54" s="44"/>
      <c r="S54" s="316">
        <f>+SUM(S42:S53)</f>
        <v>-28741.279999999992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2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3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2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3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27266.6325</v>
      </c>
      <c r="G57" s="309"/>
      <c r="H57" s="308"/>
      <c r="I57" s="177">
        <f>+SUMPRODUCT(('Budget révisé'!$A$8:$A$496=$A57)*('Budget révisé'!$C$3:$AO$3=I$2),'Budget révisé'!$C$8:$AO$496)</f>
        <v>27266.6325</v>
      </c>
      <c r="J57" s="310"/>
      <c r="K57" s="308"/>
      <c r="L57" s="177">
        <f>SUMIFS(BV_Data_An_Cour!$P:$P,BV_Data_An_Cour!$U:$U,$B57,BV_Data_An_Cour!$V:$V,$C57,BV_Data_An_Cour!$W:$W,L$2)</f>
        <v>16182.8</v>
      </c>
      <c r="M57" s="310"/>
      <c r="N57" s="434">
        <f t="shared" si="42"/>
        <v>-11083.8325</v>
      </c>
      <c r="O57" s="310"/>
      <c r="P57" s="308"/>
      <c r="Q57" s="177">
        <f>SUMIFS(BV_Data_An_Prec!$P:$P,BV_Data_An_Prec!$U:$U,$B57,BV_Data_An_Prec!$V:$V,$C57,BV_Data_An_Prec!$W:$W,Q$2)</f>
        <v>39357.03</v>
      </c>
      <c r="R57" s="310"/>
      <c r="S57" s="202">
        <f t="shared" si="43"/>
        <v>-23174.23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20032.188800000004</v>
      </c>
      <c r="G58" s="302"/>
      <c r="H58" s="178"/>
      <c r="I58" s="179">
        <f>+SUMPRODUCT(('Budget révisé'!$A$8:$A$496=$A58)*('Budget révisé'!$C$3:$AO$3=I$2),'Budget révisé'!$C$8:$AO$496)</f>
        <v>20032.188800000004</v>
      </c>
      <c r="J58" s="303"/>
      <c r="K58" s="178"/>
      <c r="L58" s="180">
        <f>SUMIFS(BV_Data_An_Cour!$P:$P,BV_Data_An_Cour!$U:$U,$B58,BV_Data_An_Cour!$V:$V,$C58,BV_Data_An_Cour!$W:$W,L$2)</f>
        <v>17512.37</v>
      </c>
      <c r="M58" s="303"/>
      <c r="N58" s="304">
        <f t="shared" si="42"/>
        <v>-2519.8188000000046</v>
      </c>
      <c r="O58" s="303"/>
      <c r="P58" s="178"/>
      <c r="Q58" s="180">
        <f>SUMIFS(BV_Data_An_Prec!$P:$P,BV_Data_An_Prec!$U:$U,$B58,BV_Data_An_Prec!$V:$V,$C58,BV_Data_An_Prec!$W:$W,Q$2)</f>
        <v>20491.79</v>
      </c>
      <c r="R58" s="303"/>
      <c r="S58" s="199">
        <f t="shared" si="43"/>
        <v>-2979.4200000000019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4789.4903999999997</v>
      </c>
      <c r="G59" s="302"/>
      <c r="H59" s="178"/>
      <c r="I59" s="179">
        <f>+SUMPRODUCT(('Budget révisé'!$A$8:$A$496=$A59)*('Budget révisé'!$C$3:$AO$3=I$2),'Budget révisé'!$C$8:$AO$496)</f>
        <v>4789.4903999999997</v>
      </c>
      <c r="J59" s="303"/>
      <c r="K59" s="178"/>
      <c r="L59" s="180">
        <f>SUMIFS(BV_Data_An_Cour!$P:$P,BV_Data_An_Cour!$U:$U,$B59,BV_Data_An_Cour!$V:$V,$C59,BV_Data_An_Cour!$W:$W,L$2)</f>
        <v>758.41</v>
      </c>
      <c r="M59" s="303"/>
      <c r="N59" s="304">
        <f t="shared" si="42"/>
        <v>-4031.0803999999998</v>
      </c>
      <c r="O59" s="303"/>
      <c r="P59" s="178"/>
      <c r="Q59" s="180">
        <f>SUMIFS(BV_Data_An_Prec!$P:$P,BV_Data_An_Prec!$U:$U,$B59,BV_Data_An_Prec!$V:$V,$C59,BV_Data_An_Prec!$W:$W,Q$2)</f>
        <v>5833.92</v>
      </c>
      <c r="R59" s="303"/>
      <c r="S59" s="199">
        <f t="shared" si="43"/>
        <v>-5075.51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28229.684000000001</v>
      </c>
      <c r="G60" s="309"/>
      <c r="H60" s="308"/>
      <c r="I60" s="177">
        <f>+SUMPRODUCT(('Budget révisé'!$A$8:$A$496=$A60)*('Budget révisé'!$C$3:$AO$3=I$2),'Budget révisé'!$C$8:$AO$496)</f>
        <v>28229.684000000001</v>
      </c>
      <c r="J60" s="310"/>
      <c r="K60" s="308"/>
      <c r="L60" s="177">
        <f>SUMIFS(BV_Data_An_Cour!$P:$P,BV_Data_An_Cour!$U:$U,$B60,BV_Data_An_Cour!$V:$V,$C60,BV_Data_An_Cour!$W:$W,L$2)</f>
        <v>21526.27</v>
      </c>
      <c r="M60" s="310"/>
      <c r="N60" s="311">
        <f t="shared" si="42"/>
        <v>-6703.4140000000007</v>
      </c>
      <c r="O60" s="310"/>
      <c r="P60" s="308"/>
      <c r="Q60" s="177">
        <f>SUMIFS(BV_Data_An_Prec!$P:$P,BV_Data_An_Prec!$U:$U,$B60,BV_Data_An_Prec!$V:$V,$C60,BV_Data_An_Prec!$W:$W,Q$2)</f>
        <v>24050.52</v>
      </c>
      <c r="R60" s="310"/>
      <c r="S60" s="202">
        <f t="shared" si="43"/>
        <v>-2524.25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668.25591763547345</v>
      </c>
      <c r="G61" s="302"/>
      <c r="H61" s="178"/>
      <c r="I61" s="179">
        <f>+SUMPRODUCT(('Budget révisé'!$A$8:$A$496=$A61)*('Budget révisé'!$C$3:$AO$3=I$2),'Budget révisé'!$C$8:$AO$496)</f>
        <v>668.25591763547345</v>
      </c>
      <c r="J61" s="303"/>
      <c r="K61" s="178"/>
      <c r="L61" s="180">
        <f>SUMIFS(BV_Data_An_Cour!$P:$P,BV_Data_An_Cour!$U:$U,$B61,BV_Data_An_Cour!$V:$V,$C61,BV_Data_An_Cour!$W:$W,L$2)</f>
        <v>0</v>
      </c>
      <c r="M61" s="303"/>
      <c r="N61" s="304">
        <f t="shared" si="42"/>
        <v>-668.25591763547345</v>
      </c>
      <c r="O61" s="303"/>
      <c r="P61" s="178"/>
      <c r="Q61" s="180">
        <f>SUMIFS(BV_Data_An_Prec!$P:$P,BV_Data_An_Prec!$U:$U,$B61,BV_Data_An_Prec!$V:$V,$C61,BV_Data_An_Prec!$W:$W,Q$2)</f>
        <v>621</v>
      </c>
      <c r="R61" s="303"/>
      <c r="S61" s="199">
        <f t="shared" si="43"/>
        <v>-621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105</v>
      </c>
      <c r="G62" s="302"/>
      <c r="H62" s="178"/>
      <c r="I62" s="179">
        <f>+SUMPRODUCT(('Budget révisé'!$A$8:$A$496=$A62)*('Budget révisé'!$C$3:$AO$3=I$2),'Budget révisé'!$C$8:$AO$496)</f>
        <v>105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2"/>
        <v>-105</v>
      </c>
      <c r="O62" s="303"/>
      <c r="P62" s="178"/>
      <c r="Q62" s="180">
        <f>SUMIFS(BV_Data_An_Prec!$P:$P,BV_Data_An_Prec!$U:$U,$B62,BV_Data_An_Prec!$V:$V,$C62,BV_Data_An_Prec!$W:$W,Q$2)</f>
        <v>105</v>
      </c>
      <c r="R62" s="303"/>
      <c r="S62" s="199">
        <f t="shared" si="43"/>
        <v>-105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2092.8000000000002</v>
      </c>
      <c r="G63" s="302"/>
      <c r="H63" s="178"/>
      <c r="I63" s="179">
        <f>+SUMPRODUCT(('Budget révisé'!$A$8:$A$496=$A63)*('Budget révisé'!$C$3:$AO$3=I$2),'Budget révisé'!$C$8:$AO$496)</f>
        <v>2092.8000000000002</v>
      </c>
      <c r="J63" s="303"/>
      <c r="K63" s="178"/>
      <c r="L63" s="554">
        <f>SUMIFS(BV_Data_An_Cour!$P:$P,BV_Data_An_Cour!$U:$U,$B63,BV_Data_An_Cour!$V:$V,$C63,BV_Data_An_Cour!$W:$W,L$2)</f>
        <v>1424.5</v>
      </c>
      <c r="M63" s="303"/>
      <c r="N63" s="304">
        <f t="shared" si="42"/>
        <v>-668.30000000000018</v>
      </c>
      <c r="O63" s="303"/>
      <c r="P63" s="178"/>
      <c r="Q63" s="554">
        <f>SUMIFS(BV_Data_An_Prec!$P:$P,BV_Data_An_Prec!$U:$U,$B63,BV_Data_An_Prec!$V:$V,$C63,BV_Data_An_Prec!$W:$W,Q$2)</f>
        <v>1776</v>
      </c>
      <c r="R63" s="303"/>
      <c r="S63" s="199">
        <f t="shared" si="43"/>
        <v>-351.5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1769.7360000000001</v>
      </c>
      <c r="G64" s="302"/>
      <c r="H64" s="178"/>
      <c r="I64" s="179">
        <f>+SUMPRODUCT(('Budget révisé'!$A$8:$A$496=$A64)*('Budget révisé'!$C$3:$AO$3=I$2),'Budget révisé'!$C$8:$AO$496)</f>
        <v>1769.7360000000001</v>
      </c>
      <c r="J64" s="303"/>
      <c r="K64" s="178"/>
      <c r="L64" s="180">
        <f>SUMIFS(BV_Data_An_Cour!$P:$P,BV_Data_An_Cour!$U:$U,$B64,BV_Data_An_Cour!$V:$V,$C64,BV_Data_An_Cour!$W:$W,L$2)</f>
        <v>1156.99</v>
      </c>
      <c r="M64" s="303"/>
      <c r="N64" s="304">
        <f t="shared" si="42"/>
        <v>-612.74600000000009</v>
      </c>
      <c r="O64" s="303"/>
      <c r="P64" s="178"/>
      <c r="Q64" s="180">
        <f>SUMIFS(BV_Data_An_Prec!$P:$P,BV_Data_An_Prec!$U:$U,$B64,BV_Data_An_Prec!$V:$V,$C64,BV_Data_An_Prec!$W:$W,Q$2)</f>
        <v>1629.3</v>
      </c>
      <c r="R64" s="303"/>
      <c r="S64" s="199">
        <f t="shared" si="43"/>
        <v>-472.30999999999995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830.40000000000009</v>
      </c>
      <c r="G65" s="302"/>
      <c r="H65" s="178"/>
      <c r="I65" s="179">
        <f>+SUMPRODUCT(('Budget révisé'!$A$8:$A$496=$A65)*('Budget révisé'!$C$3:$AO$3=I$2),'Budget révisé'!$C$8:$AO$496)</f>
        <v>830.40000000000009</v>
      </c>
      <c r="J65" s="303"/>
      <c r="K65" s="178"/>
      <c r="L65" s="281">
        <f>SUMIFS(BV_Data_An_Cour!$P:$P,BV_Data_An_Cour!$U:$U,$B65,BV_Data_An_Cour!$V:$V,$C65,BV_Data_An_Cour!$W:$W,L$2)</f>
        <v>280.31</v>
      </c>
      <c r="M65" s="303"/>
      <c r="N65" s="304">
        <f t="shared" si="42"/>
        <v>-550.09000000000015</v>
      </c>
      <c r="O65" s="303"/>
      <c r="P65" s="178"/>
      <c r="Q65" s="180">
        <f>SUMIFS(BV_Data_An_Prec!$P:$P,BV_Data_An_Prec!$U:$U,$B65,BV_Data_An_Prec!$V:$V,$C65,BV_Data_An_Prec!$W:$W,Q$2)</f>
        <v>383.73</v>
      </c>
      <c r="R65" s="303"/>
      <c r="S65" s="199">
        <f t="shared" si="43"/>
        <v>-103.42000000000002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4047.3600000000006</v>
      </c>
      <c r="G66" s="302"/>
      <c r="H66" s="178"/>
      <c r="I66" s="179">
        <f>+SUMPRODUCT(('Budget révisé'!$A$8:$A$496=$A66)*('Budget révisé'!$C$3:$AO$3=I$2),'Budget révisé'!$C$8:$AO$496)</f>
        <v>4047.3600000000006</v>
      </c>
      <c r="J66" s="303"/>
      <c r="K66" s="178"/>
      <c r="L66" s="281">
        <f>SUMIFS(BV_Data_An_Cour!$P:$P,BV_Data_An_Cour!$U:$U,$B66,BV_Data_An_Cour!$V:$V,$C66,BV_Data_An_Cour!$W:$W,L$2)</f>
        <v>4079.84</v>
      </c>
      <c r="M66" s="303"/>
      <c r="N66" s="304">
        <f t="shared" si="42"/>
        <v>32.479999999999563</v>
      </c>
      <c r="O66" s="303"/>
      <c r="P66" s="178"/>
      <c r="Q66" s="180">
        <f>SUMIFS(BV_Data_An_Prec!$P:$P,BV_Data_An_Prec!$U:$U,$B66,BV_Data_An_Prec!$V:$V,$C66,BV_Data_An_Prec!$W:$W,Q$2)</f>
        <v>5169.83</v>
      </c>
      <c r="R66" s="303"/>
      <c r="S66" s="199">
        <f t="shared" si="43"/>
        <v>-1089.9899999999998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4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4315.0400000000009</v>
      </c>
      <c r="G67" s="302"/>
      <c r="H67" s="178"/>
      <c r="I67" s="179">
        <f>+SUMPRODUCT(('Budget révisé'!$A$8:$A$496=$A67)*('Budget révisé'!$C$3:$AO$3=I$2),'Budget révisé'!$C$8:$AO$496)</f>
        <v>4315.0400000000009</v>
      </c>
      <c r="J67" s="303"/>
      <c r="K67" s="178"/>
      <c r="L67" s="281">
        <f>SUMIFS(BV_Data_An_Cour!$P:$P,BV_Data_An_Cour!$U:$U,$B67,BV_Data_An_Cour!$V:$V,$C67,BV_Data_An_Cour!$W:$W,L$2)</f>
        <v>1569.99</v>
      </c>
      <c r="M67" s="303"/>
      <c r="N67" s="304">
        <f t="shared" ref="N67" si="45">L67-I67</f>
        <v>-2745.0500000000011</v>
      </c>
      <c r="O67" s="303"/>
      <c r="P67" s="178"/>
      <c r="Q67" s="180">
        <f>SUMIFS(BV_Data_An_Prec!$P:$P,BV_Data_An_Prec!$U:$U,$B67,BV_Data_An_Prec!$V:$V,$C67,BV_Data_An_Prec!$W:$W,Q$2)</f>
        <v>13667.49</v>
      </c>
      <c r="R67" s="303"/>
      <c r="S67" s="199">
        <f t="shared" ref="S67" si="46">L67-Q67</f>
        <v>-12097.5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4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5971.7353738502752</v>
      </c>
      <c r="G68" s="302"/>
      <c r="H68" s="178"/>
      <c r="I68" s="179">
        <f>+SUMPRODUCT(('Budget révisé'!$A$8:$A$496=$A68)*('Budget révisé'!$C$3:$AO$3=I$2),'Budget révisé'!$C$8:$AO$496)</f>
        <v>5971.7353738502752</v>
      </c>
      <c r="J68" s="303"/>
      <c r="K68" s="178"/>
      <c r="L68" s="985">
        <f>SUMIFS(BV_Data_An_Cour!$O:$O,BV_Data_An_Cour!$U:$U,$B68,BV_Data_An_Cour!$V:$V,$C68,BV_Data_An_Cour!$W:$W,L$2)</f>
        <v>6675.78</v>
      </c>
      <c r="M68" s="303"/>
      <c r="N68" s="304">
        <f t="shared" ref="N68:N69" si="47">L68-I68</f>
        <v>704.04462614972454</v>
      </c>
      <c r="O68" s="303"/>
      <c r="P68" s="178"/>
      <c r="Q68" s="180">
        <f>SUMIFS(BV_Data_An_Prec!$P:$P,BV_Data_An_Prec!$U:$U,$B68,BV_Data_An_Prec!$V:$V,$C68,BV_Data_An_Prec!$W:$W,Q$2)</f>
        <v>15422.43</v>
      </c>
      <c r="R68" s="303"/>
      <c r="S68" s="199">
        <f t="shared" ref="S68:S69" si="48">L68-Q68</f>
        <v>-8746.6500000000015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4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7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8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2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3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2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3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0.31641122569920471</v>
      </c>
      <c r="F72" s="41">
        <f>+SUM(F55:F71)</f>
        <v>100118.32299148574</v>
      </c>
      <c r="G72" s="42" t="s">
        <v>111</v>
      </c>
      <c r="H72" s="40">
        <f>I72/I$27</f>
        <v>0.26227607106370882</v>
      </c>
      <c r="I72" s="41">
        <f>+SUM(I55:I71)</f>
        <v>100118.32299148574</v>
      </c>
      <c r="J72" s="42" t="s">
        <v>111</v>
      </c>
      <c r="K72" s="40">
        <f>L72/L$27</f>
        <v>0.2071586926953618</v>
      </c>
      <c r="L72" s="41">
        <f>+SUM(L55:L71)</f>
        <v>71167.260000000009</v>
      </c>
      <c r="M72" s="44"/>
      <c r="N72" s="41">
        <f>+SUM(N55:N71)</f>
        <v>-28951.062991485753</v>
      </c>
      <c r="O72" s="42" t="s">
        <v>111</v>
      </c>
      <c r="P72" s="40">
        <f>Q72/Q$27</f>
        <v>0.48192737287598186</v>
      </c>
      <c r="Q72" s="41">
        <f>+SUM(Q55:Q71)</f>
        <v>128508.04000000001</v>
      </c>
      <c r="R72" s="44"/>
      <c r="S72" s="316">
        <f>+SUM(S55:S71)</f>
        <v>-57340.78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1.6507647678610031</v>
      </c>
      <c r="F74" s="41">
        <f>F41+F54+F72</f>
        <v>522332.2903492304</v>
      </c>
      <c r="G74" s="42" t="s">
        <v>111</v>
      </c>
      <c r="H74" s="40">
        <f>I74/I$27</f>
        <v>1.3719104223205336</v>
      </c>
      <c r="I74" s="41">
        <f>I41+I54+I72</f>
        <v>523697.68320918852</v>
      </c>
      <c r="J74" s="42" t="s">
        <v>111</v>
      </c>
      <c r="K74" s="40">
        <f>L74/L$27</f>
        <v>1.2784058628196273</v>
      </c>
      <c r="L74" s="41">
        <f>L41+L54+L72</f>
        <v>439183.32000000007</v>
      </c>
      <c r="M74" s="44"/>
      <c r="N74" s="46">
        <f>L74-I74</f>
        <v>-84514.36320918845</v>
      </c>
      <c r="O74" s="42" t="s">
        <v>111</v>
      </c>
      <c r="P74" s="40">
        <f>Q74/Q$27</f>
        <v>2.2313251044788807</v>
      </c>
      <c r="Q74" s="41">
        <f>Q41+Q54+Q72</f>
        <v>594992.59</v>
      </c>
      <c r="R74" s="44"/>
      <c r="S74" s="299">
        <f>L74-Q74</f>
        <v>-155809.2699999999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90715.275000000023</v>
      </c>
      <c r="G75" s="302"/>
      <c r="H75" s="178"/>
      <c r="I75" s="179">
        <f>+SUMPRODUCT(('Budget révisé'!$A$8:$A$496=$A75)*('Budget révisé'!$C$3:$AO$3=I$2),'Budget révisé'!$C$8:$AO$496)</f>
        <v>21787.551410622465</v>
      </c>
      <c r="J75" s="303"/>
      <c r="K75" s="178"/>
      <c r="L75" s="554">
        <f>-SUMIFS(BV_Data_An_Cour!$P:$P,BV_Data_An_Cour!$U:$U,$B75,BV_Data_An_Cour!$V:$V,$C75,BV_Data_An_Cour!$W:$W,L$2)</f>
        <v>65776.52</v>
      </c>
      <c r="M75" s="303"/>
      <c r="N75" s="304"/>
      <c r="O75" s="303"/>
      <c r="P75" s="178"/>
      <c r="Q75" s="554">
        <f>-SUMIFS(BV_Data_An_Prec!$P:$P,BV_Data_An_Prec!$U:$U,$B75,BV_Data_An_Prec!$V:$V,$C75,BV_Data_An_Prec!$W:$W,Q$2)</f>
        <v>26080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49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0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145551.13500000001</v>
      </c>
      <c r="G78" s="302"/>
      <c r="H78" s="178"/>
      <c r="I78" s="179">
        <f>+SUMPRODUCT(('Budget révisé'!$A$8:$A$496=$A78)*('Budget révisé'!$C$3:$AO$3=I$2),'Budget révisé'!$C$8:$AO$496)</f>
        <v>147852.33871541501</v>
      </c>
      <c r="J78" s="303"/>
      <c r="K78" s="178"/>
      <c r="L78" s="281">
        <f>-SUMIFS(BV_Data_An_Cour!$P:$P,BV_Data_An_Cour!$U:$U,$B78,BV_Data_An_Cour!$V:$V,$C78,BV_Data_An_Cour!$W:$W,L$2)</f>
        <v>229570</v>
      </c>
      <c r="M78" s="303"/>
      <c r="N78" s="304">
        <f t="shared" si="49"/>
        <v>81717.661284584989</v>
      </c>
      <c r="O78" s="303"/>
      <c r="P78" s="178"/>
      <c r="Q78" s="554">
        <f>-SUMIFS(BV_Data_An_Prec!$P:$P,BV_Data_An_Prec!$U:$U,$B78,BV_Data_An_Prec!$V:$V,$C78,BV_Data_An_Prec!$W:$W,Q$2)</f>
        <v>240979.1</v>
      </c>
      <c r="R78" s="303"/>
      <c r="S78" s="199">
        <f t="shared" si="50"/>
        <v>-11409.100000000006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1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2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3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1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2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3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1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2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3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52474.795932325549</v>
      </c>
      <c r="G82" s="302"/>
      <c r="H82" s="178"/>
      <c r="I82" s="179">
        <f>+SUMPRODUCT(('Budget révisé'!$A$8:$A$496=$A82)*('Budget révisé'!$C$3:$AO$3=I$2),'Budget révisé'!$C$8:$AO$496)</f>
        <v>52474.795932325556</v>
      </c>
      <c r="J82" s="303"/>
      <c r="K82" s="178"/>
      <c r="L82" s="985">
        <f>-SUMIFS(BV_Data_An_Cour!$P:$P,BV_Data_An_Cour!$U:$U,$B82,BV_Data_An_Cour!$V:$V,$C82,BV_Data_An_Cour!$W:$W,L$2)</f>
        <v>72714.7</v>
      </c>
      <c r="M82" s="303"/>
      <c r="N82" s="304">
        <f t="shared" si="49"/>
        <v>20239.904067674441</v>
      </c>
      <c r="O82" s="303"/>
      <c r="P82" s="178"/>
      <c r="Q82" s="554">
        <f>-SUMIFS(BV_Data_An_Prec!$P:$P,BV_Data_An_Prec!$U:$U,$B82,BV_Data_An_Prec!$V:$V,$C82,BV_Data_An_Prec!$W:$W,Q$2)</f>
        <v>82700.25</v>
      </c>
      <c r="R82" s="303"/>
      <c r="S82" s="199">
        <f t="shared" si="50"/>
        <v>-9985.5500000000029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288741.20593232557</v>
      </c>
      <c r="G83" s="42"/>
      <c r="H83" s="40"/>
      <c r="I83" s="41">
        <f>+SUM(I75:I82)</f>
        <v>222114.68605836303</v>
      </c>
      <c r="J83" s="42"/>
      <c r="K83" s="40"/>
      <c r="L83" s="41">
        <f>+SUM(L75:L82)</f>
        <v>368061.22000000003</v>
      </c>
      <c r="M83" s="44"/>
      <c r="N83" s="41">
        <f>+SUM(N75:N82)</f>
        <v>101957.56535225944</v>
      </c>
      <c r="O83" s="42"/>
      <c r="P83" s="40"/>
      <c r="Q83" s="41">
        <f>+SUM(Q75:Q82)</f>
        <v>349759.35</v>
      </c>
      <c r="R83" s="44"/>
      <c r="S83" s="316">
        <f>+SUM(S75:S82)</f>
        <v>-21394.650000000009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82827.281493610877</v>
      </c>
      <c r="G85" s="436"/>
      <c r="H85" s="346"/>
      <c r="I85" s="343">
        <f>I27-I74+I83</f>
        <v>80145.776600578829</v>
      </c>
      <c r="J85" s="436"/>
      <c r="K85" s="342"/>
      <c r="L85" s="343">
        <f>L27-L74+L83</f>
        <v>272417.72000000044</v>
      </c>
      <c r="M85" s="436"/>
      <c r="N85" s="343">
        <f>N27-N41-N54-N72+N83</f>
        <v>148282.97481004414</v>
      </c>
      <c r="O85" s="436"/>
      <c r="P85" s="342"/>
      <c r="Q85" s="343">
        <f>Q27-Q74+Q83</f>
        <v>21421.129999999946</v>
      </c>
      <c r="R85" s="436"/>
      <c r="S85" s="347">
        <f>S27-S41-S54-S72+S83</f>
        <v>182589.73000000051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4" t="s">
        <v>77</v>
      </c>
      <c r="E91" s="1135"/>
      <c r="F91" s="1136"/>
      <c r="G91" s="1137" t="s">
        <v>145</v>
      </c>
      <c r="H91" s="1135"/>
      <c r="I91" s="1136"/>
      <c r="J91" s="1137" t="s">
        <v>79</v>
      </c>
      <c r="K91" s="1135"/>
      <c r="L91" s="1136"/>
      <c r="M91" s="1137" t="s">
        <v>80</v>
      </c>
      <c r="N91" s="1136"/>
      <c r="O91" s="1134" t="s">
        <v>81</v>
      </c>
      <c r="P91" s="1135"/>
      <c r="Q91" s="1136"/>
      <c r="R91" s="1137" t="s">
        <v>82</v>
      </c>
      <c r="S91" s="1138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4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2210171.0403027656</v>
      </c>
      <c r="G93" s="183"/>
      <c r="H93" s="184"/>
      <c r="I93" s="177">
        <f>+SUMPRODUCT(('Budget révisé'!$A$8:$A$496=$A93)*('Budget révisé'!$C$3:$AO$3=I$2),'Budget révisé'!$C$8:$AO$496)</f>
        <v>2210171.0403027656</v>
      </c>
      <c r="J93" s="568"/>
      <c r="K93" s="184"/>
      <c r="L93" s="177">
        <f>-SUMIFS(BV_Data_An_Cour!$P:$P,BV_Data_An_Cour!$X:$X,"Oui",BV_Data_An_Cour!$U:$U,$B93)</f>
        <v>2988597.4800000004</v>
      </c>
      <c r="M93" s="395"/>
      <c r="N93" s="396"/>
      <c r="O93" s="568"/>
      <c r="P93" s="184"/>
      <c r="Q93" s="177">
        <f>-SUMIFS(BV_Data_An_Prec!$P:$P,BV_Data_An_Prec!$X:$X,"Oui",BV_Data_An_Prec!$U:$U,$B93)</f>
        <v>2018974.9999999998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4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66.332738982659336</v>
      </c>
      <c r="E94" s="179">
        <f>IF(D94=0,0,F94/D94)</f>
        <v>750</v>
      </c>
      <c r="F94" s="179">
        <f>+SUMPRODUCT(('Budget original'!$A$8:$A$496=$A94)*('Budget original'!$C$3:$AO$3=F$2),'Budget original'!$C$8:$AO$496)</f>
        <v>49749.554236994503</v>
      </c>
      <c r="G94" s="182">
        <f>+SUMPRODUCT(('Budget révisé'!$A$8:$A$496=$A94)*('Budget révisé'!$C$3:$AO$3=G$2),'Budget révisé'!$C$8:$AO$496)</f>
        <v>66.332738982659336</v>
      </c>
      <c r="H94" s="179">
        <f>IF(G94=0,0,I94/G94)</f>
        <v>750</v>
      </c>
      <c r="I94" s="179">
        <f>+SUMPRODUCT(('Budget révisé'!$A$8:$A$496=$A94)*('Budget révisé'!$C$3:$AO$3=I$2),'Budget révisé'!$C$8:$AO$496)</f>
        <v>49749.554236994503</v>
      </c>
      <c r="J94" s="569">
        <f>-SUMIFS(BV_Data_An_Cour!$P:$P,BV_Data_An_Cour!$U:$U,$B94,BV_Data_An_Cour!$V:$V,$C94,BV_Data_An_Cour!$W:$W,J$2)</f>
        <v>86</v>
      </c>
      <c r="K94" s="179">
        <f t="shared" ref="K94:K95" si="55">IF(J94=0,0,L94/J94)</f>
        <v>887.39534883721069</v>
      </c>
      <c r="L94" s="180">
        <f>-SUMIFS(BV_Data_An_Cour!$P:$P,BV_Data_An_Cour!$U:$U,$B94,BV_Data_An_Cour!$V:$V,$C94,BV_Data_An_Cour!$W:$W,$L2)</f>
        <v>76316.000000000116</v>
      </c>
      <c r="M94" s="182">
        <f>J94-G94</f>
        <v>19.667261017340664</v>
      </c>
      <c r="N94" s="180">
        <f>L94-I94</f>
        <v>26566.445763005613</v>
      </c>
      <c r="O94" s="569">
        <f>-SUMIFS(BV_Data_An_Prec!$P:$P,BV_Data_An_Prec!$U:$U,$B94,BV_Data_An_Prec!$V:$V,$C94,BV_Data_An_Prec!$W:$W,O$2)</f>
        <v>0</v>
      </c>
      <c r="P94" s="179">
        <f t="shared" ref="P94:P95" si="56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7">J94-O94</f>
        <v>86</v>
      </c>
      <c r="S94" s="399">
        <f t="shared" ref="S94:S95" si="58">L94-Q94</f>
        <v>76316.000000000116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4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3.7832360636497722</v>
      </c>
      <c r="E95" s="184">
        <f t="shared" ref="E95:E104" si="59">IF(D95=0,0,F95/D95)</f>
        <v>749.99999999999989</v>
      </c>
      <c r="F95" s="179">
        <f>+SUMPRODUCT(('Budget original'!$A$8:$A$496=$A95)*('Budget original'!$C$3:$AO$3=F$2),'Budget original'!$C$8:$AO$496)</f>
        <v>2837.4270477373288</v>
      </c>
      <c r="G95" s="182">
        <f>+SUMPRODUCT(('Budget révisé'!$A$8:$A$496=$A95)*('Budget révisé'!$C$3:$AO$3=G$2),'Budget révisé'!$C$8:$AO$496)</f>
        <v>3.7832360636497722</v>
      </c>
      <c r="H95" s="179">
        <f t="shared" ref="H95:H104" si="60">IF(G95=0,0,I95/G95)</f>
        <v>749.99999999999989</v>
      </c>
      <c r="I95" s="179">
        <f>+SUMPRODUCT(('Budget révisé'!$A$8:$A$496=$A95)*('Budget révisé'!$C$3:$AO$3=I$2),'Budget révisé'!$C$8:$AO$496)</f>
        <v>2837.4270477373288</v>
      </c>
      <c r="J95" s="182">
        <f>-SUMIFS(BV_Data_An_Cour!$P:$P,BV_Data_An_Cour!$U:$U,$B95,BV_Data_An_Cour!$V:$V,$C95,BV_Data_An_Cour!$W:$W,J$2)</f>
        <v>1</v>
      </c>
      <c r="K95" s="179">
        <f t="shared" si="55"/>
        <v>715</v>
      </c>
      <c r="L95" s="554">
        <f>-SUMIFS(BV_Data_An_Cour!$P:$P,BV_Data_An_Cour!$U:$U,$B95,BV_Data_An_Cour!$V:$V,$C95,BV_Data_An_Cour!$W:$W,$L2)</f>
        <v>715</v>
      </c>
      <c r="M95" s="182"/>
      <c r="N95" s="180"/>
      <c r="O95" s="182">
        <f>-SUMIFS(BV_Data_An_Prec!$P:$P,BV_Data_An_Prec!$U:$U,$B95,BV_Data_An_Prec!$V:$V,$C95,BV_Data_An_Prec!$W:$W,O$2)</f>
        <v>79</v>
      </c>
      <c r="P95" s="179">
        <f t="shared" si="56"/>
        <v>381.39354430379342</v>
      </c>
      <c r="Q95" s="554">
        <f>-SUMIFS(BV_Data_An_Prec!$P:$P,BV_Data_An_Prec!$U:$U,$B95,BV_Data_An_Prec!$V:$V,$C95,BV_Data_An_Prec!$W:$W,$L2)</f>
        <v>30130.08999999968</v>
      </c>
      <c r="R95" s="182">
        <f t="shared" si="57"/>
        <v>-78</v>
      </c>
      <c r="S95" s="399">
        <f t="shared" si="58"/>
        <v>-29415.08999999968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4"/>
        <v>Véhicules usagésTotal Usagés</v>
      </c>
      <c r="B96" s="24" t="s">
        <v>144</v>
      </c>
      <c r="C96" s="400" t="s">
        <v>148</v>
      </c>
      <c r="D96" s="401">
        <f>+D95+D94</f>
        <v>70.115975046309103</v>
      </c>
      <c r="E96" s="179">
        <f t="shared" si="59"/>
        <v>750.00000000000011</v>
      </c>
      <c r="F96" s="402">
        <f t="shared" ref="F96" si="61">+F94+F95</f>
        <v>52586.981284731832</v>
      </c>
      <c r="G96" s="403">
        <f>+G95+G94</f>
        <v>70.115975046309103</v>
      </c>
      <c r="H96" s="401">
        <f t="shared" si="60"/>
        <v>750.00000000000011</v>
      </c>
      <c r="I96" s="402">
        <f t="shared" ref="I96" si="62">+I94+I95</f>
        <v>52586.981284731832</v>
      </c>
      <c r="J96" s="403">
        <f t="shared" ref="J96" si="63">+J94+J95</f>
        <v>87</v>
      </c>
      <c r="K96" s="401">
        <f>IF(J96&lt;=0,0,L96/J96)</f>
        <v>885.41379310344962</v>
      </c>
      <c r="L96" s="402">
        <f>+L94+L95</f>
        <v>77031.000000000116</v>
      </c>
      <c r="M96" s="403">
        <f>J96-G96</f>
        <v>16.884024953690897</v>
      </c>
      <c r="N96" s="402">
        <f>L96-I96</f>
        <v>24444.018715268285</v>
      </c>
      <c r="O96" s="403">
        <f t="shared" ref="O96" si="64">+O94+O95</f>
        <v>79</v>
      </c>
      <c r="P96" s="401">
        <f>IF(O96&lt;=0,0,Q96/O96)</f>
        <v>381.39354430379342</v>
      </c>
      <c r="Q96" s="402">
        <f>+Q94+Q95</f>
        <v>30130.08999999968</v>
      </c>
      <c r="R96" s="403">
        <f t="shared" ref="R96:S96" si="65">R94+R95</f>
        <v>8</v>
      </c>
      <c r="S96" s="404">
        <f t="shared" si="65"/>
        <v>46900.91000000044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4"/>
        <v>Véhicules usagés</v>
      </c>
      <c r="B97" s="24" t="s">
        <v>144</v>
      </c>
      <c r="C97" s="264"/>
      <c r="D97" s="178"/>
      <c r="E97" s="179">
        <f t="shared" si="59"/>
        <v>0</v>
      </c>
      <c r="F97" s="312"/>
      <c r="G97" s="303"/>
      <c r="H97" s="178">
        <f t="shared" si="60"/>
        <v>0</v>
      </c>
      <c r="I97" s="312"/>
      <c r="J97" s="303"/>
      <c r="K97" s="178"/>
      <c r="L97" s="312"/>
      <c r="M97" s="362">
        <f>M96/G96</f>
        <v>0.24080140000249017</v>
      </c>
      <c r="N97" s="332">
        <f>N96/I96</f>
        <v>0.46483023208570046</v>
      </c>
      <c r="O97" s="303"/>
      <c r="P97" s="178"/>
      <c r="Q97" s="312"/>
      <c r="R97" s="362">
        <f>R96/O96</f>
        <v>0.10126582278481013</v>
      </c>
      <c r="S97" s="333">
        <f>IF(Q96=0,0,(S96/Q96))</f>
        <v>1.5566136709183722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4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59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0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6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7">J98-G98</f>
        <v>0</v>
      </c>
      <c r="N98" s="180">
        <f t="shared" ref="N98:N99" si="68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69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0">J98-O98</f>
        <v>0</v>
      </c>
      <c r="S98" s="399">
        <f t="shared" ref="S98:S99" si="71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4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59.414063065556668</v>
      </c>
      <c r="E99" s="179">
        <f t="shared" si="59"/>
        <v>120</v>
      </c>
      <c r="F99" s="179">
        <f>+SUMPRODUCT(('Budget original'!$A$8:$A$496=$A99)*('Budget original'!$C$3:$AO$3=F$2),'Budget original'!$C$8:$AO$496)</f>
        <v>7129.6875678668002</v>
      </c>
      <c r="G99" s="303">
        <f>+SUMPRODUCT(('Budget révisé'!$A$8:$A$496=$A99)*('Budget révisé'!$C$3:$AO$3=G$2),'Budget révisé'!$C$8:$AO$496)</f>
        <v>59.414063065556668</v>
      </c>
      <c r="H99" s="179">
        <f t="shared" si="60"/>
        <v>120</v>
      </c>
      <c r="I99" s="179">
        <f>+SUMPRODUCT(('Budget révisé'!$A$8:$A$496=$A99)*('Budget révisé'!$C$3:$AO$3=I$2),'Budget révisé'!$C$8:$AO$496)</f>
        <v>7129.6875678668002</v>
      </c>
      <c r="J99" s="182">
        <f>-SUMIFS(BV_Data_An_Cour!$P:$P,BV_Data_An_Cour!$U:$U,$B99,BV_Data_An_Cour!$V:$V,$C99,BV_Data_An_Cour!$W:$W,J$2)</f>
        <v>92</v>
      </c>
      <c r="K99" s="179">
        <f t="shared" si="66"/>
        <v>85.000326086956832</v>
      </c>
      <c r="L99" s="180">
        <f>-SUMIFS(BV_Data_An_Cour!$P:$P,BV_Data_An_Cour!$U:$U,$B99,BV_Data_An_Cour!$V:$V,$C99,BV_Data_An_Cour!$W:$W,L$2)</f>
        <v>7820.0300000000279</v>
      </c>
      <c r="M99" s="182">
        <f t="shared" si="67"/>
        <v>32.585936934443332</v>
      </c>
      <c r="N99" s="180">
        <f t="shared" si="68"/>
        <v>690.3424321332277</v>
      </c>
      <c r="O99" s="182">
        <f>-SUMIFS(BV_Data_An_Prec!$P:$P,BV_Data_An_Prec!$U:$U,$B99,BV_Data_An_Prec!$V:$V,$C99,BV_Data_An_Prec!$W:$W,O$2)</f>
        <v>51</v>
      </c>
      <c r="P99" s="179">
        <f t="shared" si="69"/>
        <v>102.0568627450985</v>
      </c>
      <c r="Q99" s="180">
        <f>-SUMIFS(BV_Data_An_Prec!$P:$P,BV_Data_An_Prec!$U:$U,$B99,BV_Data_An_Prec!$V:$V,$C99,BV_Data_An_Prec!$W:$W,Q$2)</f>
        <v>5204.9000000000233</v>
      </c>
      <c r="R99" s="182">
        <f t="shared" si="70"/>
        <v>41</v>
      </c>
      <c r="S99" s="399">
        <f t="shared" si="71"/>
        <v>2615.1300000000047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4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4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59"/>
        <v>0</v>
      </c>
      <c r="F101" s="180">
        <f>+SUMPRODUCT(('Budget original'!$A$8:$A$496=$A101)*('Budget original'!$C$3:$AO$3=F$2),'Budget original'!$C$8:$AO$496)</f>
        <v>56379.804496301193</v>
      </c>
      <c r="G101" s="182">
        <f>+SUMPRODUCT(('Budget révisé'!$A$8:$A$496=$A101)*('Budget révisé'!$C$3:$AO$3=G$2),'Budget révisé'!$C$8:$AO$496)</f>
        <v>0</v>
      </c>
      <c r="H101" s="179">
        <f t="shared" si="60"/>
        <v>0</v>
      </c>
      <c r="I101" s="179">
        <f>+SUMPRODUCT(('Budget révisé'!$A$8:$A$496=$A101)*('Budget révisé'!$C$3:$AO$3=I$2),'Budget révisé'!$C$8:$AO$496)</f>
        <v>56379.804496301193</v>
      </c>
      <c r="J101" s="182"/>
      <c r="K101" s="179">
        <f>IF(J96=0,0,L101/J96)</f>
        <v>507.25229885057468</v>
      </c>
      <c r="L101" s="180">
        <f>-SUMIFS(BV_Data_An_Cour!$P:$P,BV_Data_An_Cour!$U:$U,$B101,BV_Data_An_Cour!$V:$V,$C101,BV_Data_An_Cour!$W:$W,$L2)</f>
        <v>44130.95</v>
      </c>
      <c r="M101" s="182"/>
      <c r="N101" s="180">
        <f t="shared" ref="N101:N104" si="72">L101-I101</f>
        <v>-12248.854496301195</v>
      </c>
      <c r="O101" s="182"/>
      <c r="P101" s="179">
        <f>IF(O96=0,0,Q101/O96)</f>
        <v>475.90835443037975</v>
      </c>
      <c r="Q101" s="180">
        <f>-SUMIFS(BV_Data_An_Prec!$P:$P,BV_Data_An_Prec!$U:$U,$B101,BV_Data_An_Prec!$V:$V,$C101,BV_Data_An_Prec!$W:$W,$L2)</f>
        <v>37596.76</v>
      </c>
      <c r="R101" s="182">
        <f t="shared" ref="R101:R103" si="73">O101-K101</f>
        <v>-507.25229885057468</v>
      </c>
      <c r="S101" s="399">
        <f t="shared" ref="S101:S104" si="74">L101-Q101</f>
        <v>6534.1899999999951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4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59"/>
        <v>0</v>
      </c>
      <c r="F102" s="180">
        <f>+SUMPRODUCT(('Budget original'!$A$8:$A$496=$A102)*('Budget original'!$C$3:$AO$3=F$2),'Budget original'!$C$8:$AO$496)</f>
        <v>63897.111762474684</v>
      </c>
      <c r="G102" s="182">
        <f>+SUMPRODUCT(('Budget révisé'!$A$8:$A$496=$A102)*('Budget révisé'!$C$3:$AO$3=G$2),'Budget révisé'!$C$8:$AO$496)</f>
        <v>0</v>
      </c>
      <c r="H102" s="179">
        <f t="shared" si="60"/>
        <v>0</v>
      </c>
      <c r="I102" s="179">
        <f>+SUMPRODUCT(('Budget révisé'!$A$8:$A$496=$A102)*('Budget révisé'!$C$3:$AO$3=I$2),'Budget révisé'!$C$8:$AO$496)</f>
        <v>63897.111762474684</v>
      </c>
      <c r="J102" s="182"/>
      <c r="K102" s="179">
        <f>IF(J96=0,0,L102/J96)</f>
        <v>1096.3785057471264</v>
      </c>
      <c r="L102" s="180">
        <f>-SUMIFS(BV_Data_An_Cour!$P:$P,BV_Data_An_Cour!$U:$U,$B102,BV_Data_An_Cour!$V:$V,$C102,BV_Data_An_Cour!$W:$W,$L2)</f>
        <v>95384.93</v>
      </c>
      <c r="M102" s="182"/>
      <c r="N102" s="180">
        <f t="shared" si="72"/>
        <v>31487.818237525309</v>
      </c>
      <c r="O102" s="182"/>
      <c r="P102" s="179">
        <f>IF(O96=0,0,Q102/O96)</f>
        <v>574.34658227848104</v>
      </c>
      <c r="Q102" s="180">
        <f>-SUMIFS(BV_Data_An_Prec!$P:$P,BV_Data_An_Prec!$U:$U,$B102,BV_Data_An_Prec!$V:$V,$C102,BV_Data_An_Prec!$W:$W,$L2)</f>
        <v>45373.380000000005</v>
      </c>
      <c r="R102" s="182">
        <f t="shared" si="73"/>
        <v>-1096.3785057471264</v>
      </c>
      <c r="S102" s="399">
        <f t="shared" si="74"/>
        <v>50011.549999999988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4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59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0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54.568850574712641</v>
      </c>
      <c r="L103" s="180">
        <f>-SUMIFS(BV_Data_An_Cour!$P:$P,BV_Data_An_Cour!$U:$U,$B103,BV_Data_An_Cour!$V:$V,$C103,BV_Data_An_Cour!$W:$W,$L$2)</f>
        <v>4747.49</v>
      </c>
      <c r="M103" s="406"/>
      <c r="N103" s="180">
        <f t="shared" si="72"/>
        <v>4747.49</v>
      </c>
      <c r="O103" s="182"/>
      <c r="P103" s="407">
        <f>IF(O96=0,0,Q103/O96)</f>
        <v>10.486582278481013</v>
      </c>
      <c r="Q103" s="180">
        <f>-SUMIFS(BV_Data_An_Prec!$P:$P,BV_Data_An_Prec!$U:$U,$B103,BV_Data_An_Prec!$V:$V,$C103,BV_Data_An_Prec!$W:$W,$L$2)</f>
        <v>828.44</v>
      </c>
      <c r="R103" s="182">
        <f t="shared" si="73"/>
        <v>-54.568850574712641</v>
      </c>
      <c r="S103" s="399">
        <f t="shared" si="74"/>
        <v>3919.0499999999997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4"/>
        <v>Véhicules usagésTotal F&amp;I</v>
      </c>
      <c r="B104" s="24" t="s">
        <v>144</v>
      </c>
      <c r="C104" s="400" t="s">
        <v>100</v>
      </c>
      <c r="D104" s="401">
        <f>D96</f>
        <v>70.115975046309103</v>
      </c>
      <c r="E104" s="179">
        <f t="shared" si="59"/>
        <v>1715.3996101364526</v>
      </c>
      <c r="F104" s="402">
        <f>F101+F102+F103</f>
        <v>120276.91625877588</v>
      </c>
      <c r="G104" s="403">
        <f>G96</f>
        <v>70.115975046309103</v>
      </c>
      <c r="H104" s="401">
        <f t="shared" si="60"/>
        <v>1715.3996101364526</v>
      </c>
      <c r="I104" s="402">
        <f>I101+I102+I103</f>
        <v>120276.91625877588</v>
      </c>
      <c r="J104" s="403">
        <f>J96</f>
        <v>87</v>
      </c>
      <c r="K104" s="401">
        <f>IF(J104&lt;=0,0,L104/J104)</f>
        <v>1658.1996551724137</v>
      </c>
      <c r="L104" s="402">
        <f>L101+L102+L103</f>
        <v>144263.37</v>
      </c>
      <c r="M104" s="182">
        <f>J104-G104</f>
        <v>16.884024953690897</v>
      </c>
      <c r="N104" s="402">
        <f t="shared" si="72"/>
        <v>23986.453741224119</v>
      </c>
      <c r="O104" s="403">
        <f>O96</f>
        <v>79</v>
      </c>
      <c r="P104" s="401">
        <f>IF(O104&lt;=0,0,Q104/O104)</f>
        <v>1060.741518987342</v>
      </c>
      <c r="Q104" s="402">
        <f>Q101+Q102+Q103</f>
        <v>83798.580000000016</v>
      </c>
      <c r="R104" s="411"/>
      <c r="S104" s="404">
        <f t="shared" si="74"/>
        <v>60464.789999999979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4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0.19942690989530565</v>
      </c>
      <c r="O105" s="303"/>
      <c r="P105" s="178"/>
      <c r="Q105" s="304"/>
      <c r="R105" s="325"/>
      <c r="S105" s="333">
        <f>IF(Q104=0,0,(S104/Q104))</f>
        <v>0.72154910023534968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4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4"/>
        <v>Véhicules usagésTotal Dépt. Usagés</v>
      </c>
      <c r="B107" s="24" t="s">
        <v>144</v>
      </c>
      <c r="C107" s="269" t="s">
        <v>151</v>
      </c>
      <c r="D107" s="26">
        <f>D96+D99</f>
        <v>129.53003811186576</v>
      </c>
      <c r="E107" s="30">
        <f>IF(D107&lt;=0,0,F107/D107)</f>
        <v>1389.5895325524957</v>
      </c>
      <c r="F107" s="28">
        <f>F96+F104+F99</f>
        <v>179993.5851113745</v>
      </c>
      <c r="G107" s="29">
        <f>G96+G99</f>
        <v>129.53003811186576</v>
      </c>
      <c r="H107" s="30">
        <f>IF(G107&lt;=0,0,I107/G107)</f>
        <v>1389.5895325524957</v>
      </c>
      <c r="I107" s="28">
        <f>I96+I104+I99</f>
        <v>179993.5851113745</v>
      </c>
      <c r="J107" s="29">
        <f>J96+J99</f>
        <v>179</v>
      </c>
      <c r="K107" s="30">
        <f>IF(J107&lt;=0,0,L107/J107)</f>
        <v>1279.9687150837997</v>
      </c>
      <c r="L107" s="28">
        <f>L96+L104+L99</f>
        <v>229114.40000000014</v>
      </c>
      <c r="M107" s="29">
        <f>J107-G107</f>
        <v>49.469961888134236</v>
      </c>
      <c r="N107" s="28">
        <f>L107-I107</f>
        <v>49120.814888625639</v>
      </c>
      <c r="O107" s="29">
        <f>O96+O99</f>
        <v>130</v>
      </c>
      <c r="P107" s="30">
        <f>IF(O107&lt;=0,0,Q107/O107)</f>
        <v>916.41207692307478</v>
      </c>
      <c r="Q107" s="28">
        <f>Q96+Q104+Q99</f>
        <v>119133.56999999972</v>
      </c>
      <c r="R107" s="29">
        <f>J107-O107</f>
        <v>49</v>
      </c>
      <c r="S107" s="363">
        <f>L107-Q107</f>
        <v>109980.83000000042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4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0.38191883990191211</v>
      </c>
      <c r="N108" s="34">
        <f>N107/I107</f>
        <v>0.27290314184381176</v>
      </c>
      <c r="O108" s="31"/>
      <c r="P108" s="365"/>
      <c r="Q108" s="32"/>
      <c r="R108" s="33">
        <f>O107/R107</f>
        <v>2.6530612244897958</v>
      </c>
      <c r="S108" s="412">
        <f>IF(Q107=0,0,(S107/Q107))</f>
        <v>0.92317245256732161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4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4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4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5">F111/D$96</f>
        <v>498.32264805563824</v>
      </c>
      <c r="F111" s="179">
        <f>+SUMPRODUCT(('Budget original'!$A$8:$A$496=$A111)*('Budget original'!$C$3:$AO$3=F$2),'Budget original'!$C$8:$AO$496)</f>
        <v>34940.378356079804</v>
      </c>
      <c r="G111" s="302"/>
      <c r="H111" s="197">
        <f t="shared" ref="H111:H116" si="76">I111/G$96</f>
        <v>498.32264805563824</v>
      </c>
      <c r="I111" s="179">
        <f>+SUMPRODUCT(('Budget révisé'!$A$8:$A$496=$A111)*('Budget révisé'!$C$3:$AO$3=I$2),'Budget révisé'!$C$8:$AO$496)</f>
        <v>34940.378356079804</v>
      </c>
      <c r="J111" s="976"/>
      <c r="K111" s="197">
        <f t="shared" ref="K111:K116" si="77">IF($J$96=0,0,L111/(J$94+J$95))</f>
        <v>447.81804597701148</v>
      </c>
      <c r="L111" s="180">
        <f>SUMIFS(BV_Data_An_Cour!$P:$P,BV_Data_An_Cour!$U:$U,$B111,BV_Data_An_Cour!$V:$V,$C111,BV_Data_An_Cour!$W:$W,$L$2)</f>
        <v>38960.17</v>
      </c>
      <c r="M111" s="303"/>
      <c r="N111" s="304">
        <f t="shared" ref="N111:N121" si="78">L111-I111</f>
        <v>4019.7916439201945</v>
      </c>
      <c r="O111" s="303"/>
      <c r="P111" s="197">
        <f t="shared" ref="P111:P116" si="79">IF($J$96=0,0,Q111/(O$94+O$95))</f>
        <v>557.5582278481013</v>
      </c>
      <c r="Q111" s="180">
        <f>SUMIFS(BV_Data_An_Prec!$P:$P,BV_Data_An_Prec!$U:$U,$B111,BV_Data_An_Prec!$V:$V,$C111,BV_Data_An_Prec!$W:$W,$L$2)</f>
        <v>44047.1</v>
      </c>
      <c r="R111" s="303"/>
      <c r="S111" s="199">
        <f t="shared" ref="S111:S121" si="80">L111-Q111</f>
        <v>-5086.93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4"/>
        <v>Véhicules usagésComm. F&amp;I</v>
      </c>
      <c r="B112" s="24" t="s">
        <v>144</v>
      </c>
      <c r="C112" s="326" t="s">
        <v>104</v>
      </c>
      <c r="D112" s="307"/>
      <c r="E112" s="413">
        <f t="shared" si="75"/>
        <v>514.61988304093575</v>
      </c>
      <c r="F112" s="177">
        <f>+SUMPRODUCT(('Budget original'!$A$8:$A$496=$A112)*('Budget original'!$C$3:$AO$3=F$2),'Budget original'!$C$8:$AO$496)</f>
        <v>36083.07487763276</v>
      </c>
      <c r="G112" s="309"/>
      <c r="H112" s="413">
        <f t="shared" si="76"/>
        <v>514.61988304093575</v>
      </c>
      <c r="I112" s="177">
        <f>+SUMPRODUCT(('Budget révisé'!$A$8:$A$496=$A112)*('Budget révisé'!$C$3:$AO$3=I$2),'Budget révisé'!$C$8:$AO$496)</f>
        <v>36083.07487763276</v>
      </c>
      <c r="J112" s="977"/>
      <c r="K112" s="413">
        <f t="shared" si="77"/>
        <v>499.22850574712641</v>
      </c>
      <c r="L112" s="180">
        <f>SUMIFS(BV_Data_An_Cour!$P:$P,BV_Data_An_Cour!$U:$U,$B112,BV_Data_An_Cour!$V:$V,$C112,BV_Data_An_Cour!$W:$W,$L$2)</f>
        <v>43432.88</v>
      </c>
      <c r="M112" s="310"/>
      <c r="N112" s="311">
        <f t="shared" si="78"/>
        <v>7349.8051223672373</v>
      </c>
      <c r="O112" s="310"/>
      <c r="P112" s="413">
        <f t="shared" si="79"/>
        <v>206.91848101265822</v>
      </c>
      <c r="Q112" s="180">
        <f>SUMIFS(BV_Data_An_Prec!$P:$P,BV_Data_An_Prec!$U:$U,$B112,BV_Data_An_Prec!$V:$V,$C112,BV_Data_An_Prec!$W:$W,$L$2)</f>
        <v>16346.56</v>
      </c>
      <c r="R112" s="310"/>
      <c r="S112" s="202">
        <f t="shared" si="80"/>
        <v>27086.32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4"/>
        <v>Véhicules usagésFrais de livraison</v>
      </c>
      <c r="B113" s="24" t="s">
        <v>144</v>
      </c>
      <c r="C113" s="264" t="s">
        <v>105</v>
      </c>
      <c r="D113" s="301"/>
      <c r="E113" s="197">
        <f t="shared" si="75"/>
        <v>54.000000000000007</v>
      </c>
      <c r="F113" s="179">
        <f>+SUMPRODUCT(('Budget original'!$A$8:$A$496=$A113)*('Budget original'!$C$3:$AO$3=F$2),'Budget original'!$C$8:$AO$496)</f>
        <v>3786.2626525006922</v>
      </c>
      <c r="G113" s="302"/>
      <c r="H113" s="197">
        <f t="shared" si="76"/>
        <v>54.000000000000007</v>
      </c>
      <c r="I113" s="179">
        <f>+SUMPRODUCT(('Budget révisé'!$A$8:$A$496=$A113)*('Budget révisé'!$C$3:$AO$3=I$2),'Budget révisé'!$C$8:$AO$496)</f>
        <v>3786.2626525006922</v>
      </c>
      <c r="J113" s="303"/>
      <c r="K113" s="197">
        <f t="shared" si="77"/>
        <v>53.579540229885062</v>
      </c>
      <c r="L113" s="181">
        <f>SUMIFS(BV_Data_An_Cour!$P:$P,BV_Data_An_Cour!$U:$U,$B113,BV_Data_An_Cour!$V:$V,$C113,BV_Data_An_Cour!$W:$W,$L$2)</f>
        <v>4661.42</v>
      </c>
      <c r="M113" s="303"/>
      <c r="N113" s="304">
        <f t="shared" si="78"/>
        <v>875.15734749930789</v>
      </c>
      <c r="O113" s="303"/>
      <c r="P113" s="197">
        <f t="shared" si="79"/>
        <v>75.290126582278475</v>
      </c>
      <c r="Q113" s="181">
        <f>SUMIFS(BV_Data_An_Prec!$P:$P,BV_Data_An_Prec!$U:$U,$B113,BV_Data_An_Prec!$V:$V,$C113,BV_Data_An_Prec!$W:$W,$L$2)</f>
        <v>5947.92</v>
      </c>
      <c r="R113" s="303"/>
      <c r="S113" s="199">
        <f t="shared" si="80"/>
        <v>-1286.5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4"/>
        <v>Véhicules usagésService gratuit 1</v>
      </c>
      <c r="B114" s="24" t="s">
        <v>144</v>
      </c>
      <c r="C114" s="264" t="s">
        <v>106</v>
      </c>
      <c r="D114" s="301"/>
      <c r="E114" s="197">
        <f t="shared" si="75"/>
        <v>105</v>
      </c>
      <c r="F114" s="179">
        <f>+SUMPRODUCT(('Budget original'!$A$8:$A$496=$A114)*('Budget original'!$C$3:$AO$3=F$2),'Budget original'!$C$8:$AO$496)</f>
        <v>7362.1773798624563</v>
      </c>
      <c r="G114" s="302"/>
      <c r="H114" s="197">
        <f t="shared" si="76"/>
        <v>105</v>
      </c>
      <c r="I114" s="179">
        <f>+SUMPRODUCT(('Budget révisé'!$A$8:$A$496=$A114)*('Budget révisé'!$C$3:$AO$3=I$2),'Budget révisé'!$C$8:$AO$496)</f>
        <v>7362.1773798624563</v>
      </c>
      <c r="J114" s="303"/>
      <c r="K114" s="197">
        <f t="shared" si="77"/>
        <v>29.148620689655171</v>
      </c>
      <c r="L114" s="180">
        <f>SUMIFS(BV_Data_An_Cour!$P:$P,BV_Data_An_Cour!$U:$U,$B114,BV_Data_An_Cour!$V:$V,$C114,BV_Data_An_Cour!$W:$W,$L$2)</f>
        <v>2535.9299999999998</v>
      </c>
      <c r="M114" s="303"/>
      <c r="N114" s="304">
        <f t="shared" si="78"/>
        <v>-4826.247379862456</v>
      </c>
      <c r="O114" s="303"/>
      <c r="P114" s="197">
        <f t="shared" si="79"/>
        <v>3.2278481012658227</v>
      </c>
      <c r="Q114" s="180">
        <f>SUMIFS(BV_Data_An_Prec!$P:$P,BV_Data_An_Prec!$U:$U,$B114,BV_Data_An_Prec!$V:$V,$C114,BV_Data_An_Prec!$W:$W,$L$2)</f>
        <v>255</v>
      </c>
      <c r="R114" s="303"/>
      <c r="S114" s="199">
        <f t="shared" si="80"/>
        <v>2280.9299999999998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4"/>
        <v>Véhicules usagésEntretien stock</v>
      </c>
      <c r="B115" s="24" t="s">
        <v>144</v>
      </c>
      <c r="C115" s="326" t="s">
        <v>107</v>
      </c>
      <c r="D115" s="307"/>
      <c r="E115" s="413">
        <f t="shared" si="75"/>
        <v>61</v>
      </c>
      <c r="F115" s="177">
        <f>+SUMPRODUCT(('Budget original'!$A$8:$A$496=$A115)*('Budget original'!$C$3:$AO$3=F$2),'Budget original'!$C$8:$AO$496)</f>
        <v>4277.0744778248554</v>
      </c>
      <c r="G115" s="309"/>
      <c r="H115" s="413">
        <f t="shared" si="76"/>
        <v>61</v>
      </c>
      <c r="I115" s="177">
        <f>+SUMPRODUCT(('Budget révisé'!$A$8:$A$496=$A115)*('Budget révisé'!$C$3:$AO$3=I$2),'Budget révisé'!$C$8:$AO$496)</f>
        <v>4277.0744778248554</v>
      </c>
      <c r="J115" s="310"/>
      <c r="K115" s="413">
        <f t="shared" si="77"/>
        <v>85.120689655172413</v>
      </c>
      <c r="L115" s="405">
        <f>SUMIFS(BV_Data_An_Cour!$P:$P,BV_Data_An_Cour!$U:$U,$B115,BV_Data_An_Cour!$V:$V,$C115,BV_Data_An_Cour!$W:$W,$L$2)</f>
        <v>7405.5</v>
      </c>
      <c r="M115" s="310"/>
      <c r="N115" s="311">
        <f t="shared" si="78"/>
        <v>3128.4255221751446</v>
      </c>
      <c r="O115" s="310"/>
      <c r="P115" s="413">
        <f t="shared" si="79"/>
        <v>55.251518987341768</v>
      </c>
      <c r="Q115" s="405">
        <f>SUMIFS(BV_Data_An_Prec!$P:$P,BV_Data_An_Prec!$U:$U,$B115,BV_Data_An_Prec!$V:$V,$C115,BV_Data_An_Prec!$W:$W,$L$2)</f>
        <v>4364.87</v>
      </c>
      <c r="R115" s="310"/>
      <c r="S115" s="202">
        <f t="shared" si="80"/>
        <v>3040.63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4"/>
        <v>Véhicules usagésPublicité 1</v>
      </c>
      <c r="B116" s="24" t="s">
        <v>144</v>
      </c>
      <c r="C116" s="264" t="s">
        <v>108</v>
      </c>
      <c r="D116" s="301"/>
      <c r="E116" s="197">
        <f t="shared" si="75"/>
        <v>27.410526315789458</v>
      </c>
      <c r="F116" s="179">
        <f>+SUMPRODUCT(('Budget original'!$A$8:$A$496=$A116)*('Budget original'!$C$3:$AO$3=F$2),'Budget original'!$C$8:$AO$496)</f>
        <v>1921.9157791640926</v>
      </c>
      <c r="G116" s="302"/>
      <c r="H116" s="197">
        <f t="shared" si="76"/>
        <v>27.410526315789458</v>
      </c>
      <c r="I116" s="179">
        <f>+SUMPRODUCT(('Budget révisé'!$A$8:$A$496=$A116)*('Budget révisé'!$C$3:$AO$3=I$2),'Budget révisé'!$C$8:$AO$496)</f>
        <v>1921.9157791640926</v>
      </c>
      <c r="J116" s="303"/>
      <c r="K116" s="197">
        <f t="shared" si="77"/>
        <v>162.04597701149424</v>
      </c>
      <c r="L116" s="180">
        <f>SUMIFS(BV_Data_An_Cour!$P:$P,BV_Data_An_Cour!$U:$U,$B116,BV_Data_An_Cour!$V:$V,$C116,BV_Data_An_Cour!$W:$W,$L$2)</f>
        <v>14098</v>
      </c>
      <c r="M116" s="303"/>
      <c r="N116" s="304">
        <f t="shared" si="78"/>
        <v>12176.084220835908</v>
      </c>
      <c r="O116" s="303"/>
      <c r="P116" s="197">
        <f t="shared" si="79"/>
        <v>201.01265822784811</v>
      </c>
      <c r="Q116" s="180">
        <f>SUMIFS(BV_Data_An_Prec!$P:$P,BV_Data_An_Prec!$U:$U,$B116,BV_Data_An_Prec!$V:$V,$C116,BV_Data_An_Prec!$W:$W,$L$2)</f>
        <v>15880</v>
      </c>
      <c r="R116" s="303"/>
      <c r="S116" s="199">
        <f t="shared" si="80"/>
        <v>-1782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1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2">F117/D$96</f>
        <v>48.235224118870185</v>
      </c>
      <c r="F117" s="179">
        <f>+SUMPRODUCT(('Budget original'!$A$8:$A$496=$A117)*('Budget original'!$C$3:$AO$3=F$2),'Budget original'!$C$8:$AO$496)</f>
        <v>3382.059770671829</v>
      </c>
      <c r="G117" s="302"/>
      <c r="H117" s="197">
        <f t="shared" ref="H117:H119" si="83">I117/G$96</f>
        <v>48.235224118870185</v>
      </c>
      <c r="I117" s="179">
        <f>+SUMPRODUCT(('Budget révisé'!$A$8:$A$496=$A117)*('Budget révisé'!$C$3:$AO$3=I$2),'Budget révisé'!$C$8:$AO$496)</f>
        <v>3382.059770671829</v>
      </c>
      <c r="J117" s="303"/>
      <c r="K117" s="197">
        <f t="shared" ref="K117:K119" si="84">IF($J$96=0,0,L117/(J$94+J$95))</f>
        <v>20.563793103448276</v>
      </c>
      <c r="L117" s="180">
        <f>SUMIFS(BV_Data_An_Cour!$P:$P,BV_Data_An_Cour!$U:$U,$B117,BV_Data_An_Cour!$V:$V,$C117,BV_Data_An_Cour!$W:$W,$L$2)</f>
        <v>1789.05</v>
      </c>
      <c r="M117" s="303"/>
      <c r="N117" s="304">
        <f t="shared" ref="N117:N119" si="85">L117-I117</f>
        <v>-1593.0097706718291</v>
      </c>
      <c r="O117" s="303"/>
      <c r="P117" s="197">
        <f t="shared" ref="P117:P119" si="86">IF($J$96=0,0,Q117/(O$94+O$95))</f>
        <v>1.6572151898734175</v>
      </c>
      <c r="Q117" s="180">
        <f>SUMIFS(BV_Data_An_Prec!$P:$P,BV_Data_An_Prec!$U:$U,$B117,BV_Data_An_Prec!$V:$V,$C117,BV_Data_An_Prec!$W:$W,$L$2)</f>
        <v>130.91999999999999</v>
      </c>
      <c r="R117" s="303"/>
      <c r="S117" s="199">
        <f t="shared" ref="S117:S119" si="87">L117-Q117</f>
        <v>1658.1299999999999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1"/>
        <v>Véhicules usagés[...]</v>
      </c>
      <c r="B118" s="24" t="s">
        <v>144</v>
      </c>
      <c r="C118" s="264" t="s">
        <v>42</v>
      </c>
      <c r="D118" s="301"/>
      <c r="E118" s="197">
        <f t="shared" si="82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3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4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5"/>
        <v>0</v>
      </c>
      <c r="O118" s="303"/>
      <c r="P118" s="197">
        <f t="shared" si="86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7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1"/>
        <v>Véhicules usagés[...]</v>
      </c>
      <c r="B119" s="24" t="s">
        <v>144</v>
      </c>
      <c r="C119" s="264" t="s">
        <v>42</v>
      </c>
      <c r="D119" s="301"/>
      <c r="E119" s="197">
        <f t="shared" si="82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3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4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5"/>
        <v>0</v>
      </c>
      <c r="O119" s="303"/>
      <c r="P119" s="197">
        <f t="shared" si="86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7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1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8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0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4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0.50975674070252319</v>
      </c>
      <c r="F121" s="41">
        <f>SUM(F111:F120)</f>
        <v>91752.943293736462</v>
      </c>
      <c r="G121" s="42" t="s">
        <v>111</v>
      </c>
      <c r="H121" s="40">
        <f>I121/I$107</f>
        <v>0.50975674070252319</v>
      </c>
      <c r="I121" s="41">
        <f>SUM(I111:I120)</f>
        <v>91752.943293736462</v>
      </c>
      <c r="J121" s="42" t="s">
        <v>111</v>
      </c>
      <c r="K121" s="40">
        <f>L121/L$107</f>
        <v>0.49269251518018908</v>
      </c>
      <c r="L121" s="41">
        <f>SUM(L111:L120)</f>
        <v>112882.94999999998</v>
      </c>
      <c r="M121" s="44"/>
      <c r="N121" s="41">
        <f t="shared" si="78"/>
        <v>21130.006706263521</v>
      </c>
      <c r="O121" s="42" t="s">
        <v>111</v>
      </c>
      <c r="P121" s="40">
        <f>Q121/Q$107</f>
        <v>0.73004082728319319</v>
      </c>
      <c r="Q121" s="41">
        <f>SUM(Q111:Q120)</f>
        <v>86972.37</v>
      </c>
      <c r="R121" s="44"/>
      <c r="S121" s="316">
        <f t="shared" si="80"/>
        <v>25910.579999999987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4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19255.986398467434</v>
      </c>
      <c r="G122" s="303"/>
      <c r="H122" s="178"/>
      <c r="I122" s="179">
        <f>+SUMPRODUCT(('Budget révisé'!$A$8:$A$496=$A122)*('Budget révisé'!$C$3:$AO$3=I$2),'Budget révisé'!$C$8:$AO$496)</f>
        <v>19255.986398467434</v>
      </c>
      <c r="J122" s="303"/>
      <c r="K122" s="178"/>
      <c r="L122" s="281">
        <f>SUMIFS(BV_Data_An_Cour!$P:$P,BV_Data_An_Cour!$U:$U,$B122,BV_Data_An_Cour!$V:$V,$C122,BV_Data_An_Cour!$W:$W,$L$2)</f>
        <v>25251.77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19737.830000000002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4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6483.6270158467451</v>
      </c>
      <c r="G123" s="302"/>
      <c r="H123" s="178"/>
      <c r="I123" s="177">
        <f>+SUMPRODUCT(('Budget révisé'!$A$8:$A$496=$A123)*('Budget révisé'!$C$3:$AO$3=I$2),'Budget révisé'!$C$8:$AO$496)</f>
        <v>6483.6270158467451</v>
      </c>
      <c r="J123" s="303"/>
      <c r="K123" s="178"/>
      <c r="L123" s="177">
        <f>SUMIFS(BV_Data_An_Cour!$P:$P,BV_Data_An_Cour!$U:$U,$B123,BV_Data_An_Cour!$V:$V,$C123,BV_Data_An_Cour!$W:$W,$L$2)</f>
        <v>5756.45</v>
      </c>
      <c r="M123" s="303"/>
      <c r="N123" s="304">
        <f t="shared" ref="N123:N152" si="88">L123-I123</f>
        <v>-727.17701584674523</v>
      </c>
      <c r="O123" s="303"/>
      <c r="P123" s="178"/>
      <c r="Q123" s="177">
        <f>SUMIFS(BV_Data_An_Prec!$P:$P,BV_Data_An_Prec!$U:$U,$B123,BV_Data_An_Prec!$V:$V,$C123,BV_Data_An_Prec!$W:$W,$L$2)</f>
        <v>9024.15</v>
      </c>
      <c r="R123" s="303"/>
      <c r="S123" s="199">
        <f t="shared" ref="S123:S152" si="89">L123-Q123</f>
        <v>-3267.7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4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20443.925412193104</v>
      </c>
      <c r="G124" s="393"/>
      <c r="H124" s="352"/>
      <c r="I124" s="179">
        <f>+SUMPRODUCT(('Budget révisé'!$A$8:$A$496=$A124)*('Budget révisé'!$C$3:$AO$3=I$2),'Budget révisé'!$C$8:$AO$496)</f>
        <v>20443.925412193104</v>
      </c>
      <c r="J124" s="368"/>
      <c r="K124" s="352"/>
      <c r="L124" s="281">
        <f>SUMIFS(BV_Data_An_Cour!$P:$P,BV_Data_An_Cour!$U:$U,$B124,BV_Data_An_Cour!$V:$V,$C124,BV_Data_An_Cour!$W:$W,$L$2)</f>
        <v>18871.830000000002</v>
      </c>
      <c r="M124" s="368"/>
      <c r="N124" s="356">
        <f t="shared" si="88"/>
        <v>-1572.0954121931027</v>
      </c>
      <c r="O124" s="368"/>
      <c r="P124" s="352"/>
      <c r="Q124" s="180">
        <f>SUMIFS(BV_Data_An_Prec!$P:$P,BV_Data_An_Prec!$U:$U,$B124,BV_Data_An_Prec!$V:$V,$C124,BV_Data_An_Prec!$W:$W,$L$2)</f>
        <v>29561.34</v>
      </c>
      <c r="R124" s="368"/>
      <c r="S124" s="201">
        <f t="shared" si="89"/>
        <v>-10689.509999999998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4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8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89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0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1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2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0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1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2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0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1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2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4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14064.839047226382</v>
      </c>
      <c r="G129" s="302"/>
      <c r="H129" s="178"/>
      <c r="I129" s="179">
        <f>+SUMPRODUCT(('Budget révisé'!$A$8:$A$496=$A129)*('Budget révisé'!$C$3:$AO$3=I$2),'Budget révisé'!$C$8:$AO$496)</f>
        <v>14064.839047226382</v>
      </c>
      <c r="J129" s="303"/>
      <c r="K129" s="178"/>
      <c r="L129" s="180">
        <f>SUMIFS(BV_Data_An_Cour!$P:$P,BV_Data_An_Cour!$U:$U,$B129,BV_Data_An_Cour!$V:$V,$C129,BV_Data_An_Cour!$W:$W,$L$2)</f>
        <v>10585.99</v>
      </c>
      <c r="M129" s="303"/>
      <c r="N129" s="304">
        <f t="shared" si="91"/>
        <v>-3478.849047226382</v>
      </c>
      <c r="O129" s="303"/>
      <c r="P129" s="178"/>
      <c r="Q129" s="180">
        <f>SUMIFS(BV_Data_An_Prec!$P:$P,BV_Data_An_Prec!$U:$U,$B129,BV_Data_An_Prec!$V:$V,$C129,BV_Data_An_Prec!$W:$W,$L$2)</f>
        <v>16150.18</v>
      </c>
      <c r="R129" s="303"/>
      <c r="S129" s="199">
        <f t="shared" si="92"/>
        <v>-5564.1900000000005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4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14064.839047226382</v>
      </c>
      <c r="G130" s="287"/>
      <c r="H130" s="286"/>
      <c r="I130" s="633">
        <f>+SUMPRODUCT(('Budget révisé'!$A$8:$A$496=$A130)*('Budget révisé'!$C$3:$AO$3=I$2),'Budget révisé'!$C$8:$AO$496)</f>
        <v>14064.839047226382</v>
      </c>
      <c r="J130" s="288"/>
      <c r="K130" s="286"/>
      <c r="L130" s="634">
        <f>SUMIFS(BV_Data_An_Cour!$P:$P,BV_Data_An_Cour!$U:$U,$B130,BV_Data_An_Cour!$V:$V,$C130,BV_Data_An_Cour!$W:$W,$L$2)</f>
        <v>11608.21</v>
      </c>
      <c r="M130" s="288"/>
      <c r="N130" s="356">
        <f t="shared" si="88"/>
        <v>-2456.6290472263827</v>
      </c>
      <c r="O130" s="288"/>
      <c r="P130" s="286"/>
      <c r="Q130" s="634">
        <f>SUMIFS(BV_Data_An_Prec!$P:$P,BV_Data_An_Prec!$U:$U,$B130,BV_Data_An_Prec!$V:$V,$C130,BV_Data_An_Prec!$W:$W,$L$2)</f>
        <v>16693.89</v>
      </c>
      <c r="R130" s="288"/>
      <c r="S130" s="290">
        <f t="shared" si="89"/>
        <v>-5085.68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4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10079.801317178906</v>
      </c>
      <c r="G131" s="283"/>
      <c r="H131" s="233"/>
      <c r="I131" s="231">
        <f>+SUMPRODUCT(('Budget révisé'!$A$8:$A$496=$A131)*('Budget révisé'!$C$3:$AO$3=I$2),'Budget révisé'!$C$8:$AO$496)</f>
        <v>10079.801317178906</v>
      </c>
      <c r="J131" s="227"/>
      <c r="K131" s="233"/>
      <c r="L131" s="281">
        <f>SUMIFS(BV_Data_An_Cour!$P:$P,BV_Data_An_Cour!$U:$U,$B131,BV_Data_An_Cour!$V:$V,$C131,BV_Data_An_Cour!$W:$W,$L$2)</f>
        <v>8319.2199999999993</v>
      </c>
      <c r="M131" s="227"/>
      <c r="N131" s="304">
        <f t="shared" si="88"/>
        <v>-1760.5813171789068</v>
      </c>
      <c r="O131" s="227"/>
      <c r="P131" s="233"/>
      <c r="Q131" s="281">
        <f>SUMIFS(BV_Data_An_Prec!$P:$P,BV_Data_An_Prec!$U:$U,$B131,BV_Data_An_Prec!$V:$V,$C131,BV_Data_An_Prec!$W:$W,$L$2)</f>
        <v>10611.02</v>
      </c>
      <c r="R131" s="227"/>
      <c r="S131" s="284">
        <f t="shared" si="89"/>
        <v>-2291.8000000000011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4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2344.1398412043973</v>
      </c>
      <c r="G132" s="283"/>
      <c r="H132" s="233"/>
      <c r="I132" s="231">
        <f>+SUMPRODUCT(('Budget révisé'!$A$8:$A$496=$A132)*('Budget révisé'!$C$3:$AO$3=I$2),'Budget révisé'!$C$8:$AO$496)</f>
        <v>2344.1398412043973</v>
      </c>
      <c r="J132" s="227"/>
      <c r="K132" s="233"/>
      <c r="L132" s="281">
        <f>SUMIFS(BV_Data_An_Cour!$P:$P,BV_Data_An_Cour!$U:$U,$B132,BV_Data_An_Cour!$V:$V,$C132,BV_Data_An_Cour!$W:$W,$L$2)</f>
        <v>1934.7</v>
      </c>
      <c r="M132" s="227"/>
      <c r="N132" s="304">
        <f t="shared" si="88"/>
        <v>-409.43984120439723</v>
      </c>
      <c r="O132" s="227"/>
      <c r="P132" s="233"/>
      <c r="Q132" s="281">
        <f>SUMIFS(BV_Data_An_Prec!$P:$P,BV_Data_An_Prec!$U:$U,$B132,BV_Data_An_Prec!$V:$V,$C132,BV_Data_An_Prec!$W:$W,$L$2)</f>
        <v>4444.5200000000004</v>
      </c>
      <c r="R132" s="227"/>
      <c r="S132" s="284">
        <f t="shared" si="89"/>
        <v>-2509.8200000000006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4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8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89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4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0.48189027417656616</v>
      </c>
      <c r="F134" s="41">
        <f>+SUM(F122:F133)</f>
        <v>86737.158079343353</v>
      </c>
      <c r="G134" s="42" t="s">
        <v>111</v>
      </c>
      <c r="H134" s="40">
        <f>I134/I$107</f>
        <v>0.48189027417656616</v>
      </c>
      <c r="I134" s="41">
        <f>+SUM(I122:I133)</f>
        <v>86737.158079343353</v>
      </c>
      <c r="J134" s="42" t="s">
        <v>111</v>
      </c>
      <c r="K134" s="40">
        <f>L134/L$107</f>
        <v>0.35933215022713522</v>
      </c>
      <c r="L134" s="41">
        <f>SUM(L122:L133)</f>
        <v>82328.17</v>
      </c>
      <c r="M134" s="43"/>
      <c r="N134" s="46">
        <f t="shared" si="88"/>
        <v>-4408.9880793433549</v>
      </c>
      <c r="O134" s="42" t="s">
        <v>111</v>
      </c>
      <c r="P134" s="40">
        <f>Q134/Q$107</f>
        <v>0.89162886665782159</v>
      </c>
      <c r="Q134" s="41">
        <f>SUM(Q122:Q133)</f>
        <v>106222.93000000001</v>
      </c>
      <c r="R134" s="43"/>
      <c r="S134" s="299">
        <f t="shared" si="89"/>
        <v>-23894.760000000009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4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8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89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4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8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89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4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645.12</v>
      </c>
      <c r="G137" s="309"/>
      <c r="H137" s="308"/>
      <c r="I137" s="177">
        <f>+SUMPRODUCT(('Budget révisé'!$A$8:$A$496=$A137)*('Budget révisé'!$C$3:$AO$3=I$2),'Budget révisé'!$C$8:$AO$496)</f>
        <v>645.12</v>
      </c>
      <c r="J137" s="310"/>
      <c r="K137" s="308"/>
      <c r="L137" s="244">
        <f>SUMIFS(BV_Data_An_Cour!$P:$P,BV_Data_An_Cour!$U:$U,$B137,BV_Data_An_Cour!$V:$V,$C137,BV_Data_An_Cour!$W:$W,$L$2)</f>
        <v>-1133.23</v>
      </c>
      <c r="M137" s="310"/>
      <c r="N137" s="311">
        <f t="shared" si="88"/>
        <v>-1778.35</v>
      </c>
      <c r="O137" s="310"/>
      <c r="P137" s="308"/>
      <c r="Q137" s="177">
        <f>SUMIFS(BV_Data_An_Prec!$P:$P,BV_Data_An_Prec!$U:$U,$B137,BV_Data_An_Prec!$V:$V,$C137,BV_Data_An_Prec!$W:$W,$L$2)</f>
        <v>2801.98</v>
      </c>
      <c r="R137" s="310"/>
      <c r="S137" s="202">
        <f t="shared" si="89"/>
        <v>-3935.21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4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7988.3207999999995</v>
      </c>
      <c r="G138" s="302"/>
      <c r="H138" s="178"/>
      <c r="I138" s="179">
        <f>+SUMPRODUCT(('Budget révisé'!$A$8:$A$496=$A138)*('Budget révisé'!$C$3:$AO$3=I$2),'Budget révisé'!$C$8:$AO$496)</f>
        <v>7988.3207999999995</v>
      </c>
      <c r="J138" s="303"/>
      <c r="K138" s="178"/>
      <c r="L138" s="281">
        <f>SUMIFS(BV_Data_An_Cour!$P:$P,BV_Data_An_Cour!$U:$U,$B138,BV_Data_An_Cour!$V:$V,$C138,BV_Data_An_Cour!$W:$W,$L$2)</f>
        <v>6093.1</v>
      </c>
      <c r="M138" s="303"/>
      <c r="N138" s="304">
        <f t="shared" si="88"/>
        <v>-1895.2207999999991</v>
      </c>
      <c r="O138" s="303"/>
      <c r="P138" s="178"/>
      <c r="Q138" s="180">
        <f>SUMIFS(BV_Data_An_Prec!$P:$P,BV_Data_An_Prec!$U:$U,$B138,BV_Data_An_Prec!$V:$V,$C138,BV_Data_An_Prec!$W:$W,$L$2)</f>
        <v>7187.31</v>
      </c>
      <c r="R138" s="303"/>
      <c r="S138" s="199">
        <f t="shared" si="89"/>
        <v>-1094.21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4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1796.0589</v>
      </c>
      <c r="G139" s="302"/>
      <c r="H139" s="178"/>
      <c r="I139" s="179">
        <f>+SUMPRODUCT(('Budget révisé'!$A$8:$A$496=$A139)*('Budget révisé'!$C$3:$AO$3=I$2),'Budget révisé'!$C$8:$AO$496)</f>
        <v>1796.0589</v>
      </c>
      <c r="J139" s="303"/>
      <c r="K139" s="178"/>
      <c r="L139" s="281">
        <f>SUMIFS(BV_Data_An_Cour!$P:$P,BV_Data_An_Cour!$U:$U,$B139,BV_Data_An_Cour!$V:$V,$C139,BV_Data_An_Cour!$W:$W,$L$2)</f>
        <v>270.81</v>
      </c>
      <c r="M139" s="303"/>
      <c r="N139" s="304">
        <f t="shared" si="88"/>
        <v>-1525.2489</v>
      </c>
      <c r="O139" s="303"/>
      <c r="P139" s="178"/>
      <c r="Q139" s="180">
        <f>SUMIFS(BV_Data_An_Prec!$P:$P,BV_Data_An_Prec!$U:$U,$B139,BV_Data_An_Prec!$V:$V,$C139,BV_Data_An_Prec!$W:$W,$L$2)</f>
        <v>2187.7199999999998</v>
      </c>
      <c r="R139" s="303"/>
      <c r="S139" s="199">
        <f t="shared" si="89"/>
        <v>-1916.9099999999999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4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8299.6814999999988</v>
      </c>
      <c r="G140" s="309"/>
      <c r="H140" s="308"/>
      <c r="I140" s="177">
        <f>+SUMPRODUCT(('Budget révisé'!$A$8:$A$496=$A140)*('Budget révisé'!$C$3:$AO$3=I$2),'Budget révisé'!$C$8:$AO$496)</f>
        <v>8299.6814999999988</v>
      </c>
      <c r="J140" s="310"/>
      <c r="K140" s="308"/>
      <c r="L140" s="244">
        <f>SUMIFS(BV_Data_An_Cour!$P:$P,BV_Data_An_Cour!$U:$U,$B140,BV_Data_An_Cour!$V:$V,$C140,BV_Data_An_Cour!$W:$W,$L$2)</f>
        <v>2528.98</v>
      </c>
      <c r="M140" s="310"/>
      <c r="N140" s="311">
        <f t="shared" si="88"/>
        <v>-5770.7014999999992</v>
      </c>
      <c r="O140" s="310"/>
      <c r="P140" s="308"/>
      <c r="Q140" s="177">
        <f>SUMIFS(BV_Data_An_Prec!$P:$P,BV_Data_An_Prec!$U:$U,$B140,BV_Data_An_Prec!$V:$V,$C140,BV_Data_An_Prec!$W:$W,$L$2)</f>
        <v>5933.9</v>
      </c>
      <c r="R140" s="310"/>
      <c r="S140" s="202">
        <f t="shared" si="89"/>
        <v>-3404.9199999999996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4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280.46390018523647</v>
      </c>
      <c r="G141" s="302"/>
      <c r="H141" s="178"/>
      <c r="I141" s="179">
        <f>+SUMPRODUCT(('Budget révisé'!$A$8:$A$496=$A141)*('Budget révisé'!$C$3:$AO$3=I$2),'Budget révisé'!$C$8:$AO$496)</f>
        <v>280.46390018523647</v>
      </c>
      <c r="J141" s="303"/>
      <c r="K141" s="178"/>
      <c r="L141" s="281">
        <f>SUMIFS(BV_Data_An_Cour!$P:$P,BV_Data_An_Cour!$U:$U,$B141,BV_Data_An_Cour!$V:$V,$C141,BV_Data_An_Cour!$W:$W,$L$2)</f>
        <v>0</v>
      </c>
      <c r="M141" s="303"/>
      <c r="N141" s="304">
        <f t="shared" si="88"/>
        <v>-280.46390018523647</v>
      </c>
      <c r="O141" s="303"/>
      <c r="P141" s="178"/>
      <c r="Q141" s="180">
        <f>SUMIFS(BV_Data_An_Prec!$P:$P,BV_Data_An_Prec!$U:$U,$B141,BV_Data_An_Prec!$V:$V,$C141,BV_Data_An_Prec!$W:$W,$L$2)</f>
        <v>285</v>
      </c>
      <c r="R141" s="303"/>
      <c r="S141" s="199">
        <f t="shared" si="89"/>
        <v>-285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4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30</v>
      </c>
      <c r="G142" s="302"/>
      <c r="H142" s="178"/>
      <c r="I142" s="179">
        <f>+SUMPRODUCT(('Budget révisé'!$A$8:$A$496=$A142)*('Budget révisé'!$C$3:$AO$3=I$2),'Budget révisé'!$C$8:$AO$496)</f>
        <v>30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8"/>
        <v>-30</v>
      </c>
      <c r="O142" s="303"/>
      <c r="P142" s="178"/>
      <c r="Q142" s="180">
        <f>SUMIFS(BV_Data_An_Prec!$P:$P,BV_Data_An_Prec!$U:$U,$B142,BV_Data_An_Prec!$V:$V,$C142,BV_Data_An_Prec!$W:$W,$L$2)</f>
        <v>30</v>
      </c>
      <c r="R142" s="303"/>
      <c r="S142" s="199">
        <f t="shared" si="89"/>
        <v>-30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4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784.8</v>
      </c>
      <c r="G143" s="302"/>
      <c r="H143" s="178"/>
      <c r="I143" s="179">
        <f>+SUMPRODUCT(('Budget révisé'!$A$8:$A$496=$A143)*('Budget révisé'!$C$3:$AO$3=I$2),'Budget révisé'!$C$8:$AO$496)</f>
        <v>784.8</v>
      </c>
      <c r="J143" s="303"/>
      <c r="K143" s="178"/>
      <c r="L143" s="985">
        <f>SUMIFS(BV_Data_An_Cour!$P:$P,BV_Data_An_Cour!$U:$U,$B143,BV_Data_An_Cour!$V:$V,$C143,BV_Data_An_Cour!$W:$W,$L$2)</f>
        <v>428.64</v>
      </c>
      <c r="M143" s="303"/>
      <c r="N143" s="304">
        <f t="shared" si="88"/>
        <v>-356.15999999999997</v>
      </c>
      <c r="O143" s="303"/>
      <c r="P143" s="178"/>
      <c r="Q143" s="554">
        <f>SUMIFS(BV_Data_An_Prec!$P:$P,BV_Data_An_Prec!$U:$U,$B143,BV_Data_An_Prec!$V:$V,$C143,BV_Data_An_Prec!$W:$W,$L$2)</f>
        <v>666</v>
      </c>
      <c r="R143" s="303"/>
      <c r="S143" s="199">
        <f t="shared" si="89"/>
        <v>-237.36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4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804.27599999999995</v>
      </c>
      <c r="G144" s="302"/>
      <c r="H144" s="178"/>
      <c r="I144" s="179">
        <f>+SUMPRODUCT(('Budget révisé'!$A$8:$A$496=$A144)*('Budget révisé'!$C$3:$AO$3=I$2),'Budget révisé'!$C$8:$AO$496)</f>
        <v>804.27599999999995</v>
      </c>
      <c r="J144" s="303"/>
      <c r="K144" s="178"/>
      <c r="L144" s="281">
        <f>SUMIFS(BV_Data_An_Cour!$P:$P,BV_Data_An_Cour!$U:$U,$B144,BV_Data_An_Cour!$V:$V,$C144,BV_Data_An_Cour!$W:$W,$L$2)</f>
        <v>338.01</v>
      </c>
      <c r="M144" s="303"/>
      <c r="N144" s="304">
        <f t="shared" si="88"/>
        <v>-466.26599999999996</v>
      </c>
      <c r="O144" s="303"/>
      <c r="P144" s="178"/>
      <c r="Q144" s="180">
        <f>SUMIFS(BV_Data_An_Prec!$P:$P,BV_Data_An_Prec!$U:$U,$B144,BV_Data_An_Prec!$V:$V,$C144,BV_Data_An_Prec!$W:$W,$L$2)</f>
        <v>447.88</v>
      </c>
      <c r="R144" s="303"/>
      <c r="S144" s="199">
        <f t="shared" si="89"/>
        <v>-109.87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4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311.39999999999998</v>
      </c>
      <c r="G145" s="302"/>
      <c r="H145" s="178"/>
      <c r="I145" s="179">
        <f>+SUMPRODUCT(('Budget révisé'!$A$8:$A$496=$A145)*('Budget révisé'!$C$3:$AO$3=I$2),'Budget révisé'!$C$8:$AO$496)</f>
        <v>311.39999999999998</v>
      </c>
      <c r="J145" s="303"/>
      <c r="K145" s="178"/>
      <c r="L145" s="281">
        <f>SUMIFS(BV_Data_An_Cour!$P:$P,BV_Data_An_Cour!$U:$U,$B145,BV_Data_An_Cour!$V:$V,$C145,BV_Data_An_Cour!$W:$W,$L$2)</f>
        <v>158.05000000000001</v>
      </c>
      <c r="M145" s="303"/>
      <c r="N145" s="304">
        <f t="shared" si="88"/>
        <v>-153.34999999999997</v>
      </c>
      <c r="O145" s="303"/>
      <c r="P145" s="178"/>
      <c r="Q145" s="180">
        <f>SUMIFS(BV_Data_An_Prec!$P:$P,BV_Data_An_Prec!$U:$U,$B145,BV_Data_An_Prec!$V:$V,$C145,BV_Data_An_Prec!$W:$W,$L$2)</f>
        <v>210.33</v>
      </c>
      <c r="R145" s="303"/>
      <c r="S145" s="199">
        <f t="shared" si="89"/>
        <v>-52.28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4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1292.7599999999998</v>
      </c>
      <c r="G146" s="302"/>
      <c r="H146" s="178"/>
      <c r="I146" s="179">
        <f>+SUMPRODUCT(('Budget révisé'!$A$8:$A$496=$A146)*('Budget révisé'!$C$3:$AO$3=I$2),'Budget révisé'!$C$8:$AO$496)</f>
        <v>1292.7599999999998</v>
      </c>
      <c r="J146" s="303"/>
      <c r="K146" s="178"/>
      <c r="L146" s="281">
        <f>SUMIFS(BV_Data_An_Cour!$P:$P,BV_Data_An_Cour!$U:$U,$B146,BV_Data_An_Cour!$V:$V,$C146,BV_Data_An_Cour!$W:$W,$L$2)</f>
        <v>953.86</v>
      </c>
      <c r="M146" s="303"/>
      <c r="N146" s="304">
        <f t="shared" si="88"/>
        <v>-338.89999999999975</v>
      </c>
      <c r="O146" s="303"/>
      <c r="P146" s="178"/>
      <c r="Q146" s="180">
        <f>SUMIFS(BV_Data_An_Prec!$P:$P,BV_Data_An_Prec!$U:$U,$B146,BV_Data_An_Prec!$V:$V,$C146,BV_Data_An_Prec!$W:$W,$L$2)</f>
        <v>1965.39</v>
      </c>
      <c r="R146" s="303"/>
      <c r="S146" s="199">
        <f t="shared" si="89"/>
        <v>-1011.5300000000001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4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211.89</v>
      </c>
      <c r="G147" s="302"/>
      <c r="H147" s="178"/>
      <c r="I147" s="179">
        <f>+SUMPRODUCT(('Budget révisé'!$A$8:$A$496=$A147)*('Budget révisé'!$C$3:$AO$3=I$2),'Budget révisé'!$C$8:$AO$496)</f>
        <v>211.89</v>
      </c>
      <c r="J147" s="303"/>
      <c r="K147" s="178"/>
      <c r="L147" s="281">
        <f>SUMIFS(BV_Data_An_Cour!$P:$P,BV_Data_An_Cour!$U:$U,$B147,BV_Data_An_Cour!$V:$V,$C147,BV_Data_An_Cour!$W:$W,$L$2)</f>
        <v>31.86</v>
      </c>
      <c r="M147" s="303"/>
      <c r="N147" s="304">
        <f t="shared" si="88"/>
        <v>-180.02999999999997</v>
      </c>
      <c r="O147" s="303"/>
      <c r="P147" s="178"/>
      <c r="Q147" s="180">
        <f>SUMIFS(BV_Data_An_Prec!$P:$P,BV_Data_An_Prec!$U:$U,$B147,BV_Data_An_Prec!$V:$V,$C147,BV_Data_An_Prec!$W:$W,$L$2)</f>
        <v>180</v>
      </c>
      <c r="R147" s="303"/>
      <c r="S147" s="199">
        <f t="shared" si="89"/>
        <v>-148.13999999999999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3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2239.4007651938537</v>
      </c>
      <c r="G148" s="302"/>
      <c r="H148" s="178"/>
      <c r="I148" s="179">
        <f>+SUMPRODUCT(('Budget révisé'!$A$8:$A$496=$A148)*('Budget révisé'!$C$3:$AO$3=I$2),'Budget révisé'!$C$8:$AO$496)</f>
        <v>2239.4007651938537</v>
      </c>
      <c r="J148" s="303"/>
      <c r="K148" s="178"/>
      <c r="L148" s="281">
        <f>SUMIFS(BV_Data_An_Cour!$O:$O,BV_Data_An_Cour!$U:$U,$B148,BV_Data_An_Cour!$V:$V,$C148,BV_Data_An_Cour!$W:$W,$L$2)</f>
        <v>0</v>
      </c>
      <c r="M148" s="303"/>
      <c r="N148" s="304">
        <f t="shared" ref="N148:N151" si="94">L148-I148</f>
        <v>-2239.4007651938537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5">L148-Q148</f>
        <v>0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3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4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5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3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4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5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3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4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5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4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0.13713917554397997</v>
      </c>
      <c r="F152" s="41">
        <f>+SUM(F135:F151)</f>
        <v>24684.171865379089</v>
      </c>
      <c r="G152" s="42" t="s">
        <v>111</v>
      </c>
      <c r="H152" s="40">
        <f>I152/I$107</f>
        <v>0.13713917554397997</v>
      </c>
      <c r="I152" s="41">
        <f>+SUM(I135:I151)</f>
        <v>24684.171865379089</v>
      </c>
      <c r="J152" s="42" t="s">
        <v>111</v>
      </c>
      <c r="K152" s="40">
        <f>L152/L$107</f>
        <v>4.2206338842080617E-2</v>
      </c>
      <c r="L152" s="41">
        <f>+SUM(L135:L151)</f>
        <v>9670.0800000000017</v>
      </c>
      <c r="M152" s="44"/>
      <c r="N152" s="41">
        <f t="shared" si="88"/>
        <v>-15014.091865379087</v>
      </c>
      <c r="O152" s="42" t="s">
        <v>111</v>
      </c>
      <c r="P152" s="40">
        <f>Q152/Q$107</f>
        <v>0.18378959012140789</v>
      </c>
      <c r="Q152" s="41">
        <f>+SUM(Q135:Q151)</f>
        <v>21895.510000000002</v>
      </c>
      <c r="R152" s="44"/>
      <c r="S152" s="316">
        <f t="shared" si="89"/>
        <v>-12225.43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4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4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1.1287861904230694</v>
      </c>
      <c r="F154" s="41">
        <f>F121+F134+F152</f>
        <v>203174.2732384589</v>
      </c>
      <c r="G154" s="42" t="s">
        <v>111</v>
      </c>
      <c r="H154" s="40">
        <f>I154/I$107</f>
        <v>1.1287861904230694</v>
      </c>
      <c r="I154" s="41">
        <f>I121+I134+I152</f>
        <v>203174.2732384589</v>
      </c>
      <c r="J154" s="42" t="s">
        <v>111</v>
      </c>
      <c r="K154" s="40">
        <f>L154/L$107</f>
        <v>0.89423100424940505</v>
      </c>
      <c r="L154" s="41">
        <f>L121+L134+L152</f>
        <v>204881.2</v>
      </c>
      <c r="M154" s="44"/>
      <c r="N154" s="46">
        <f>L154-I154</f>
        <v>1706.9267615411081</v>
      </c>
      <c r="O154" s="42" t="s">
        <v>111</v>
      </c>
      <c r="P154" s="40">
        <f>Q154/Q$107</f>
        <v>1.8054592840624226</v>
      </c>
      <c r="Q154" s="41">
        <f>Q121+Q134+Q152</f>
        <v>215090.81</v>
      </c>
      <c r="R154" s="44"/>
      <c r="S154" s="299">
        <f>L154-Q154</f>
        <v>-10209.609999999986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4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8500</v>
      </c>
      <c r="G155" s="416"/>
      <c r="H155" s="415"/>
      <c r="I155" s="179">
        <f>+SUMPRODUCT(('Budget révisé'!$A$8:$A$496=$A155)*('Budget révisé'!$C$3:$AO$3=I$2),'Budget révisé'!$C$8:$AO$496)</f>
        <v>8500</v>
      </c>
      <c r="J155" s="416"/>
      <c r="K155" s="986"/>
      <c r="L155" s="985">
        <f>-SUMIFS(BV_Data_An_Cour!$P:$P,BV_Data_An_Cour!$U:$U,$B155,BV_Data_An_Cour!$V:$V,$C155,BV_Data_An_Cour!$W:$W,$L$2)</f>
        <v>0</v>
      </c>
      <c r="M155" s="303"/>
      <c r="N155" s="304">
        <f t="shared" ref="N155:N157" si="96">L155-I155</f>
        <v>-8500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7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4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6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7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4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6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7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8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22023.427762045692</v>
      </c>
      <c r="G158" s="302"/>
      <c r="H158" s="178"/>
      <c r="I158" s="179">
        <f>+SUMPRODUCT(('Budget révisé'!$A$8:$A$496=$A158)*('Budget révisé'!$C$3:$AO$3=I$2),'Budget révisé'!$C$8:$AO$496)</f>
        <v>22023.427762045692</v>
      </c>
      <c r="J158" s="303"/>
      <c r="K158" s="233"/>
      <c r="L158" s="985">
        <f>-SUMIFS(BV_Data_An_Cour!$P:$P,BV_Data_An_Cour!$U:$U,$B158,BV_Data_An_Cour!$V:$V,$C158,BV_Data_An_Cour!$W:$W,$L$2)</f>
        <v>0</v>
      </c>
      <c r="M158" s="303"/>
      <c r="N158" s="304">
        <f t="shared" ref="N158" si="99">L158-I158</f>
        <v>-22023.427762045692</v>
      </c>
      <c r="O158" s="303"/>
      <c r="P158" s="178"/>
      <c r="Q158" s="180">
        <f>-SUMIFS(BV_Data_An_Prec!$P:$P,BV_Data_An_Prec!$U:$U,$B158,BV_Data_An_Prec!$V:$V,$C158,BV_Data_An_Prec!$W:$W,$L$2)</f>
        <v>0</v>
      </c>
      <c r="R158" s="303"/>
      <c r="S158" s="199">
        <f t="shared" ref="S158" si="100">L158-Q158</f>
        <v>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8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1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2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8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1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2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8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1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2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30523.427762045692</v>
      </c>
      <c r="G162" s="42"/>
      <c r="H162" s="40"/>
      <c r="I162" s="41">
        <f>+SUM(I155:I161)</f>
        <v>30523.427762045692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7342.73963496129</v>
      </c>
      <c r="G164" s="344"/>
      <c r="H164" s="342"/>
      <c r="I164" s="343">
        <f>I107-I154+I162</f>
        <v>7342.73963496129</v>
      </c>
      <c r="J164" s="345"/>
      <c r="K164" s="346"/>
      <c r="L164" s="343">
        <f>L107-L154+L162</f>
        <v>24233.200000000128</v>
      </c>
      <c r="M164" s="345"/>
      <c r="N164" s="343">
        <f>L164-I164</f>
        <v>16890.460365038838</v>
      </c>
      <c r="O164" s="345"/>
      <c r="P164" s="346"/>
      <c r="Q164" s="343">
        <f>Q107-Q154+Q162</f>
        <v>-95957.240000000282</v>
      </c>
      <c r="R164" s="345"/>
      <c r="S164" s="347">
        <f>L164-Q164</f>
        <v>120190.44000000041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4" t="s">
        <v>77</v>
      </c>
      <c r="E169" s="1135"/>
      <c r="F169" s="1136"/>
      <c r="G169" s="1137" t="s">
        <v>145</v>
      </c>
      <c r="H169" s="1135"/>
      <c r="I169" s="1136"/>
      <c r="J169" s="1137" t="s">
        <v>79</v>
      </c>
      <c r="K169" s="1135"/>
      <c r="L169" s="1136"/>
      <c r="M169" s="1137" t="s">
        <v>80</v>
      </c>
      <c r="N169" s="1136"/>
      <c r="O169" s="1134" t="s">
        <v>81</v>
      </c>
      <c r="P169" s="1135"/>
      <c r="Q169" s="1136"/>
      <c r="R169" s="1137" t="s">
        <v>82</v>
      </c>
      <c r="S169" s="1138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3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3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1007.261274244898</v>
      </c>
      <c r="E171" s="197">
        <f>+SUMPRODUCT(('Budget original'!$A$8:$A$496=$A171)*('Budget original'!$C$3:$AO$3=E$2),'Budget original'!$C$8:$AO$496)</f>
        <v>247220.68196009478</v>
      </c>
      <c r="F171" s="197">
        <f>+SUMPRODUCT(('Budget original'!$A$8:$A$496=$A171)*('Budget original'!$C$3:$AO$3=F$2),'Budget original'!$C$8:$AO$496)</f>
        <v>185540.58865153024</v>
      </c>
      <c r="G171" s="348">
        <f>+SUMPRODUCT(('Budget révisé'!$A$8:$A$496=$A171)*('Budget révisé'!$C$3:$AO$3=G$2),'Budget révisé'!$C$8:$AO$496)</f>
        <v>1007.261274244898</v>
      </c>
      <c r="H171" s="197">
        <f>+SUMPRODUCT(('Budget révisé'!$A$8:$A$496=$A171)*('Budget révisé'!$C$3:$AO$3=H$2),'Budget révisé'!$C$8:$AO$496)</f>
        <v>247220.68196009478</v>
      </c>
      <c r="I171" s="197">
        <f>+SUMPRODUCT(('Budget révisé'!$A$8:$A$496=$A171)*('Budget révisé'!$C$3:$AO$3=I$2),'Budget révisé'!$C$8:$AO$496)</f>
        <v>185540.58865153024</v>
      </c>
      <c r="J171" s="325">
        <f>-SUMIFS(BV_Data_An_Cour!$P:$P,BV_Data_An_Cour!$U:$U,$B171,BV_Data_An_Cour!$V:$V,$C171,BV_Data_An_Cour!$W:$W,J$2)</f>
        <v>842</v>
      </c>
      <c r="K171" s="179">
        <f>-SUMIFS(BV_Data_An_Cour!$P:$P,BV_Data_An_Cour!$X:$X,"Oui",BV_Data_An_Cour!$U:$U,$B171,BV_Data_An_Cour!$V:$V,$C171)</f>
        <v>193832.66999999998</v>
      </c>
      <c r="L171" s="180">
        <f>-SUMIFS(BV_Data_An_Cour!$P:$P,BV_Data_An_Cour!$U:$U,$B171,BV_Data_An_Cour!$V:$V,$C171,BV_Data_An_Cour!$W:$W,$L$2)</f>
        <v>148632.74</v>
      </c>
      <c r="M171" s="324">
        <f>(K171-H171)/H171</f>
        <v>-0.21595285449747462</v>
      </c>
      <c r="N171" s="304">
        <f>L171-I171</f>
        <v>-36907.84865153025</v>
      </c>
      <c r="O171" s="325">
        <f>-SUMIFS(BV_Data_An_Prec!$P:$P,BV_Data_An_Prec!$U:$U,$B171,BV_Data_An_Prec!$V:$V,$C171,BV_Data_An_Prec!$W:$W,O$2)</f>
        <v>944</v>
      </c>
      <c r="P171" s="179">
        <f>-SUMIFS(BV_Data_An_Prec!$P:$P,BV_Data_An_Prec!$X:$X,"Oui",BV_Data_An_Prec!$U:$U,$B171,BV_Data_An_Prec!$V:$V,$C171)</f>
        <v>221073.14</v>
      </c>
      <c r="Q171" s="180">
        <f>-SUMIFS(BV_Data_An_Prec!$P:$P,BV_Data_An_Prec!$U:$U,$B171,BV_Data_An_Prec!$V:$V,$C171,BV_Data_An_Prec!$W:$W,$L$2)</f>
        <v>163021.99000000002</v>
      </c>
      <c r="R171" s="324">
        <f>IF(O171=0,0,J171/O171)</f>
        <v>0.89194915254237284</v>
      </c>
      <c r="S171" s="199">
        <f>L171-Q171</f>
        <v>-14389.250000000029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3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0.76680953731896695</v>
      </c>
      <c r="M172" s="324"/>
      <c r="N172" s="304"/>
      <c r="O172" s="325"/>
      <c r="P172" s="178"/>
      <c r="Q172" s="350">
        <f>IF(Q171=0,0,Q171/P171)</f>
        <v>0.73741201667466261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3"/>
        <v>Service</v>
      </c>
      <c r="B173" s="24" t="s">
        <v>155</v>
      </c>
      <c r="C173" s="326"/>
      <c r="D173" s="308"/>
      <c r="E173" s="358">
        <f t="shared" ref="E173" si="104">IFERROR(E171/D171,0)</f>
        <v>245.43848580441642</v>
      </c>
      <c r="F173" s="359"/>
      <c r="G173" s="310"/>
      <c r="H173" s="358">
        <f t="shared" ref="H173" si="105">IFERROR(H171/G171,0)</f>
        <v>245.43848580441642</v>
      </c>
      <c r="I173" s="359"/>
      <c r="J173" s="339"/>
      <c r="K173" s="573">
        <f t="shared" ref="K173" si="106">IFERROR(K171/J171,0)</f>
        <v>230.20507125890734</v>
      </c>
      <c r="L173" s="359"/>
      <c r="M173" s="361"/>
      <c r="N173" s="311"/>
      <c r="O173" s="339"/>
      <c r="P173" s="573">
        <f t="shared" ref="P173" si="107">IFERROR(P171/O171,0)</f>
        <v>234.18764830508476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3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808.00303127495579</v>
      </c>
      <c r="E174" s="197">
        <f>+SUMPRODUCT(('Budget original'!$A$8:$A$496=$A174)*('Budget original'!$C$3:$AO$3=E$2),'Budget original'!$C$8:$AO$496)</f>
        <v>142801.60975695917</v>
      </c>
      <c r="F174" s="197">
        <f>+SUMPRODUCT(('Budget original'!$A$8:$A$496=$A174)*('Budget original'!$C$3:$AO$3=F$2),'Budget original'!$C$8:$AO$496)</f>
        <v>99698.990505588677</v>
      </c>
      <c r="G174" s="354">
        <f>+SUMPRODUCT(('Budget révisé'!$A$8:$A$496=$A174)*('Budget révisé'!$C$3:$AO$3=G$2),'Budget révisé'!$C$8:$AO$496)</f>
        <v>808.00303127495579</v>
      </c>
      <c r="H174" s="197">
        <f>+SUMPRODUCT(('Budget révisé'!$A$8:$A$496=$A174)*('Budget révisé'!$C$3:$AO$3=H$2),'Budget révisé'!$C$8:$AO$496)</f>
        <v>142801.60975695917</v>
      </c>
      <c r="I174" s="197">
        <f>+SUMPRODUCT(('Budget révisé'!$A$8:$A$496=$A174)*('Budget révisé'!$C$3:$AO$3=I$2),'Budget révisé'!$C$8:$AO$496)</f>
        <v>99698.990505588677</v>
      </c>
      <c r="J174" s="354">
        <f>-SUMIFS(BV_Data_An_Cour!$P:$P,BV_Data_An_Cour!$U:$U,$B174,BV_Data_An_Cour!$V:$V,$C174,BV_Data_An_Cour!$W:$W,J$2)</f>
        <v>746</v>
      </c>
      <c r="K174" s="186">
        <f>-SUMIFS(BV_Data_An_Cour!$P:$P,BV_Data_An_Cour!$X:$X,"Oui",BV_Data_An_Cour!$U:$U,$B174,BV_Data_An_Cour!$V:$V,$C174)</f>
        <v>159136.26999999999</v>
      </c>
      <c r="L174" s="180">
        <f>-SUMIFS(BV_Data_An_Cour!$P:$P,BV_Data_An_Cour!$U:$U,$B174,BV_Data_An_Cour!$V:$V,$C174,BV_Data_An_Cour!$W:$W,$L$2)</f>
        <v>112226.20999999999</v>
      </c>
      <c r="M174" s="324">
        <f>(K174-H174)/H174</f>
        <v>0.11438708758844916</v>
      </c>
      <c r="N174" s="356">
        <f>L174-I174</f>
        <v>12527.219494411314</v>
      </c>
      <c r="O174" s="354">
        <f>-SUMIFS(BV_Data_An_Prec!$P:$P,BV_Data_An_Prec!$U:$U,$B174,BV_Data_An_Prec!$V:$V,$C174,BV_Data_An_Prec!$W:$W,O$2)</f>
        <v>802</v>
      </c>
      <c r="P174" s="186">
        <f>-SUMIFS(BV_Data_An_Prec!$P:$P,BV_Data_An_Prec!$X:$X,"Oui",BV_Data_An_Prec!$U:$U,$B174,BV_Data_An_Prec!$V:$V,$C174)</f>
        <v>178924.77</v>
      </c>
      <c r="Q174" s="180">
        <f>-SUMIFS(BV_Data_An_Prec!$P:$P,BV_Data_An_Prec!$U:$U,$B174,BV_Data_An_Prec!$V:$V,$C174,BV_Data_An_Prec!$W:$W,$L$2)</f>
        <v>124281.84999999999</v>
      </c>
      <c r="R174" s="324">
        <f>IF(O174=0,0,J174/O174)</f>
        <v>0.93017456359102246</v>
      </c>
      <c r="S174" s="199">
        <f>L174-Q174</f>
        <v>-12055.64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3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0.69816433214773366</v>
      </c>
      <c r="G175" s="303"/>
      <c r="H175" s="178"/>
      <c r="I175" s="350">
        <f>I174/H174</f>
        <v>0.69816433214773366</v>
      </c>
      <c r="J175" s="303"/>
      <c r="K175" s="178"/>
      <c r="L175" s="350">
        <f>IF(L174=0,0,L174/K174)</f>
        <v>0.70522081484001098</v>
      </c>
      <c r="M175" s="362"/>
      <c r="N175" s="332"/>
      <c r="O175" s="303"/>
      <c r="P175" s="178"/>
      <c r="Q175" s="350">
        <f>IF(Q174=0,0,Q174/P174)</f>
        <v>0.6946039388509484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3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3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656.65892676480735</v>
      </c>
      <c r="E177" s="197">
        <f>+SUMPRODUCT(('Budget original'!$A$8:$A$496=$A177)*('Budget original'!$C$3:$AO$3=E$2),'Budget original'!$C$8:$AO$496)</f>
        <v>154854.73608784645</v>
      </c>
      <c r="F177" s="197">
        <f>+SUMPRODUCT(('Budget original'!$A$8:$A$496=$A177)*('Budget original'!$C$3:$AO$3=F$2),'Budget original'!$C$8:$AO$496)</f>
        <v>113543.60901598763</v>
      </c>
      <c r="G177" s="303">
        <f>+SUMPRODUCT(('Budget révisé'!$A$8:$A$496=$A177)*('Budget révisé'!$C$3:$AO$3=G$2),'Budget révisé'!$C$8:$AO$496)</f>
        <v>656.65892676480735</v>
      </c>
      <c r="H177" s="197">
        <f>+SUMPRODUCT(('Budget révisé'!$A$8:$A$496=$A177)*('Budget révisé'!$C$3:$AO$3=H$2),'Budget révisé'!$C$8:$AO$496)</f>
        <v>154854.73608784645</v>
      </c>
      <c r="I177" s="197">
        <f>+SUMPRODUCT(('Budget révisé'!$A$8:$A$496=$A177)*('Budget révisé'!$C$3:$AO$3=I$2),'Budget révisé'!$C$8:$AO$496)</f>
        <v>113543.60901598763</v>
      </c>
      <c r="J177" s="325">
        <f>-SUMIFS(BV_Data_An_Cour!$P:$P,BV_Data_An_Cour!$U:$U,$B177,BV_Data_An_Cour!$V:$V,$C177,BV_Data_An_Cour!$W:$W,J$2)</f>
        <v>768</v>
      </c>
      <c r="K177" s="186">
        <f>-SUMIFS(BV_Data_An_Cour!$P:$P,BV_Data_An_Cour!$X:$X,"Oui",BV_Data_An_Cour!$U:$U,$B177,BV_Data_An_Cour!$V:$V,$C177)</f>
        <v>153670.38</v>
      </c>
      <c r="L177" s="180">
        <f>-SUMIFS(BV_Data_An_Cour!$P:$P,BV_Data_An_Cour!$U:$U,$B177,BV_Data_An_Cour!$V:$V,$C177,BV_Data_An_Cour!$W:$W,$L$2)</f>
        <v>112261.63</v>
      </c>
      <c r="M177" s="324">
        <f>(K177-H177)/H177</f>
        <v>-7.6481747847517148E-3</v>
      </c>
      <c r="N177" s="304">
        <f t="shared" ref="N177:N178" si="108">L177-I177</f>
        <v>-1281.9790159876284</v>
      </c>
      <c r="O177" s="325">
        <f>-SUMIFS(BV_Data_An_Prec!$P:$P,BV_Data_An_Prec!$U:$U,$B177,BV_Data_An_Prec!$V:$V,$C177,BV_Data_An_Prec!$W:$W,O$2)</f>
        <v>657</v>
      </c>
      <c r="P177" s="186">
        <f>-SUMIFS(BV_Data_An_Prec!$P:$P,BV_Data_An_Prec!$X:$X,"Oui",BV_Data_An_Prec!$U:$U,$B177,BV_Data_An_Prec!$V:$V,$C177)</f>
        <v>118649.19</v>
      </c>
      <c r="Q177" s="180">
        <f>-SUMIFS(BV_Data_An_Prec!$P:$P,BV_Data_An_Prec!$U:$U,$B177,BV_Data_An_Prec!$V:$V,$C177,BV_Data_An_Prec!$W:$W,$L$2)</f>
        <v>82632.75</v>
      </c>
      <c r="R177" s="324">
        <f>IF(O177=0,0,J177/O177)</f>
        <v>1.1689497716894977</v>
      </c>
      <c r="S177" s="199">
        <f>L177-Q177</f>
        <v>29628.880000000005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3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0.73322658308349242</v>
      </c>
      <c r="G178" s="303"/>
      <c r="H178" s="349"/>
      <c r="I178" s="350">
        <f>I177/H177</f>
        <v>0.73322658308349242</v>
      </c>
      <c r="J178" s="325"/>
      <c r="K178" s="349"/>
      <c r="L178" s="350">
        <f>IF(L177=0,0,L177/K177)</f>
        <v>0.73053525344311632</v>
      </c>
      <c r="M178" s="324"/>
      <c r="N178" s="304">
        <f t="shared" si="108"/>
        <v>-2.6913296403761056E-3</v>
      </c>
      <c r="O178" s="325"/>
      <c r="P178" s="349"/>
      <c r="Q178" s="350">
        <f>IF(Q177=0,0,Q177/P177)</f>
        <v>0.696445968151995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3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3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295.31723151688152</v>
      </c>
      <c r="F180" s="197">
        <f>+SUMPRODUCT(('Budget original'!$A$8:$A$496=$A180)*('Budget original'!$C$3:$AO$3=F$2),'Budget original'!$C$8:$AO$496)</f>
        <v>218.5347513224923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295.31723151688152</v>
      </c>
      <c r="I180" s="197">
        <f>+SUMPRODUCT(('Budget révisé'!$A$8:$A$496=$A180)*('Budget révisé'!$C$3:$AO$3=I$2),'Budget révisé'!$C$8:$AO$496)</f>
        <v>218.5347513224923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782.28</v>
      </c>
      <c r="L180" s="181">
        <f>-SUMIFS(BV_Data_An_Cour!$P:$P,BV_Data_An_Cour!$U:$U,$B180,BV_Data_An_Cour!$V:$V,$C180,BV_Data_An_Cour!$W:$W,$L$2)</f>
        <v>732.32999999999993</v>
      </c>
      <c r="M180" s="355">
        <f>IF(H180=0,0,(K180-H180)/H180)</f>
        <v>1.6489480345656082</v>
      </c>
      <c r="N180" s="356">
        <f>L180-I180</f>
        <v>513.79524867750763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49.94</v>
      </c>
      <c r="Q180" s="181">
        <f>-SUMIFS(BV_Data_An_Prec!$P:$P,BV_Data_An_Prec!$U:$U,$B180,BV_Data_An_Prec!$V:$V,$C180,BV_Data_An_Prec!$W:$W,$L$2)</f>
        <v>49.94</v>
      </c>
      <c r="R180" s="324">
        <f>IF(O180=0,0,J180/O180)</f>
        <v>0</v>
      </c>
      <c r="S180" s="201">
        <f>L180-Q180</f>
        <v>682.38999999999987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3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0.73999999999999988</v>
      </c>
      <c r="G181" s="313"/>
      <c r="H181" s="370"/>
      <c r="I181" s="350">
        <f>IFERROR(I180/H180,0)</f>
        <v>0.73999999999999988</v>
      </c>
      <c r="J181" s="371"/>
      <c r="K181" s="370">
        <f>IF(J181&lt;=0,0,L181/J181)</f>
        <v>0</v>
      </c>
      <c r="L181" s="350">
        <f>IF(L180=0,0,L180/K180)</f>
        <v>0.93614818223653928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3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3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-9501.0904372792374</v>
      </c>
      <c r="G183" s="303"/>
      <c r="H183" s="197"/>
      <c r="I183" s="197">
        <f>+SUMPRODUCT(('Budget révisé'!$A$8:$A$496=$A183)*('Budget révisé'!$C$3:$AO$3=I$2),'Budget révisé'!$C$8:$AO$496)</f>
        <v>-9501.0904372792374</v>
      </c>
      <c r="J183" s="325"/>
      <c r="K183" s="197"/>
      <c r="L183" s="180">
        <f>-SUMIFS(BV_Data_An_Cour!$P:$P,BV_Data_An_Cour!$U:$U,$B183,BV_Data_An_Cour!$V:$V,$C183,BV_Data_An_Cour!$W:$W,$L$2)</f>
        <v>-5948.81</v>
      </c>
      <c r="M183" s="371"/>
      <c r="N183" s="304">
        <f t="shared" ref="N183:N184" si="109">L183-I183</f>
        <v>3552.280437279237</v>
      </c>
      <c r="O183" s="325"/>
      <c r="P183" s="197"/>
      <c r="Q183" s="180">
        <f>-SUMIFS(BV_Data_An_Prec!$P:$P,BV_Data_An_Prec!$U:$U,$B183,BV_Data_An_Prec!$V:$V,$C183,BV_Data_An_Prec!$W:$W,$L$2)</f>
        <v>-9639.6</v>
      </c>
      <c r="R183" s="209"/>
      <c r="S183" s="199">
        <f t="shared" ref="S183:S184" si="110">L183-Q183</f>
        <v>3690.79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3"/>
        <v>ServiceSous-total M/O</v>
      </c>
      <c r="B184" s="24" t="s">
        <v>155</v>
      </c>
      <c r="C184" s="380" t="s">
        <v>165</v>
      </c>
      <c r="D184" s="58"/>
      <c r="E184" s="58">
        <f t="shared" ref="E184:F184" si="111">E171+E174+E177+E180+E183</f>
        <v>545172.34503641736</v>
      </c>
      <c r="F184" s="59">
        <f t="shared" si="111"/>
        <v>389500.63248714973</v>
      </c>
      <c r="G184" s="60"/>
      <c r="H184" s="58">
        <f t="shared" ref="H184:L184" si="112">H171+H174+H177+H180+H183</f>
        <v>545172.34503641736</v>
      </c>
      <c r="I184" s="59">
        <f t="shared" si="112"/>
        <v>389500.63248714973</v>
      </c>
      <c r="J184" s="60">
        <f t="shared" si="112"/>
        <v>2356</v>
      </c>
      <c r="K184" s="58">
        <f t="shared" si="112"/>
        <v>507421.6</v>
      </c>
      <c r="L184" s="59">
        <f t="shared" si="112"/>
        <v>367904.1</v>
      </c>
      <c r="M184" s="61">
        <f>(K184-H184)/H184</f>
        <v>-6.9245524612763773E-2</v>
      </c>
      <c r="N184" s="59">
        <f t="shared" si="109"/>
        <v>-21596.532487149758</v>
      </c>
      <c r="O184" s="60">
        <f t="shared" ref="O184:Q184" si="113">O171+O174+O177+O180+O183</f>
        <v>2403</v>
      </c>
      <c r="P184" s="58">
        <f t="shared" si="113"/>
        <v>518697.04000000004</v>
      </c>
      <c r="Q184" s="59">
        <f t="shared" si="113"/>
        <v>360346.93000000005</v>
      </c>
      <c r="R184" s="381">
        <f>IF(O184=0,0,J184/O184)</f>
        <v>0.98044111527257594</v>
      </c>
      <c r="S184" s="382">
        <f t="shared" si="110"/>
        <v>7557.1699999999255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3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0.71445412819157439</v>
      </c>
      <c r="G185" s="64"/>
      <c r="H185" s="62"/>
      <c r="I185" s="332">
        <f>I184/H184</f>
        <v>0.71445412819157439</v>
      </c>
      <c r="J185" s="64"/>
      <c r="K185" s="65">
        <f>IF(J184=0,0,K184/J184)</f>
        <v>215.3741935483871</v>
      </c>
      <c r="L185" s="332">
        <f>IF(L184=0,0,L184/K184)</f>
        <v>0.72504619432834549</v>
      </c>
      <c r="M185" s="64"/>
      <c r="N185" s="63">
        <f>N184/I184</f>
        <v>-5.5446719943034399E-2</v>
      </c>
      <c r="O185" s="64"/>
      <c r="P185" s="65">
        <f>IF(O184=0,0,P184/O184)</f>
        <v>215.85394923012902</v>
      </c>
      <c r="Q185" s="332">
        <f>IF(Q184=0,0,Q184/P184)</f>
        <v>0.69471560894197515</v>
      </c>
      <c r="R185" s="64"/>
      <c r="S185" s="333">
        <f>IF(R184=0,0,S184/R184)</f>
        <v>7707.9284847197887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3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3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61562.051316700461</v>
      </c>
      <c r="F187" s="228">
        <f>+SUMPRODUCT(('Budget original'!$A$8:$A$496=$A187)*('Budget original'!$C$3:$AO$3=F$2),'Budget original'!$C$8:$AO$496)</f>
        <v>14774.89231600811</v>
      </c>
      <c r="G187" s="230"/>
      <c r="H187" s="228">
        <f>+SUMPRODUCT(('Budget révisé'!$A$8:$A$496=$A187)*('Budget révisé'!$C$3:$AO$3=H$2),'Budget révisé'!$C$8:$AO$496)</f>
        <v>61562.051316700461</v>
      </c>
      <c r="I187" s="228">
        <f>+SUMPRODUCT(('Budget révisé'!$A$8:$A$496=$A187)*('Budget révisé'!$C$3:$AO$3=I$2),'Budget révisé'!$C$8:$AO$496)</f>
        <v>14774.89231600811</v>
      </c>
      <c r="J187" s="230"/>
      <c r="K187" s="231">
        <f>-SUMIFS(BV_Data_An_Cour!$P:$P,BV_Data_An_Cour!$X:$X,"Oui",BV_Data_An_Cour!$U:$U,$B187,BV_Data_An_Cour!$V:$V,$C187)</f>
        <v>50295.19</v>
      </c>
      <c r="L187" s="281">
        <f>-SUMIFS(BV_Data_An_Cour!$P:$P,BV_Data_An_Cour!$U:$U,$B187,BV_Data_An_Cour!$V:$V,$C187,BV_Data_An_Cour!$W:$W,$L$2)</f>
        <v>10796.990000000002</v>
      </c>
      <c r="M187" s="511">
        <f>IF(H187=0,0,(K187-H187)/H187)</f>
        <v>-0.18301634002965722</v>
      </c>
      <c r="N187" s="232">
        <f>L187-I187</f>
        <v>-3977.9023160081088</v>
      </c>
      <c r="O187" s="230"/>
      <c r="P187" s="231">
        <f>-SUMIFS(BV_Data_An_Prec!$P:$P,BV_Data_An_Prec!$X:$X,"Oui",BV_Data_An_Prec!$U:$U,$B187,BV_Data_An_Prec!$V:$V,$C187)</f>
        <v>84628.670000000013</v>
      </c>
      <c r="Q187" s="281">
        <f>-SUMIFS(BV_Data_An_Prec!$P:$P,BV_Data_An_Prec!$U:$U,$B187,BV_Data_An_Prec!$V:$V,$C187,BV_Data_An_Prec!$W:$W,$L$2)</f>
        <v>22461.490000000005</v>
      </c>
      <c r="R187" s="386">
        <f>IF(O187=0,0,J187/O187)</f>
        <v>0</v>
      </c>
      <c r="S187" s="284">
        <f>L187-Q187</f>
        <v>-11664.500000000004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3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0.21467241698460629</v>
      </c>
      <c r="M188" s="236"/>
      <c r="N188" s="238"/>
      <c r="O188" s="236"/>
      <c r="P188" s="237"/>
      <c r="Q188" s="235">
        <f>IF(Q187=0,0,Q187/P187)</f>
        <v>0.26541230058324211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3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3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3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3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3"/>
        <v>ServiceTotal Mécanique</v>
      </c>
      <c r="B193" s="24" t="s">
        <v>155</v>
      </c>
      <c r="C193" s="269" t="s">
        <v>169</v>
      </c>
      <c r="D193" s="26"/>
      <c r="E193" s="26">
        <f t="shared" ref="E193:F193" si="114">E184+E187+E190</f>
        <v>606734.39635311777</v>
      </c>
      <c r="F193" s="28">
        <f t="shared" si="114"/>
        <v>404275.52480315784</v>
      </c>
      <c r="G193" s="29"/>
      <c r="H193" s="26">
        <f t="shared" ref="H193:I193" si="115">H184+H187+H190</f>
        <v>606734.39635311777</v>
      </c>
      <c r="I193" s="28">
        <f t="shared" si="115"/>
        <v>404275.52480315784</v>
      </c>
      <c r="J193" s="29"/>
      <c r="K193" s="26">
        <f>K184+K187+K190</f>
        <v>557716.79</v>
      </c>
      <c r="L193" s="28">
        <f t="shared" ref="L193" si="116">L184+L187+L190</f>
        <v>378701.08999999997</v>
      </c>
      <c r="M193" s="70">
        <f>L194-I194</f>
        <v>1.2706582955434254E-2</v>
      </c>
      <c r="N193" s="28">
        <f>L193-I193</f>
        <v>-25574.43480315787</v>
      </c>
      <c r="O193" s="29"/>
      <c r="P193" s="26">
        <f>P184+P187+P190</f>
        <v>603325.71000000008</v>
      </c>
      <c r="Q193" s="28">
        <f t="shared" ref="Q193" si="117">Q184+Q187+Q190</f>
        <v>382808.42000000004</v>
      </c>
      <c r="R193" s="70">
        <f>L194-Q194</f>
        <v>4.4523310795091975E-2</v>
      </c>
      <c r="S193" s="363">
        <f>L193-Q193</f>
        <v>-4107.3300000000745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3"/>
        <v>Service</v>
      </c>
      <c r="B194" s="24" t="s">
        <v>155</v>
      </c>
      <c r="C194" s="364"/>
      <c r="D194" s="365"/>
      <c r="E194" s="365"/>
      <c r="F194" s="34">
        <f>F193/E193</f>
        <v>0.66631383886116546</v>
      </c>
      <c r="G194" s="31"/>
      <c r="H194" s="365"/>
      <c r="I194" s="34">
        <f>I193/H193</f>
        <v>0.66631383886116546</v>
      </c>
      <c r="J194" s="31"/>
      <c r="K194" s="365"/>
      <c r="L194" s="34">
        <f>L193/K193</f>
        <v>0.67902042181659972</v>
      </c>
      <c r="M194" s="33"/>
      <c r="N194" s="34">
        <f>N193/I193</f>
        <v>-6.3259913682902486E-2</v>
      </c>
      <c r="O194" s="31"/>
      <c r="P194" s="365"/>
      <c r="Q194" s="34">
        <f>Q193/P193</f>
        <v>0.63449711102150774</v>
      </c>
      <c r="R194" s="33"/>
      <c r="S194" s="272">
        <f>L193/S193</f>
        <v>-92.20128161116665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3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3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3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36608.669550344828</v>
      </c>
      <c r="G197" s="303"/>
      <c r="H197" s="178"/>
      <c r="I197" s="179">
        <f>+SUMPRODUCT(('Budget révisé'!$A$8:$A$496=$A197)*('Budget révisé'!$C$3:$AO$3=I$2),'Budget révisé'!$C$8:$AO$496)</f>
        <v>36608.669550344828</v>
      </c>
      <c r="J197" s="303"/>
      <c r="K197" s="178"/>
      <c r="L197" s="180">
        <f>SUMIFS(BV_Data_An_Cour!$P:$P,BV_Data_An_Cour!$U:$U,$B197,BV_Data_An_Cour!$V:$V,$C197,BV_Data_An_Cour!$W:$W,$L$2)</f>
        <v>30615.78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40132.54</v>
      </c>
      <c r="R197" s="303"/>
      <c r="S197" s="399">
        <f>L197-Q197</f>
        <v>-9516.760000000002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3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26654.586017839079</v>
      </c>
      <c r="G198" s="302"/>
      <c r="H198" s="178"/>
      <c r="I198" s="177">
        <f>+SUMPRODUCT(('Budget révisé'!$A$8:$A$496=$A198)*('Budget révisé'!$C$3:$AO$3=I$2),'Budget révisé'!$C$8:$AO$496)</f>
        <v>26654.586017839079</v>
      </c>
      <c r="J198" s="303"/>
      <c r="K198" s="178"/>
      <c r="L198" s="180">
        <f>SUMIFS(BV_Data_An_Cour!$P:$P,BV_Data_An_Cour!$U:$U,$B198,BV_Data_An_Cour!$V:$V,$C198,BV_Data_An_Cour!$W:$W,$L$2)</f>
        <v>22871.25</v>
      </c>
      <c r="M198" s="303"/>
      <c r="N198" s="304">
        <f t="shared" ref="N198:N228" si="118">L198-I198</f>
        <v>-3783.3360178390794</v>
      </c>
      <c r="O198" s="303"/>
      <c r="P198" s="178"/>
      <c r="Q198" s="180">
        <f>SUMIFS(BV_Data_An_Prec!$P:$P,BV_Data_An_Prec!$U:$U,$B198,BV_Data_An_Prec!$V:$V,$C198,BV_Data_An_Prec!$W:$W,$L$2)</f>
        <v>22151.01</v>
      </c>
      <c r="R198" s="303"/>
      <c r="S198" s="199">
        <f t="shared" ref="S198:S228" si="119">L198-Q198</f>
        <v>720.2400000000016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3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36005.669572560917</v>
      </c>
      <c r="G199" s="393"/>
      <c r="H199" s="352"/>
      <c r="I199" s="179">
        <f>+SUMPRODUCT(('Budget révisé'!$A$8:$A$496=$A199)*('Budget révisé'!$C$3:$AO$3=I$2),'Budget révisé'!$C$8:$AO$496)</f>
        <v>36005.669572560917</v>
      </c>
      <c r="J199" s="368"/>
      <c r="K199" s="352"/>
      <c r="L199" s="181">
        <f>SUMIFS(BV_Data_An_Cour!$P:$P,BV_Data_An_Cour!$U:$U,$B199,BV_Data_An_Cour!$V:$V,$C199,BV_Data_An_Cour!$W:$W,$L$2)</f>
        <v>39479.11</v>
      </c>
      <c r="M199" s="368"/>
      <c r="N199" s="356">
        <f t="shared" si="118"/>
        <v>3473.4404274390836</v>
      </c>
      <c r="O199" s="368"/>
      <c r="P199" s="352"/>
      <c r="Q199" s="181">
        <f>SUMIFS(BV_Data_An_Prec!$P:$P,BV_Data_An_Prec!$U:$U,$B199,BV_Data_An_Prec!$V:$V,$C199,BV_Data_An_Prec!$W:$W,$L$2)</f>
        <v>30461.040000000001</v>
      </c>
      <c r="R199" s="368"/>
      <c r="S199" s="201">
        <f t="shared" si="119"/>
        <v>9018.07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3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92152.362593103462</v>
      </c>
      <c r="G200" s="302"/>
      <c r="H200" s="178"/>
      <c r="I200" s="179">
        <f>+SUMPRODUCT(('Budget révisé'!$A$8:$A$496=$A200)*('Budget révisé'!$C$3:$AO$3=I$2),'Budget révisé'!$C$8:$AO$496)</f>
        <v>92152.362593103462</v>
      </c>
      <c r="J200" s="303"/>
      <c r="K200" s="178"/>
      <c r="L200" s="180">
        <f>SUMIFS(BV_Data_An_Cour!$P:$P,BV_Data_An_Cour!$U:$U,$B200,BV_Data_An_Cour!$V:$V,$C200,BV_Data_An_Cour!$W:$W,$L$2)</f>
        <v>61268.35</v>
      </c>
      <c r="M200" s="303"/>
      <c r="N200" s="304">
        <f t="shared" si="118"/>
        <v>-30884.012593103464</v>
      </c>
      <c r="O200" s="303"/>
      <c r="P200" s="178"/>
      <c r="Q200" s="180">
        <f>SUMIFS(BV_Data_An_Prec!$P:$P,BV_Data_An_Prec!$U:$U,$B200,BV_Data_An_Prec!$V:$V,$C200,BV_Data_An_Prec!$W:$W,$L$2)</f>
        <v>56847.21</v>
      </c>
      <c r="R200" s="303"/>
      <c r="S200" s="199">
        <f t="shared" si="119"/>
        <v>4421.1399999999994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3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8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19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3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8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19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3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0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1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3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50270.016928061792</v>
      </c>
      <c r="G204" s="302"/>
      <c r="H204" s="178"/>
      <c r="I204" s="179">
        <f>+SUMPRODUCT(('Budget révisé'!$A$8:$A$496=$A204)*('Budget révisé'!$C$3:$AO$3=I$2),'Budget révisé'!$C$8:$AO$496)</f>
        <v>50270.016928061792</v>
      </c>
      <c r="J204" s="303"/>
      <c r="K204" s="178"/>
      <c r="L204" s="180">
        <f>SUMIFS(BV_Data_An_Cour!$P:$P,BV_Data_An_Cour!$U:$U,$B204,BV_Data_An_Cour!$V:$V,$C204,BV_Data_An_Cour!$W:$W,$L$2)</f>
        <v>39845.760000000002</v>
      </c>
      <c r="M204" s="303"/>
      <c r="N204" s="304">
        <f t="shared" si="120"/>
        <v>-10424.25692806179</v>
      </c>
      <c r="O204" s="303"/>
      <c r="P204" s="178"/>
      <c r="Q204" s="180">
        <f>SUMIFS(BV_Data_An_Prec!$P:$P,BV_Data_An_Prec!$U:$U,$B204,BV_Data_An_Prec!$V:$V,$C204,BV_Data_An_Prec!$W:$W,$L$2)</f>
        <v>40834.99</v>
      </c>
      <c r="R204" s="303"/>
      <c r="S204" s="199">
        <f t="shared" si="121"/>
        <v>-989.22999999999593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3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50270.016928061792</v>
      </c>
      <c r="G205" s="393"/>
      <c r="H205" s="352"/>
      <c r="I205" s="429">
        <f>+SUMPRODUCT(('Budget révisé'!$A$8:$A$496=$A205)*('Budget révisé'!$C$3:$AO$3=I$2),'Budget révisé'!$C$8:$AO$496)</f>
        <v>50270.016928061792</v>
      </c>
      <c r="J205" s="368"/>
      <c r="K205" s="352"/>
      <c r="L205" s="181">
        <f>SUMIFS(BV_Data_An_Cour!$P:$P,BV_Data_An_Cour!$U:$U,$B205,BV_Data_An_Cour!$V:$V,$C205,BV_Data_An_Cour!$W:$W,$L$2)</f>
        <v>40996.26</v>
      </c>
      <c r="M205" s="368"/>
      <c r="N205" s="356">
        <f t="shared" si="118"/>
        <v>-9273.7569280617899</v>
      </c>
      <c r="O205" s="368"/>
      <c r="P205" s="352"/>
      <c r="Q205" s="181">
        <f>SUMIFS(BV_Data_An_Prec!$P:$P,BV_Data_An_Prec!$U:$U,$B205,BV_Data_An_Prec!$V:$V,$C205,BV_Data_An_Prec!$W:$W,$L$2)</f>
        <v>33817.93</v>
      </c>
      <c r="R205" s="368"/>
      <c r="S205" s="201">
        <f t="shared" si="119"/>
        <v>7178.3300000000017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3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36026.84546511095</v>
      </c>
      <c r="G206" s="302"/>
      <c r="H206" s="178"/>
      <c r="I206" s="179">
        <f>+SUMPRODUCT(('Budget révisé'!$A$8:$A$496=$A206)*('Budget révisé'!$C$3:$AO$3=I$2),'Budget révisé'!$C$8:$AO$496)</f>
        <v>36026.84546511095</v>
      </c>
      <c r="J206" s="303"/>
      <c r="K206" s="178"/>
      <c r="L206" s="180">
        <f>SUMIFS(BV_Data_An_Cour!$P:$P,BV_Data_An_Cour!$U:$U,$B206,BV_Data_An_Cour!$V:$V,$C206,BV_Data_An_Cour!$W:$W,$L$2)</f>
        <v>29380.649999999998</v>
      </c>
      <c r="M206" s="303"/>
      <c r="N206" s="304">
        <f t="shared" si="118"/>
        <v>-6646.1954651109518</v>
      </c>
      <c r="O206" s="303"/>
      <c r="P206" s="178"/>
      <c r="Q206" s="180">
        <f>SUMIFS(BV_Data_An_Prec!$P:$P,BV_Data_An_Prec!$U:$U,$B206,BV_Data_An_Prec!$V:$V,$C206,BV_Data_An_Prec!$W:$W,$L$2)</f>
        <v>24082.79</v>
      </c>
      <c r="R206" s="303"/>
      <c r="S206" s="199">
        <f t="shared" si="119"/>
        <v>5297.8599999999969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3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8378.3361546769647</v>
      </c>
      <c r="G207" s="302"/>
      <c r="H207" s="178"/>
      <c r="I207" s="179">
        <f>+SUMPRODUCT(('Budget révisé'!$A$8:$A$496=$A207)*('Budget révisé'!$C$3:$AO$3=I$2),'Budget révisé'!$C$8:$AO$496)</f>
        <v>8378.3361546769647</v>
      </c>
      <c r="J207" s="303"/>
      <c r="K207" s="178"/>
      <c r="L207" s="180">
        <f>SUMIFS(BV_Data_An_Cour!$P:$P,BV_Data_An_Cour!$U:$U,$B207,BV_Data_An_Cour!$V:$V,$C207,BV_Data_An_Cour!$W:$W,$L$2)</f>
        <v>6832.71</v>
      </c>
      <c r="M207" s="303"/>
      <c r="N207" s="304">
        <f t="shared" si="118"/>
        <v>-1545.6261546769647</v>
      </c>
      <c r="O207" s="303"/>
      <c r="P207" s="178"/>
      <c r="Q207" s="180">
        <f>SUMIFS(BV_Data_An_Prec!$P:$P,BV_Data_An_Prec!$U:$U,$B207,BV_Data_An_Prec!$V:$V,$C207,BV_Data_An_Prec!$W:$W,$L$2)</f>
        <v>9005.3799999999992</v>
      </c>
      <c r="R207" s="303"/>
      <c r="S207" s="199">
        <f t="shared" si="119"/>
        <v>-2172.6699999999992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3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8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19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3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0.83202292143096479</v>
      </c>
      <c r="F209" s="41">
        <f>+SUM(F197:F208)</f>
        <v>336366.50320975983</v>
      </c>
      <c r="G209" s="42" t="s">
        <v>170</v>
      </c>
      <c r="H209" s="40">
        <f>I209/I$193</f>
        <v>0.83202292143096479</v>
      </c>
      <c r="I209" s="41">
        <f>+SUM(I197:I208)</f>
        <v>336366.50320975983</v>
      </c>
      <c r="J209" s="42" t="s">
        <v>170</v>
      </c>
      <c r="K209" s="40">
        <f>L209/L$193</f>
        <v>0.71636939307462799</v>
      </c>
      <c r="L209" s="41">
        <f>+SUM(L197:L208)</f>
        <v>271289.87000000005</v>
      </c>
      <c r="M209" s="43"/>
      <c r="N209" s="46">
        <f t="shared" si="118"/>
        <v>-65076.633209759777</v>
      </c>
      <c r="O209" s="42" t="s">
        <v>170</v>
      </c>
      <c r="P209" s="40">
        <f>Q209/Q$193</f>
        <v>0.67222369351227951</v>
      </c>
      <c r="Q209" s="41">
        <f>+SUM(Q197:Q208)</f>
        <v>257332.88999999998</v>
      </c>
      <c r="R209" s="43"/>
      <c r="S209" s="299">
        <f t="shared" si="119"/>
        <v>13956.980000000069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3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21219.575000000001</v>
      </c>
      <c r="G210" s="302"/>
      <c r="H210" s="178"/>
      <c r="I210" s="179">
        <f>+SUMPRODUCT(('Budget révisé'!$A$8:$A$496=$A210)*('Budget révisé'!$C$3:$AO$3=I$2),'Budget révisé'!$C$8:$AO$496)</f>
        <v>21219.575000000001</v>
      </c>
      <c r="J210" s="303"/>
      <c r="K210" s="178"/>
      <c r="L210" s="180">
        <f>SUMIFS(BV_Data_An_Cour!$P:$P,BV_Data_An_Cour!$U:$U,$B210,BV_Data_An_Cour!$V:$V,$C210,BV_Data_An_Cour!$W:$W,$L$2)</f>
        <v>19698.7</v>
      </c>
      <c r="M210" s="303"/>
      <c r="N210" s="304">
        <f t="shared" si="118"/>
        <v>-1520.875</v>
      </c>
      <c r="O210" s="303"/>
      <c r="P210" s="178"/>
      <c r="Q210" s="180">
        <f>SUMIFS(BV_Data_An_Prec!$P:$P,BV_Data_An_Prec!$U:$U,$B210,BV_Data_An_Prec!$V:$V,$C210,BV_Data_An_Prec!$W:$W,$L$2)</f>
        <v>36771.769999999997</v>
      </c>
      <c r="R210" s="303"/>
      <c r="S210" s="199">
        <f t="shared" si="119"/>
        <v>-17073.069999999996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3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5731.3166504534693</v>
      </c>
      <c r="G211" s="302"/>
      <c r="H211" s="178"/>
      <c r="I211" s="179">
        <f>+SUMPRODUCT(('Budget révisé'!$A$8:$A$496=$A211)*('Budget révisé'!$C$3:$AO$3=I$2),'Budget révisé'!$C$8:$AO$496)</f>
        <v>5731.3166504534693</v>
      </c>
      <c r="J211" s="303"/>
      <c r="K211" s="178"/>
      <c r="L211" s="980">
        <f>SUMIFS(BV_Data_An_Cour!$P:$P,BV_Data_An_Cour!$U:$U,$B211,BV_Data_An_Cour!$V:$V,$C211,BV_Data_An_Cour!$W:$W,$L$2)</f>
        <v>7729.7</v>
      </c>
      <c r="M211" s="303"/>
      <c r="N211" s="304">
        <f t="shared" si="118"/>
        <v>1998.3833495465306</v>
      </c>
      <c r="O211" s="303"/>
      <c r="P211" s="178"/>
      <c r="Q211" s="180">
        <f>SUMIFS(BV_Data_An_Prec!$P:$P,BV_Data_An_Prec!$U:$U,$B211,BV_Data_An_Prec!$V:$V,$C211,BV_Data_An_Prec!$W:$W,$L$2)</f>
        <v>6842.36</v>
      </c>
      <c r="R211" s="303"/>
      <c r="S211" s="199">
        <f t="shared" si="119"/>
        <v>887.34000000000015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3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50292.240000000005</v>
      </c>
      <c r="G212" s="309"/>
      <c r="H212" s="308"/>
      <c r="I212" s="177">
        <f>+SUMPRODUCT(('Budget révisé'!$A$8:$A$496=$A212)*('Budget révisé'!$C$3:$AO$3=I$2),'Budget révisé'!$C$8:$AO$496)</f>
        <v>50292.240000000005</v>
      </c>
      <c r="J212" s="310"/>
      <c r="K212" s="308"/>
      <c r="L212" s="180">
        <f>SUMIFS(BV_Data_An_Cour!$P:$P,BV_Data_An_Cour!$U:$U,$B212,BV_Data_An_Cour!$V:$V,$C212,BV_Data_An_Cour!$W:$W,$L$2)</f>
        <v>42376.99</v>
      </c>
      <c r="M212" s="310"/>
      <c r="N212" s="311">
        <f t="shared" si="118"/>
        <v>-7915.2500000000073</v>
      </c>
      <c r="O212" s="310"/>
      <c r="P212" s="308"/>
      <c r="Q212" s="180">
        <f>SUMIFS(BV_Data_An_Prec!$P:$P,BV_Data_An_Prec!$U:$U,$B212,BV_Data_An_Prec!$V:$V,$C212,BV_Data_An_Prec!$W:$W,$L$2)</f>
        <v>34508.07</v>
      </c>
      <c r="R212" s="310"/>
      <c r="S212" s="202">
        <f t="shared" si="119"/>
        <v>7868.9199999999983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3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13276.641599999999</v>
      </c>
      <c r="G213" s="302"/>
      <c r="H213" s="178"/>
      <c r="I213" s="179">
        <f>+SUMPRODUCT(('Budget révisé'!$A$8:$A$496=$A213)*('Budget révisé'!$C$3:$AO$3=I$2),'Budget révisé'!$C$8:$AO$496)</f>
        <v>13276.641599999999</v>
      </c>
      <c r="J213" s="303"/>
      <c r="K213" s="178"/>
      <c r="L213" s="181">
        <f>SUMIFS(BV_Data_An_Cour!$P:$P,BV_Data_An_Cour!$U:$U,$B213,BV_Data_An_Cour!$V:$V,$C213,BV_Data_An_Cour!$W:$W,$L$2)</f>
        <v>11915.23</v>
      </c>
      <c r="M213" s="303"/>
      <c r="N213" s="304">
        <f t="shared" si="118"/>
        <v>-1361.4115999999995</v>
      </c>
      <c r="O213" s="303"/>
      <c r="P213" s="178"/>
      <c r="Q213" s="181">
        <f>SUMIFS(BV_Data_An_Prec!$P:$P,BV_Data_An_Prec!$U:$U,$B213,BV_Data_An_Prec!$V:$V,$C213,BV_Data_An_Prec!$W:$W,$L$2)</f>
        <v>11289.23</v>
      </c>
      <c r="R213" s="303"/>
      <c r="S213" s="199">
        <f t="shared" si="119"/>
        <v>626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3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3592.1178</v>
      </c>
      <c r="G214" s="302"/>
      <c r="H214" s="178"/>
      <c r="I214" s="179">
        <f>+SUMPRODUCT(('Budget révisé'!$A$8:$A$496=$A214)*('Budget révisé'!$C$3:$AO$3=I$2),'Budget révisé'!$C$8:$AO$496)</f>
        <v>3592.1178</v>
      </c>
      <c r="J214" s="303"/>
      <c r="K214" s="178"/>
      <c r="L214" s="180">
        <f>SUMIFS(BV_Data_An_Cour!$P:$P,BV_Data_An_Cour!$U:$U,$B214,BV_Data_An_Cour!$V:$V,$C214,BV_Data_An_Cour!$W:$W,$L$2)</f>
        <v>541.6</v>
      </c>
      <c r="M214" s="303"/>
      <c r="N214" s="304">
        <f t="shared" si="118"/>
        <v>-3050.5178000000001</v>
      </c>
      <c r="O214" s="303"/>
      <c r="P214" s="178"/>
      <c r="Q214" s="180">
        <f>SUMIFS(BV_Data_An_Prec!$P:$P,BV_Data_An_Prec!$U:$U,$B214,BV_Data_An_Prec!$V:$V,$C214,BV_Data_An_Prec!$W:$W,$L$2)</f>
        <v>4375.4399999999996</v>
      </c>
      <c r="R214" s="303"/>
      <c r="S214" s="199">
        <f t="shared" si="119"/>
        <v>-3833.8399999999997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3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10540.562999999998</v>
      </c>
      <c r="G215" s="309"/>
      <c r="H215" s="308"/>
      <c r="I215" s="177">
        <f>+SUMPRODUCT(('Budget révisé'!$A$8:$A$496=$A215)*('Budget révisé'!$C$3:$AO$3=I$2),'Budget révisé'!$C$8:$AO$496)</f>
        <v>10540.562999999998</v>
      </c>
      <c r="J215" s="310"/>
      <c r="K215" s="308"/>
      <c r="L215" s="180">
        <f>SUMIFS(BV_Data_An_Cour!$P:$P,BV_Data_An_Cour!$U:$U,$B215,BV_Data_An_Cour!$V:$V,$C215,BV_Data_An_Cour!$W:$W,$L$2)</f>
        <v>5058.01</v>
      </c>
      <c r="M215" s="310"/>
      <c r="N215" s="311">
        <f t="shared" si="118"/>
        <v>-5482.5529999999981</v>
      </c>
      <c r="O215" s="310"/>
      <c r="P215" s="308"/>
      <c r="Q215" s="180">
        <f>SUMIFS(BV_Data_An_Prec!$P:$P,BV_Data_An_Prec!$U:$U,$B215,BV_Data_An_Prec!$V:$V,$C215,BV_Data_An_Prec!$W:$W,$L$2)</f>
        <v>29491.42</v>
      </c>
      <c r="R215" s="310"/>
      <c r="S215" s="202">
        <f t="shared" si="119"/>
        <v>-24433.409999999996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2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3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4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3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1638</v>
      </c>
      <c r="G217" s="302"/>
      <c r="H217" s="178"/>
      <c r="I217" s="179">
        <f>+SUMPRODUCT(('Budget révisé'!$A$8:$A$496=$A217)*('Budget révisé'!$C$3:$AO$3=I$2),'Budget révisé'!$C$8:$AO$496)</f>
        <v>1638</v>
      </c>
      <c r="J217" s="303"/>
      <c r="K217" s="178"/>
      <c r="L217" s="180">
        <f>SUMIFS(BV_Data_An_Cour!$P:$P,BV_Data_An_Cour!$U:$U,$B217,BV_Data_An_Cour!$V:$V,$C217,BV_Data_An_Cour!$W:$W,$L$2)</f>
        <v>3920.87</v>
      </c>
      <c r="M217" s="303"/>
      <c r="N217" s="304">
        <f t="shared" si="118"/>
        <v>2282.87</v>
      </c>
      <c r="O217" s="303"/>
      <c r="P217" s="178"/>
      <c r="Q217" s="180">
        <f>SUMIFS(BV_Data_An_Prec!$P:$P,BV_Data_An_Prec!$U:$U,$B217,BV_Data_An_Prec!$V:$V,$C217,BV_Data_An_Prec!$W:$W,$L$2)</f>
        <v>1240</v>
      </c>
      <c r="R217" s="303"/>
      <c r="S217" s="199">
        <f t="shared" si="119"/>
        <v>2680.87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3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3900</v>
      </c>
      <c r="G218" s="302"/>
      <c r="H218" s="178"/>
      <c r="I218" s="179">
        <f>+SUMPRODUCT(('Budget révisé'!$A$8:$A$496=$A218)*('Budget révisé'!$C$3:$AO$3=I$2),'Budget révisé'!$C$8:$AO$496)</f>
        <v>3900</v>
      </c>
      <c r="J218" s="303"/>
      <c r="K218" s="178"/>
      <c r="L218" s="180">
        <f>SUMIFS(BV_Data_An_Cour!$P:$P,BV_Data_An_Cour!$U:$U,$B218,BV_Data_An_Cour!$V:$V,$C218,BV_Data_An_Cour!$W:$W,$L$2)</f>
        <v>2081.04</v>
      </c>
      <c r="M218" s="303"/>
      <c r="N218" s="304">
        <f t="shared" si="118"/>
        <v>-1818.96</v>
      </c>
      <c r="O218" s="303"/>
      <c r="P218" s="178"/>
      <c r="Q218" s="180">
        <f>SUMIFS(BV_Data_An_Prec!$P:$P,BV_Data_An_Prec!$U:$U,$B218,BV_Data_An_Prec!$V:$V,$C218,BV_Data_An_Prec!$W:$W,$L$2)</f>
        <v>3900</v>
      </c>
      <c r="R218" s="303"/>
      <c r="S218" s="199">
        <f t="shared" si="119"/>
        <v>-1818.96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3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1569.6</v>
      </c>
      <c r="G219" s="302"/>
      <c r="H219" s="178"/>
      <c r="I219" s="179">
        <f>+SUMPRODUCT(('Budget révisé'!$A$8:$A$496=$A219)*('Budget révisé'!$C$3:$AO$3=I$2),'Budget révisé'!$C$8:$AO$496)</f>
        <v>1569.6</v>
      </c>
      <c r="J219" s="303"/>
      <c r="K219" s="178"/>
      <c r="L219" s="554">
        <f>SUMIFS(BV_Data_An_Cour!$P:$P,BV_Data_An_Cour!$U:$U,$B219,BV_Data_An_Cour!$V:$V,$C219,BV_Data_An_Cour!$W:$W,$L$2)</f>
        <v>857.28</v>
      </c>
      <c r="M219" s="303"/>
      <c r="N219" s="304">
        <f t="shared" si="118"/>
        <v>-712.31999999999994</v>
      </c>
      <c r="O219" s="303"/>
      <c r="P219" s="178"/>
      <c r="Q219" s="554">
        <f>SUMIFS(BV_Data_An_Prec!$P:$P,BV_Data_An_Prec!$U:$U,$B219,BV_Data_An_Prec!$V:$V,$C219,BV_Data_An_Prec!$W:$W,$L$2)</f>
        <v>1332</v>
      </c>
      <c r="R219" s="303"/>
      <c r="S219" s="199">
        <f t="shared" si="119"/>
        <v>-474.72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3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1383.5519999999999</v>
      </c>
      <c r="G220" s="302"/>
      <c r="H220" s="178"/>
      <c r="I220" s="179">
        <f>+SUMPRODUCT(('Budget révisé'!$A$8:$A$496=$A220)*('Budget révisé'!$C$3:$AO$3=I$2),'Budget révisé'!$C$8:$AO$496)</f>
        <v>1383.5519999999999</v>
      </c>
      <c r="J220" s="303"/>
      <c r="K220" s="178"/>
      <c r="L220" s="281">
        <f>SUMIFS(BV_Data_An_Cour!$P:$P,BV_Data_An_Cour!$U:$U,$B220,BV_Data_An_Cour!$V:$V,$C220,BV_Data_An_Cour!$W:$W,$L$2)</f>
        <v>971.83</v>
      </c>
      <c r="M220" s="303"/>
      <c r="N220" s="304">
        <f t="shared" si="118"/>
        <v>-411.72199999999987</v>
      </c>
      <c r="O220" s="303"/>
      <c r="P220" s="178"/>
      <c r="Q220" s="180">
        <f>SUMIFS(BV_Data_An_Prec!$P:$P,BV_Data_An_Prec!$U:$U,$B220,BV_Data_An_Prec!$V:$V,$C220,BV_Data_An_Prec!$W:$W,$L$2)</f>
        <v>1598.13</v>
      </c>
      <c r="R220" s="303"/>
      <c r="S220" s="199">
        <f t="shared" si="119"/>
        <v>-626.30000000000007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3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622.79999999999995</v>
      </c>
      <c r="G221" s="302"/>
      <c r="H221" s="178"/>
      <c r="I221" s="179">
        <f>+SUMPRODUCT(('Budget révisé'!$A$8:$A$496=$A221)*('Budget révisé'!$C$3:$AO$3=I$2),'Budget révisé'!$C$8:$AO$496)</f>
        <v>622.79999999999995</v>
      </c>
      <c r="J221" s="303"/>
      <c r="K221" s="178"/>
      <c r="L221" s="281">
        <f>SUMIFS(BV_Data_An_Cour!$P:$P,BV_Data_An_Cour!$U:$U,$B221,BV_Data_An_Cour!$V:$V,$C221,BV_Data_An_Cour!$W:$W,$L$2)</f>
        <v>221.72</v>
      </c>
      <c r="M221" s="303"/>
      <c r="N221" s="304">
        <f t="shared" si="118"/>
        <v>-401.07999999999993</v>
      </c>
      <c r="O221" s="303"/>
      <c r="P221" s="178"/>
      <c r="Q221" s="180">
        <f>SUMIFS(BV_Data_An_Prec!$P:$P,BV_Data_An_Prec!$U:$U,$B221,BV_Data_An_Prec!$V:$V,$C221,BV_Data_An_Prec!$W:$W,$L$2)</f>
        <v>420.28</v>
      </c>
      <c r="R221" s="303"/>
      <c r="S221" s="199">
        <f t="shared" si="119"/>
        <v>-198.55999999999997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3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2885.5199999999995</v>
      </c>
      <c r="G222" s="302"/>
      <c r="H222" s="178"/>
      <c r="I222" s="179">
        <f>+SUMPRODUCT(('Budget révisé'!$A$8:$A$496=$A222)*('Budget révisé'!$C$3:$AO$3=I$2),'Budget révisé'!$C$8:$AO$496)</f>
        <v>2885.5199999999995</v>
      </c>
      <c r="J222" s="303"/>
      <c r="K222" s="178"/>
      <c r="L222" s="281">
        <f>SUMIFS(BV_Data_An_Cour!$P:$P,BV_Data_An_Cour!$U:$U,$B222,BV_Data_An_Cour!$V:$V,$C222,BV_Data_An_Cour!$W:$W,$L$2)</f>
        <v>1907.75</v>
      </c>
      <c r="M222" s="303"/>
      <c r="N222" s="304">
        <f t="shared" si="118"/>
        <v>-977.76999999999953</v>
      </c>
      <c r="O222" s="303"/>
      <c r="P222" s="178"/>
      <c r="Q222" s="180">
        <f>SUMIFS(BV_Data_An_Prec!$P:$P,BV_Data_An_Prec!$U:$U,$B222,BV_Data_An_Prec!$V:$V,$C222,BV_Data_An_Prec!$W:$W,$L$2)</f>
        <v>3823.37</v>
      </c>
      <c r="R222" s="303"/>
      <c r="S222" s="199">
        <f t="shared" si="119"/>
        <v>-1915.62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3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4173.78</v>
      </c>
      <c r="G223" s="302"/>
      <c r="H223" s="178"/>
      <c r="I223" s="179">
        <f>+SUMPRODUCT(('Budget révisé'!$A$8:$A$496=$A223)*('Budget révisé'!$C$3:$AO$3=I$2),'Budget révisé'!$C$8:$AO$496)</f>
        <v>4173.78</v>
      </c>
      <c r="J223" s="303"/>
      <c r="K223" s="178"/>
      <c r="L223" s="281">
        <f>SUMIFS(BV_Data_An_Cour!$P:$P,BV_Data_An_Cour!$U:$U,$B223,BV_Data_An_Cour!$V:$V,$C223,BV_Data_An_Cour!$W:$W,$L$2)</f>
        <v>3290.7</v>
      </c>
      <c r="M223" s="303"/>
      <c r="N223" s="304">
        <f t="shared" si="118"/>
        <v>-883.07999999999993</v>
      </c>
      <c r="O223" s="303"/>
      <c r="P223" s="178"/>
      <c r="Q223" s="180">
        <f>SUMIFS(BV_Data_An_Prec!$P:$P,BV_Data_An_Prec!$U:$U,$B223,BV_Data_An_Prec!$V:$V,$C223,BV_Data_An_Prec!$W:$W,$L$2)</f>
        <v>8360.01</v>
      </c>
      <c r="R223" s="303"/>
      <c r="S223" s="199">
        <f t="shared" si="119"/>
        <v>-5069.3100000000004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3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4478.8015303877073</v>
      </c>
      <c r="G224" s="302"/>
      <c r="H224" s="178"/>
      <c r="I224" s="179">
        <f>+SUMPRODUCT(('Budget révisé'!$A$8:$A$496=$A224)*('Budget révisé'!$C$3:$AO$3=I$2),'Budget révisé'!$C$8:$AO$496)</f>
        <v>4478.8015303877073</v>
      </c>
      <c r="J224" s="303"/>
      <c r="K224" s="178"/>
      <c r="L224" s="281">
        <f>SUMIFS(BV_Data_An_Cour!$O:$O,BV_Data_An_Cour!$U:$U,$B224,BV_Data_An_Cour!$V:$V,$C224,BV_Data_An_Cour!$W:$W,$L$2)</f>
        <v>0</v>
      </c>
      <c r="M224" s="303"/>
      <c r="N224" s="304">
        <f t="shared" si="118"/>
        <v>-4478.8015303877073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19"/>
        <v>0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3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8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19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5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6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7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3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8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19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0.30994828994867318</v>
      </c>
      <c r="F228" s="41">
        <f>+SUM(F210:F227)</f>
        <v>125304.50758084118</v>
      </c>
      <c r="G228" s="42" t="s">
        <v>170</v>
      </c>
      <c r="H228" s="40">
        <f>I228/I$193</f>
        <v>0.30994828994867318</v>
      </c>
      <c r="I228" s="41">
        <f>+SUM(I210:I227)</f>
        <v>125304.50758084118</v>
      </c>
      <c r="J228" s="42" t="s">
        <v>170</v>
      </c>
      <c r="K228" s="40">
        <f>L228/L$193</f>
        <v>0.26556939669753787</v>
      </c>
      <c r="L228" s="41">
        <f>+SUM(L210:L227)</f>
        <v>100571.41999999998</v>
      </c>
      <c r="M228" s="44"/>
      <c r="N228" s="41">
        <f t="shared" si="118"/>
        <v>-24733.087580841195</v>
      </c>
      <c r="O228" s="42" t="s">
        <v>170</v>
      </c>
      <c r="P228" s="40">
        <f>Q228/Q$193</f>
        <v>0.37604209437190533</v>
      </c>
      <c r="Q228" s="41">
        <f>+SUM(Q210:Q227)</f>
        <v>143952.07999999999</v>
      </c>
      <c r="R228" s="44"/>
      <c r="S228" s="316">
        <f t="shared" si="119"/>
        <v>-43380.66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1.1419712113796379</v>
      </c>
      <c r="F230" s="41">
        <f>F209+F228</f>
        <v>461671.01079060102</v>
      </c>
      <c r="G230" s="42" t="s">
        <v>111</v>
      </c>
      <c r="H230" s="40">
        <f>I230/I$193</f>
        <v>1.1419712113796379</v>
      </c>
      <c r="I230" s="41">
        <f>I209+I228</f>
        <v>461671.01079060102</v>
      </c>
      <c r="J230" s="42" t="s">
        <v>111</v>
      </c>
      <c r="K230" s="40">
        <f>L230/L$193</f>
        <v>0.98193878977216587</v>
      </c>
      <c r="L230" s="41">
        <f>L209+L228</f>
        <v>371861.29000000004</v>
      </c>
      <c r="M230" s="44"/>
      <c r="N230" s="46">
        <f t="shared" ref="N230:N232" si="128">L230-I230</f>
        <v>-89809.720790600986</v>
      </c>
      <c r="O230" s="42" t="s">
        <v>111</v>
      </c>
      <c r="P230" s="40">
        <f>Q230/Q$193</f>
        <v>1.0482657878841848</v>
      </c>
      <c r="Q230" s="41">
        <f>Q209+Q228</f>
        <v>401284.97</v>
      </c>
      <c r="R230" s="44"/>
      <c r="S230" s="299">
        <f>L230-Q230</f>
        <v>-29423.679999999935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8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-57395.485987443186</v>
      </c>
      <c r="G232" s="344"/>
      <c r="H232" s="342"/>
      <c r="I232" s="343">
        <f>I193-I230</f>
        <v>-57395.485987443186</v>
      </c>
      <c r="J232" s="345"/>
      <c r="K232" s="346"/>
      <c r="L232" s="343">
        <f>L193-L230</f>
        <v>6839.7999999999302</v>
      </c>
      <c r="M232" s="345"/>
      <c r="N232" s="343">
        <f t="shared" si="128"/>
        <v>64235.285987443116</v>
      </c>
      <c r="O232" s="345"/>
      <c r="P232" s="346"/>
      <c r="Q232" s="343">
        <f>Q193-Q230</f>
        <v>-18476.54999999993</v>
      </c>
      <c r="R232" s="345"/>
      <c r="S232" s="347">
        <f>L232-Q232</f>
        <v>25316.34999999986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4" t="s">
        <v>77</v>
      </c>
      <c r="E237" s="1135"/>
      <c r="F237" s="1136"/>
      <c r="G237" s="1137" t="s">
        <v>145</v>
      </c>
      <c r="H237" s="1135"/>
      <c r="I237" s="1136"/>
      <c r="J237" s="1137" t="s">
        <v>79</v>
      </c>
      <c r="K237" s="1135"/>
      <c r="L237" s="1136"/>
      <c r="M237" s="1137" t="s">
        <v>80</v>
      </c>
      <c r="N237" s="1136"/>
      <c r="O237" s="1134" t="s">
        <v>81</v>
      </c>
      <c r="P237" s="1135"/>
      <c r="Q237" s="1136"/>
      <c r="R237" s="1137" t="s">
        <v>82</v>
      </c>
      <c r="S237" s="1138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29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29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29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234112.93209428375</v>
      </c>
      <c r="F240" s="197">
        <f>+SUMPRODUCT(('Budget original'!$A$8:$A$496=$A240)*('Budget original'!$C$3:$AO$3=F$2),'Budget original'!$C$8:$AO$496)</f>
        <v>53339.784258238156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234112.93209428375</v>
      </c>
      <c r="I240" s="197">
        <f>+SUMPRODUCT(('Budget révisé'!$A$8:$A$496=$A240)*('Budget révisé'!$C$3:$AO$3=I$2),'Budget révisé'!$C$8:$AO$496)</f>
        <v>53339.784258238156</v>
      </c>
      <c r="J240" s="325">
        <f>-SUMIFS(BV_Data_An_Cour!$P:$P,BV_Data_An_Cour!$U:$U,$B240,BV_Data_An_Cour!$V:$V,$C240,BV_Data_An_Cour!$W:$W,J$2)</f>
        <v>176</v>
      </c>
      <c r="K240" s="179">
        <f>-SUMIFS(BV_Data_An_Cour!$P:$P,BV_Data_An_Cour!$X:$X,"Oui",BV_Data_An_Cour!$U:$U,$B240,BV_Data_An_Cour!$V:$V,$C240)</f>
        <v>279293.06</v>
      </c>
      <c r="L240" s="180">
        <f>-SUMIFS(BV_Data_An_Cour!$P:$P,BV_Data_An_Cour!$U:$U,$B240,BV_Data_An_Cour!$V:$V,$C240,BV_Data_An_Cour!$W:$W,$L$2)</f>
        <v>57741.889999999992</v>
      </c>
      <c r="M240" s="324">
        <f>IFERROR((K240-H240)/H240,0)</f>
        <v>0.19298433239698592</v>
      </c>
      <c r="N240" s="304">
        <f>L240-I240</f>
        <v>4402.1057417618358</v>
      </c>
      <c r="O240" s="325">
        <f>-SUMIFS(BV_Data_An_Prec!$P:$P,BV_Data_An_Prec!$U:$U,$B240,BV_Data_An_Prec!$V:$V,$C240,BV_Data_An_Prec!$W:$W,O$2)</f>
        <v>232</v>
      </c>
      <c r="P240" s="179">
        <f>-SUMIFS(BV_Data_An_Prec!$P:$P,BV_Data_An_Prec!$X:$X,"Oui",BV_Data_An_Prec!$U:$U,$B240,BV_Data_An_Prec!$V:$V,$C240)</f>
        <v>319441.08999999997</v>
      </c>
      <c r="Q240" s="180">
        <f>-SUMIFS(BV_Data_An_Prec!$P:$P,BV_Data_An_Prec!$U:$U,$B240,BV_Data_An_Prec!$V:$V,$C240,BV_Data_An_Prec!$W:$W,$L$2)</f>
        <v>70285.209999999992</v>
      </c>
      <c r="R240" s="324">
        <f>IF(O240=0,0,J240/O240)</f>
        <v>0.75862068965517238</v>
      </c>
      <c r="S240" s="199">
        <f>L240-Q240</f>
        <v>-12543.32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29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0.20674301753147747</v>
      </c>
      <c r="M241" s="324"/>
      <c r="N241" s="304">
        <f>IFERROR(N240/M240,0)</f>
        <v>22810.689795824012</v>
      </c>
      <c r="O241" s="325"/>
      <c r="P241" s="178"/>
      <c r="Q241" s="350">
        <f>IFERROR(Q240/P240,0)</f>
        <v>0.22002557654683685</v>
      </c>
      <c r="R241" s="325"/>
      <c r="S241" s="199">
        <f>IFERROR(S240/R240,0)</f>
        <v>-16534.376363636366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29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29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SUMIFS(BV_Data_An_Cour!$C$1:$C$637,BV_Data_An_Cour!$V$1:$V$637,$C243,BV_Data_An_Cour!$U$1:$U$637,$K$235)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29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29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29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SUMIFS(BV_Data_An_Cour!$C$1:$C$637,BV_Data_An_Cour!$V$1:$V$637,$C246,BV_Data_An_Cour!$U$1:$U$637,$K$235)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29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29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29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0">E243+E246+E240</f>
        <v>234112.93209428375</v>
      </c>
      <c r="F249" s="28">
        <f t="shared" si="130"/>
        <v>53339.784258238156</v>
      </c>
      <c r="G249" s="29"/>
      <c r="H249" s="26">
        <f t="shared" ref="H249:I249" si="131">H243+H246+H240</f>
        <v>234112.93209428375</v>
      </c>
      <c r="I249" s="28">
        <f t="shared" si="131"/>
        <v>53339.784258238156</v>
      </c>
      <c r="J249" s="29"/>
      <c r="K249" s="26">
        <f t="shared" ref="K249:L249" si="132">K243+K246+K240</f>
        <v>279293.06</v>
      </c>
      <c r="L249" s="28">
        <f t="shared" si="132"/>
        <v>57741.889999999992</v>
      </c>
      <c r="M249" s="70">
        <f>L250-I250</f>
        <v>-2.109482030636034E-2</v>
      </c>
      <c r="N249" s="28">
        <f>L249-I249</f>
        <v>4402.1057417618358</v>
      </c>
      <c r="O249" s="29"/>
      <c r="P249" s="26">
        <f t="shared" ref="P249:Q249" si="133">P243+P246+P240</f>
        <v>319441.08999999997</v>
      </c>
      <c r="Q249" s="28">
        <f t="shared" si="133"/>
        <v>70285.209999999992</v>
      </c>
      <c r="R249" s="70">
        <f>L250-Q250</f>
        <v>-1.328255901535938E-2</v>
      </c>
      <c r="S249" s="363">
        <f>L249-Q249</f>
        <v>-12543.32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29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0.20674301753147747</v>
      </c>
      <c r="M250" s="33"/>
      <c r="N250" s="34">
        <f>N249/I249</f>
        <v>8.2529500315366294E-2</v>
      </c>
      <c r="O250" s="31"/>
      <c r="P250" s="365"/>
      <c r="Q250" s="34">
        <f>IF(P249=0,0,Q249/P249)</f>
        <v>0.22002557654683685</v>
      </c>
      <c r="R250" s="33"/>
      <c r="S250" s="272">
        <f>IF(R249=0,0,S249/R249)</f>
        <v>944345.13601599238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29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29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29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863.31340996168592</v>
      </c>
      <c r="G253" s="227"/>
      <c r="H253" s="233"/>
      <c r="I253" s="231">
        <f>+SUMPRODUCT(('Budget révisé'!$A$8:$A$496=$A253)*('Budget révisé'!$C$3:$AO$3=I$2),'Budget révisé'!$C$8:$AO$496)</f>
        <v>863.31340996168592</v>
      </c>
      <c r="J253" s="227"/>
      <c r="K253" s="233"/>
      <c r="L253" s="281">
        <f>SUMIFS(BV_Data_An_Cour!$P:$P,BV_Data_An_Cour!$U:$U,$B253,BV_Data_An_Cour!$V:$V,$C253,BV_Data_An_Cour!$W:$W,$L$2)</f>
        <v>2427.36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1309.6300000000001</v>
      </c>
      <c r="R253" s="227"/>
      <c r="S253" s="512">
        <f>L253-Q253</f>
        <v>1117.73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29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1620.9067539616863</v>
      </c>
      <c r="G254" s="283"/>
      <c r="H254" s="233"/>
      <c r="I254" s="244">
        <f>+SUMPRODUCT(('Budget révisé'!$A$8:$A$496=$A254)*('Budget révisé'!$C$3:$AO$3=I$2),'Budget révisé'!$C$8:$AO$496)</f>
        <v>1620.9067539616863</v>
      </c>
      <c r="J254" s="227"/>
      <c r="K254" s="233"/>
      <c r="L254" s="281">
        <f>SUMIFS(BV_Data_An_Cour!$P:$P,BV_Data_An_Cour!$U:$U,$B254,BV_Data_An_Cour!$V:$V,$C254,BV_Data_An_Cour!$W:$W,$L$2)</f>
        <v>2137.8200000000002</v>
      </c>
      <c r="M254" s="227"/>
      <c r="N254" s="232">
        <f t="shared" ref="N254:N283" si="134">L254-I254</f>
        <v>516.9132460383139</v>
      </c>
      <c r="O254" s="227"/>
      <c r="P254" s="233"/>
      <c r="Q254" s="281">
        <f>SUMIFS(BV_Data_An_Prec!$P:$P,BV_Data_An_Prec!$U:$U,$B254,BV_Data_An_Prec!$V:$V,$C254,BV_Data_An_Prec!$W:$W,$L$2)</f>
        <v>3152.17</v>
      </c>
      <c r="R254" s="227"/>
      <c r="S254" s="284">
        <f>L254-Q254</f>
        <v>-1014.3499999999999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29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10049.559569262834</v>
      </c>
      <c r="G255" s="287"/>
      <c r="H255" s="286"/>
      <c r="I255" s="231">
        <f>+SUMPRODUCT(('Budget révisé'!$A$8:$A$496=$A255)*('Budget révisé'!$C$3:$AO$3=I$2),'Budget révisé'!$C$8:$AO$496)</f>
        <v>10049.559569262834</v>
      </c>
      <c r="J255" s="288"/>
      <c r="K255" s="286"/>
      <c r="L255" s="245">
        <f>SUMIFS(BV_Data_An_Cour!$P:$P,BV_Data_An_Cour!$U:$U,$B255,BV_Data_An_Cour!$V:$V,$C255,BV_Data_An_Cour!$W:$W,$L$2)</f>
        <v>11164.26</v>
      </c>
      <c r="M255" s="288"/>
      <c r="N255" s="289">
        <f t="shared" si="134"/>
        <v>1114.7004307371662</v>
      </c>
      <c r="O255" s="288"/>
      <c r="P255" s="286"/>
      <c r="Q255" s="245">
        <f>SUMIFS(BV_Data_An_Prec!$P:$P,BV_Data_An_Prec!$U:$U,$B255,BV_Data_An_Prec!$V:$V,$C255,BV_Data_An_Prec!$W:$W,$L$2)</f>
        <v>12848.16</v>
      </c>
      <c r="R255" s="288"/>
      <c r="S255" s="290">
        <f t="shared" ref="S255:S284" si="135">L255-Q255</f>
        <v>-1683.8999999999996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29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10503.473287356323</v>
      </c>
      <c r="G256" s="283"/>
      <c r="H256" s="233"/>
      <c r="I256" s="231">
        <f>+SUMPRODUCT(('Budget révisé'!$A$8:$A$496=$A256)*('Budget révisé'!$C$3:$AO$3=I$2),'Budget révisé'!$C$8:$AO$496)</f>
        <v>10503.473287356323</v>
      </c>
      <c r="J256" s="227"/>
      <c r="K256" s="233"/>
      <c r="L256" s="281">
        <f>SUMIFS(BV_Data_An_Cour!$P:$P,BV_Data_An_Cour!$U:$U,$B256,BV_Data_An_Cour!$V:$V,$C256,BV_Data_An_Cour!$W:$W,$L$2)</f>
        <v>7942.39</v>
      </c>
      <c r="M256" s="227"/>
      <c r="N256" s="232">
        <f t="shared" si="134"/>
        <v>-2561.0832873563222</v>
      </c>
      <c r="O256" s="227"/>
      <c r="P256" s="233"/>
      <c r="Q256" s="281">
        <f>SUMIFS(BV_Data_An_Prec!$P:$P,BV_Data_An_Prec!$U:$U,$B256,BV_Data_An_Prec!$V:$V,$C256,BV_Data_An_Prec!$W:$W,$L$2)</f>
        <v>15494.52</v>
      </c>
      <c r="R256" s="227"/>
      <c r="S256" s="284">
        <f t="shared" si="135"/>
        <v>-7552.13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29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4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5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29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4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5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29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4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5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29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2764.4703624651029</v>
      </c>
      <c r="G260" s="283"/>
      <c r="H260" s="233"/>
      <c r="I260" s="244">
        <f>+SUMPRODUCT(('Budget révisé'!$A$8:$A$496=$A260)*('Budget révisé'!$C$3:$AO$3=I$2),'Budget révisé'!$C$8:$AO$496)</f>
        <v>2764.4703624651029</v>
      </c>
      <c r="J260" s="227"/>
      <c r="K260" s="233"/>
      <c r="L260" s="281">
        <f>SUMIFS(BV_Data_An_Cour!$P:$P,BV_Data_An_Cour!$U:$U,$B260,BV_Data_An_Cour!$V:$V,$C260,BV_Data_An_Cour!$W:$W,$L$2)</f>
        <v>1927.26</v>
      </c>
      <c r="M260" s="227"/>
      <c r="N260" s="232">
        <f t="shared" si="134"/>
        <v>-837.21036246510289</v>
      </c>
      <c r="O260" s="227"/>
      <c r="P260" s="233"/>
      <c r="Q260" s="281">
        <f>SUMIFS(BV_Data_An_Prec!$P:$P,BV_Data_An_Prec!$U:$U,$B260,BV_Data_An_Prec!$V:$V,$C260,BV_Data_An_Prec!$W:$W,$L$2)</f>
        <v>3638.13</v>
      </c>
      <c r="R260" s="227"/>
      <c r="S260" s="284">
        <f t="shared" si="135"/>
        <v>-1710.8700000000001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29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2764.4703624651029</v>
      </c>
      <c r="G261" s="287"/>
      <c r="H261" s="286"/>
      <c r="I261" s="231">
        <f>+SUMPRODUCT(('Budget révisé'!$A$8:$A$496=$A261)*('Budget révisé'!$C$3:$AO$3=I$2),'Budget révisé'!$C$8:$AO$496)</f>
        <v>2764.4703624651029</v>
      </c>
      <c r="J261" s="288"/>
      <c r="K261" s="286"/>
      <c r="L261" s="245">
        <f>SUMIFS(BV_Data_An_Cour!$P:$P,BV_Data_An_Cour!$U:$U,$B261,BV_Data_An_Cour!$V:$V,$C261,BV_Data_An_Cour!$W:$W,$L$2)</f>
        <v>2912.1</v>
      </c>
      <c r="M261" s="288"/>
      <c r="N261" s="289">
        <f t="shared" si="134"/>
        <v>147.62963753489703</v>
      </c>
      <c r="O261" s="288"/>
      <c r="P261" s="286"/>
      <c r="Q261" s="245">
        <f>SUMIFS(BV_Data_An_Prec!$P:$P,BV_Data_An_Prec!$U:$U,$B261,BV_Data_An_Prec!$V:$V,$C261,BV_Data_An_Prec!$W:$W,$L$2)</f>
        <v>3619.72</v>
      </c>
      <c r="R261" s="288"/>
      <c r="S261" s="290">
        <f t="shared" si="135"/>
        <v>-707.61999999999989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29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1981.2037597666572</v>
      </c>
      <c r="G262" s="283"/>
      <c r="H262" s="233"/>
      <c r="I262" s="231">
        <f>+SUMPRODUCT(('Budget révisé'!$A$8:$A$496=$A262)*('Budget révisé'!$C$3:$AO$3=I$2),'Budget révisé'!$C$8:$AO$496)</f>
        <v>1981.2037597666572</v>
      </c>
      <c r="J262" s="227"/>
      <c r="K262" s="233"/>
      <c r="L262" s="281">
        <f>SUMIFS(BV_Data_An_Cour!$P:$P,BV_Data_An_Cour!$U:$U,$B262,BV_Data_An_Cour!$V:$V,$C262,BV_Data_An_Cour!$W:$W,$L$2)</f>
        <v>2087</v>
      </c>
      <c r="M262" s="227"/>
      <c r="N262" s="232">
        <f t="shared" si="134"/>
        <v>105.79624023334281</v>
      </c>
      <c r="O262" s="227"/>
      <c r="P262" s="233"/>
      <c r="Q262" s="281">
        <f>SUMIFS(BV_Data_An_Prec!$P:$P,BV_Data_An_Prec!$U:$U,$B262,BV_Data_An_Prec!$V:$V,$C262,BV_Data_An_Prec!$W:$W,$L$2)</f>
        <v>1596.99</v>
      </c>
      <c r="R262" s="227"/>
      <c r="S262" s="284">
        <f t="shared" si="135"/>
        <v>490.01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29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460.74506041085056</v>
      </c>
      <c r="G263" s="283"/>
      <c r="H263" s="233"/>
      <c r="I263" s="231">
        <f>+SUMPRODUCT(('Budget révisé'!$A$8:$A$496=$A263)*('Budget révisé'!$C$3:$AO$3=I$2),'Budget révisé'!$C$8:$AO$496)</f>
        <v>460.74506041085056</v>
      </c>
      <c r="J263" s="227"/>
      <c r="K263" s="233"/>
      <c r="L263" s="281">
        <f>SUMIFS(BV_Data_An_Cour!$P:$P,BV_Data_An_Cour!$U:$U,$B263,BV_Data_An_Cour!$V:$V,$C263,BV_Data_An_Cour!$W:$W,$L$2)</f>
        <v>485.35</v>
      </c>
      <c r="M263" s="227"/>
      <c r="N263" s="232">
        <f t="shared" si="134"/>
        <v>24.604939589149467</v>
      </c>
      <c r="O263" s="227"/>
      <c r="P263" s="233"/>
      <c r="Q263" s="281">
        <f>SUMIFS(BV_Data_An_Prec!$P:$P,BV_Data_An_Prec!$U:$U,$B263,BV_Data_An_Prec!$V:$V,$C263,BV_Data_An_Prec!$W:$W,$L$2)</f>
        <v>944</v>
      </c>
      <c r="R263" s="227"/>
      <c r="S263" s="284">
        <f t="shared" si="135"/>
        <v>-458.65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29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4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5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29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31008.142565650236</v>
      </c>
      <c r="G265" s="42" t="s">
        <v>111</v>
      </c>
      <c r="H265" s="40" t="e">
        <f>I265/I$243</f>
        <v>#DIV/0!</v>
      </c>
      <c r="I265" s="41">
        <f>+SUM(I253:I264)</f>
        <v>31008.142565650236</v>
      </c>
      <c r="J265" s="42" t="s">
        <v>111</v>
      </c>
      <c r="K265" s="40">
        <f>IF(L243=0,0,L265/L$243)</f>
        <v>0</v>
      </c>
      <c r="L265" s="41">
        <f>+SUM(L253:L264)</f>
        <v>31083.539999999997</v>
      </c>
      <c r="M265" s="43"/>
      <c r="N265" s="46">
        <f t="shared" si="134"/>
        <v>75.39743434976117</v>
      </c>
      <c r="O265" s="42" t="s">
        <v>111</v>
      </c>
      <c r="P265" s="40">
        <f>IF(Q243=0,0,Q265/Q$243)</f>
        <v>0</v>
      </c>
      <c r="Q265" s="41">
        <f>+SUM(Q253:Q264)</f>
        <v>42603.319999999992</v>
      </c>
      <c r="R265" s="43"/>
      <c r="S265" s="299">
        <f t="shared" si="135"/>
        <v>-11519.779999999995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29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100.24</v>
      </c>
      <c r="M266" s="303"/>
      <c r="N266" s="304">
        <f t="shared" si="134"/>
        <v>100.24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5"/>
        <v>100.24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29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2977.8692314988471</v>
      </c>
      <c r="G267" s="302"/>
      <c r="H267" s="178"/>
      <c r="I267" s="179">
        <f>+SUMPRODUCT(('Budget révisé'!$A$8:$A$496=$A267)*('Budget révisé'!$C$3:$AO$3=I$2),'Budget révisé'!$C$8:$AO$496)</f>
        <v>2977.8692314988471</v>
      </c>
      <c r="J267" s="303"/>
      <c r="K267" s="178"/>
      <c r="L267" s="180">
        <f>SUMIFS(BV_Data_An_Cour!$P:$P,BV_Data_An_Cour!$U:$U,$B267,BV_Data_An_Cour!$V:$V,$C267,BV_Data_An_Cour!$W:$W,$L$2)</f>
        <v>-151.66999999999999</v>
      </c>
      <c r="M267" s="303"/>
      <c r="N267" s="304">
        <f t="shared" si="134"/>
        <v>-3129.5392314988471</v>
      </c>
      <c r="O267" s="303"/>
      <c r="P267" s="178"/>
      <c r="Q267" s="180">
        <f>SUMIFS(BV_Data_An_Prec!$P:$P,BV_Data_An_Prec!$U:$U,$B267,BV_Data_An_Prec!$V:$V,$C267,BV_Data_An_Prec!$W:$W,$L$2)</f>
        <v>2543.69</v>
      </c>
      <c r="R267" s="303"/>
      <c r="S267" s="199">
        <f t="shared" si="135"/>
        <v>-2695.36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29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896.81999999999994</v>
      </c>
      <c r="G268" s="309"/>
      <c r="H268" s="308"/>
      <c r="I268" s="177">
        <f>+SUMPRODUCT(('Budget révisé'!$A$8:$A$496=$A268)*('Budget révisé'!$C$3:$AO$3=I$2),'Budget révisé'!$C$8:$AO$496)</f>
        <v>896.81999999999994</v>
      </c>
      <c r="J268" s="310"/>
      <c r="K268" s="308"/>
      <c r="L268" s="180">
        <f>SUMIFS(BV_Data_An_Cour!$P:$P,BV_Data_An_Cour!$U:$U,$B268,BV_Data_An_Cour!$V:$V,$C268,BV_Data_An_Cour!$W:$W,$L$2)</f>
        <v>2181.4499999999998</v>
      </c>
      <c r="M268" s="310"/>
      <c r="N268" s="311">
        <f t="shared" si="134"/>
        <v>1284.6299999999999</v>
      </c>
      <c r="O268" s="310"/>
      <c r="P268" s="308"/>
      <c r="Q268" s="180">
        <f>SUMIFS(BV_Data_An_Prec!$P:$P,BV_Data_An_Prec!$U:$U,$B268,BV_Data_An_Prec!$V:$V,$C268,BV_Data_An_Prec!$W:$W,$L$2)</f>
        <v>5253.97</v>
      </c>
      <c r="R268" s="310"/>
      <c r="S268" s="202">
        <f t="shared" si="135"/>
        <v>-3072.5200000000004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29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4309.8538000000008</v>
      </c>
      <c r="G269" s="302"/>
      <c r="H269" s="178"/>
      <c r="I269" s="179">
        <f>+SUMPRODUCT(('Budget révisé'!$A$8:$A$496=$A269)*('Budget révisé'!$C$3:$AO$3=I$2),'Budget révisé'!$C$8:$AO$496)</f>
        <v>4309.8538000000008</v>
      </c>
      <c r="J269" s="303"/>
      <c r="K269" s="178"/>
      <c r="L269" s="181">
        <f>SUMIFS(BV_Data_An_Cour!$P:$P,BV_Data_An_Cour!$U:$U,$B269,BV_Data_An_Cour!$V:$V,$C269,BV_Data_An_Cour!$W:$W,$L$2)</f>
        <v>4113.1000000000004</v>
      </c>
      <c r="M269" s="303"/>
      <c r="N269" s="304">
        <f t="shared" si="134"/>
        <v>-196.75380000000041</v>
      </c>
      <c r="O269" s="303"/>
      <c r="P269" s="178"/>
      <c r="Q269" s="181">
        <f>SUMIFS(BV_Data_An_Prec!$P:$P,BV_Data_An_Prec!$U:$U,$B269,BV_Data_An_Prec!$V:$V,$C269,BV_Data_An_Prec!$W:$W,$L$2)</f>
        <v>3977.52</v>
      </c>
      <c r="R269" s="303"/>
      <c r="S269" s="199">
        <f t="shared" si="135"/>
        <v>135.58000000000038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29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1047.7010250000001</v>
      </c>
      <c r="G270" s="302"/>
      <c r="H270" s="178"/>
      <c r="I270" s="179">
        <f>+SUMPRODUCT(('Budget révisé'!$A$8:$A$496=$A270)*('Budget révisé'!$C$3:$AO$3=I$2),'Budget révisé'!$C$8:$AO$496)</f>
        <v>1047.7010250000001</v>
      </c>
      <c r="J270" s="303"/>
      <c r="K270" s="178"/>
      <c r="L270" s="180">
        <f>SUMIFS(BV_Data_An_Cour!$P:$P,BV_Data_An_Cour!$U:$U,$B270,BV_Data_An_Cour!$V:$V,$C270,BV_Data_An_Cour!$W:$W,$L$2)</f>
        <v>157.97999999999999</v>
      </c>
      <c r="M270" s="303"/>
      <c r="N270" s="304">
        <f t="shared" si="134"/>
        <v>-889.72102500000005</v>
      </c>
      <c r="O270" s="303"/>
      <c r="P270" s="178"/>
      <c r="Q270" s="180">
        <f>SUMIFS(BV_Data_An_Prec!$P:$P,BV_Data_An_Prec!$U:$U,$B270,BV_Data_An_Prec!$V:$V,$C270,BV_Data_An_Prec!$W:$W,$L$2)</f>
        <v>1276.17</v>
      </c>
      <c r="R270" s="303"/>
      <c r="S270" s="199">
        <f t="shared" si="135"/>
        <v>-1118.19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29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3074.3308750000001</v>
      </c>
      <c r="G271" s="309"/>
      <c r="H271" s="308"/>
      <c r="I271" s="177">
        <f>+SUMPRODUCT(('Budget révisé'!$A$8:$A$496=$A271)*('Budget révisé'!$C$3:$AO$3=I$2),'Budget révisé'!$C$8:$AO$496)</f>
        <v>3074.3308750000001</v>
      </c>
      <c r="J271" s="310"/>
      <c r="K271" s="308"/>
      <c r="L271" s="180">
        <f>SUMIFS(BV_Data_An_Cour!$P:$P,BV_Data_An_Cour!$U:$U,$B271,BV_Data_An_Cour!$V:$V,$C271,BV_Data_An_Cour!$W:$W,$L$2)</f>
        <v>1049.57</v>
      </c>
      <c r="M271" s="310"/>
      <c r="N271" s="311">
        <f t="shared" si="134"/>
        <v>-2024.7608750000002</v>
      </c>
      <c r="O271" s="310"/>
      <c r="P271" s="308"/>
      <c r="Q271" s="177">
        <f>SUMIFS(BV_Data_An_Prec!$P:$P,BV_Data_An_Prec!$U:$U,$B271,BV_Data_An_Prec!$V:$V,$C271,BV_Data_An_Prec!$W:$W,$L$2)</f>
        <v>3461.45</v>
      </c>
      <c r="R271" s="310"/>
      <c r="S271" s="202">
        <f t="shared" si="135"/>
        <v>-2411.88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7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29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0</v>
      </c>
      <c r="M273" s="303"/>
      <c r="N273" s="304">
        <f t="shared" si="134"/>
        <v>0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29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4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29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457.80000000000007</v>
      </c>
      <c r="G275" s="302"/>
      <c r="H275" s="178"/>
      <c r="I275" s="179">
        <f>+SUMPRODUCT(('Budget révisé'!$A$8:$A$496=$A275)*('Budget révisé'!$C$3:$AO$3=I$2),'Budget révisé'!$C$8:$AO$496)</f>
        <v>457.80000000000007</v>
      </c>
      <c r="J275" s="303"/>
      <c r="K275" s="178"/>
      <c r="L275" s="985">
        <f>SUMIFS(BV_Data_An_Cour!$P:$P,BV_Data_An_Cour!$U:$U,$B275,BV_Data_An_Cour!$V:$V,$C275,BV_Data_An_Cour!$W:$W,$L$2)</f>
        <v>250.07</v>
      </c>
      <c r="M275" s="303"/>
      <c r="N275" s="304">
        <f t="shared" si="134"/>
        <v>-207.73000000000008</v>
      </c>
      <c r="O275" s="303"/>
      <c r="P275" s="178"/>
      <c r="Q275" s="554">
        <f>SUMIFS(BV_Data_An_Prec!$P:$P,BV_Data_An_Prec!$U:$U,$B275,BV_Data_An_Prec!$V:$V,$C275,BV_Data_An_Prec!$W:$W,$L$2)</f>
        <v>388.5</v>
      </c>
      <c r="R275" s="303"/>
      <c r="S275" s="199">
        <f t="shared" si="135"/>
        <v>-138.43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29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532.91100000000006</v>
      </c>
      <c r="G276" s="302"/>
      <c r="H276" s="178"/>
      <c r="I276" s="179">
        <f>+SUMPRODUCT(('Budget révisé'!$A$8:$A$496=$A276)*('Budget révisé'!$C$3:$AO$3=I$2),'Budget révisé'!$C$8:$AO$496)</f>
        <v>532.91100000000006</v>
      </c>
      <c r="J276" s="303"/>
      <c r="K276" s="178"/>
      <c r="L276" s="281">
        <f>SUMIFS(BV_Data_An_Cour!$P:$P,BV_Data_An_Cour!$U:$U,$B276,BV_Data_An_Cour!$V:$V,$C276,BV_Data_An_Cour!$W:$W,$L$2)</f>
        <v>367.06</v>
      </c>
      <c r="M276" s="303"/>
      <c r="N276" s="304">
        <f t="shared" si="134"/>
        <v>-165.85100000000006</v>
      </c>
      <c r="O276" s="303"/>
      <c r="P276" s="178"/>
      <c r="Q276" s="180">
        <f>SUMIFS(BV_Data_An_Prec!$P:$P,BV_Data_An_Prec!$U:$U,$B276,BV_Data_An_Prec!$V:$V,$C276,BV_Data_An_Prec!$W:$W,$L$2)</f>
        <v>343.7</v>
      </c>
      <c r="R276" s="303"/>
      <c r="S276" s="199">
        <f t="shared" si="135"/>
        <v>23.360000000000014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29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181.65</v>
      </c>
      <c r="G277" s="302"/>
      <c r="H277" s="178"/>
      <c r="I277" s="179">
        <f>+SUMPRODUCT(('Budget révisé'!$A$8:$A$496=$A277)*('Budget révisé'!$C$3:$AO$3=I$2),'Budget révisé'!$C$8:$AO$496)</f>
        <v>181.65</v>
      </c>
      <c r="J277" s="303"/>
      <c r="K277" s="178"/>
      <c r="L277" s="281">
        <f>SUMIFS(BV_Data_An_Cour!$P:$P,BV_Data_An_Cour!$U:$U,$B277,BV_Data_An_Cour!$V:$V,$C277,BV_Data_An_Cour!$W:$W,$L$2)</f>
        <v>61.35</v>
      </c>
      <c r="M277" s="303"/>
      <c r="N277" s="304">
        <f t="shared" si="134"/>
        <v>-120.30000000000001</v>
      </c>
      <c r="O277" s="303"/>
      <c r="P277" s="178"/>
      <c r="Q277" s="180">
        <f>SUMIFS(BV_Data_An_Prec!$P:$P,BV_Data_An_Prec!$U:$U,$B277,BV_Data_An_Prec!$V:$V,$C277,BV_Data_An_Prec!$W:$W,$L$2)</f>
        <v>79.14</v>
      </c>
      <c r="R277" s="303"/>
      <c r="S277" s="199">
        <f t="shared" si="135"/>
        <v>-17.79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29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754.11000000000013</v>
      </c>
      <c r="G278" s="302"/>
      <c r="H278" s="178"/>
      <c r="I278" s="179">
        <f>+SUMPRODUCT(('Budget révisé'!$A$8:$A$496=$A278)*('Budget révisé'!$C$3:$AO$3=I$2),'Budget révisé'!$C$8:$AO$496)</f>
        <v>754.11000000000013</v>
      </c>
      <c r="J278" s="303"/>
      <c r="K278" s="178"/>
      <c r="L278" s="281">
        <f>SUMIFS(BV_Data_An_Cour!$P:$P,BV_Data_An_Cour!$U:$U,$B278,BV_Data_An_Cour!$V:$V,$C278,BV_Data_An_Cour!$W:$W,$L$2)</f>
        <v>556.41</v>
      </c>
      <c r="M278" s="303"/>
      <c r="N278" s="304">
        <f t="shared" si="134"/>
        <v>-197.70000000000016</v>
      </c>
      <c r="O278" s="303"/>
      <c r="P278" s="178"/>
      <c r="Q278" s="180">
        <f>SUMIFS(BV_Data_An_Prec!$P:$P,BV_Data_An_Prec!$U:$U,$B278,BV_Data_An_Prec!$V:$V,$C278,BV_Data_An_Prec!$W:$W,$L$2)</f>
        <v>1115.1500000000001</v>
      </c>
      <c r="R278" s="303"/>
      <c r="S278" s="199">
        <f t="shared" si="135"/>
        <v>-558.74000000000012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29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123.60250000000002</v>
      </c>
      <c r="G279" s="302"/>
      <c r="H279" s="178"/>
      <c r="I279" s="179">
        <f>+SUMPRODUCT(('Budget révisé'!$A$8:$A$496=$A279)*('Budget révisé'!$C$3:$AO$3=I$2),'Budget révisé'!$C$8:$AO$496)</f>
        <v>123.60250000000002</v>
      </c>
      <c r="J279" s="303"/>
      <c r="K279" s="178"/>
      <c r="L279" s="281">
        <f>SUMIFS(BV_Data_An_Cour!$P:$P,BV_Data_An_Cour!$U:$U,$B279,BV_Data_An_Cour!$V:$V,$C279,BV_Data_An_Cour!$W:$W,$L$2)</f>
        <v>18.600000000000001</v>
      </c>
      <c r="M279" s="303"/>
      <c r="N279" s="304">
        <f t="shared" si="134"/>
        <v>-105.00250000000003</v>
      </c>
      <c r="O279" s="303"/>
      <c r="P279" s="178"/>
      <c r="Q279" s="180">
        <f>SUMIFS(BV_Data_An_Prec!$P:$P,BV_Data_An_Prec!$U:$U,$B279,BV_Data_An_Prec!$V:$V,$C279,BV_Data_An_Prec!$W:$W,$L$2)</f>
        <v>105</v>
      </c>
      <c r="R279" s="303"/>
      <c r="S279" s="199">
        <f t="shared" si="135"/>
        <v>-86.4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29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1306.3171130297478</v>
      </c>
      <c r="G280" s="302"/>
      <c r="H280" s="178"/>
      <c r="I280" s="179">
        <f>+SUMPRODUCT(('Budget révisé'!$A$8:$A$496=$A280)*('Budget révisé'!$C$3:$AO$3=I$2),'Budget révisé'!$C$8:$AO$496)</f>
        <v>1306.3171130297478</v>
      </c>
      <c r="J280" s="303"/>
      <c r="K280" s="178"/>
      <c r="L280" s="281">
        <f>SUMIFS(BV_Data_An_Cour!$O:$O,BV_Data_An_Cour!$U:$U,$B280,BV_Data_An_Cour!$V:$V,$C280,BV_Data_An_Cour!$W:$W,$L$2)</f>
        <v>0</v>
      </c>
      <c r="M280" s="303"/>
      <c r="N280" s="304">
        <f t="shared" si="134"/>
        <v>-1306.3171130297478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35"/>
        <v>0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29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4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3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0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29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4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15662.965544528597</v>
      </c>
      <c r="G284" s="42" t="s">
        <v>111</v>
      </c>
      <c r="H284" s="40" t="e">
        <f>I284/I$243</f>
        <v>#DIV/0!</v>
      </c>
      <c r="I284" s="41">
        <f>+SUM(I266:I283)</f>
        <v>15662.965544528597</v>
      </c>
      <c r="J284" s="42" t="s">
        <v>111</v>
      </c>
      <c r="K284" s="40" t="e">
        <f>IF(L261=0,0,L284/L$243)</f>
        <v>#DIV/0!</v>
      </c>
      <c r="L284" s="41">
        <f>+SUM(L266:L283)</f>
        <v>8704.1600000000017</v>
      </c>
      <c r="M284" s="44"/>
      <c r="N284" s="41">
        <f>+SUM(N266:N283)</f>
        <v>-6958.8055445285954</v>
      </c>
      <c r="O284" s="42" t="s">
        <v>111</v>
      </c>
      <c r="P284" s="40" t="e">
        <f>IF(Q261=0,0,Q284/Q$243)</f>
        <v>#DIV/0!</v>
      </c>
      <c r="Q284" s="41">
        <f>+SUM(Q266:Q283)</f>
        <v>18544.29</v>
      </c>
      <c r="R284" s="44"/>
      <c r="S284" s="316">
        <f t="shared" si="135"/>
        <v>-9840.1299999999992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46671.10811017883</v>
      </c>
      <c r="G286" s="42" t="s">
        <v>111</v>
      </c>
      <c r="H286" s="40" t="e">
        <f>I286/I$243</f>
        <v>#DIV/0!</v>
      </c>
      <c r="I286" s="41">
        <f>I265+I284</f>
        <v>46671.10811017883</v>
      </c>
      <c r="J286" s="42" t="s">
        <v>111</v>
      </c>
      <c r="K286" s="40" t="e">
        <f>IF(L263=0,0,L286/L$243)</f>
        <v>#DIV/0!</v>
      </c>
      <c r="L286" s="41">
        <f>L265+L284</f>
        <v>39787.699999999997</v>
      </c>
      <c r="M286" s="44"/>
      <c r="N286" s="46">
        <f t="shared" ref="N286:N288" si="142">L286-I286</f>
        <v>-6883.4081101788324</v>
      </c>
      <c r="O286" s="42" t="s">
        <v>111</v>
      </c>
      <c r="P286" s="40" t="e">
        <f>IF(Q263=0,0,Q286/Q$243)</f>
        <v>#DIV/0!</v>
      </c>
      <c r="Q286" s="41">
        <f>Q265+Q284</f>
        <v>61147.609999999993</v>
      </c>
      <c r="R286" s="44"/>
      <c r="S286" s="299">
        <f>L286-Q286</f>
        <v>-21359.909999999996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2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6668.6761480593268</v>
      </c>
      <c r="G288" s="344"/>
      <c r="H288" s="342"/>
      <c r="I288" s="343">
        <f>I249-I286</f>
        <v>6668.6761480593268</v>
      </c>
      <c r="J288" s="345"/>
      <c r="K288" s="346"/>
      <c r="L288" s="343">
        <f>L249-L286</f>
        <v>17954.189999999995</v>
      </c>
      <c r="M288" s="345"/>
      <c r="N288" s="343">
        <f t="shared" si="142"/>
        <v>11285.513851940668</v>
      </c>
      <c r="O288" s="345"/>
      <c r="P288" s="346"/>
      <c r="Q288" s="343">
        <f>Q249-Q286</f>
        <v>9137.5999999999985</v>
      </c>
      <c r="R288" s="345"/>
      <c r="S288" s="347">
        <f>L288-Q288</f>
        <v>8816.5899999999965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4" t="s">
        <v>77</v>
      </c>
      <c r="E292" s="1135"/>
      <c r="F292" s="1136"/>
      <c r="G292" s="1137" t="s">
        <v>145</v>
      </c>
      <c r="H292" s="1135"/>
      <c r="I292" s="1136"/>
      <c r="J292" s="1137" t="s">
        <v>79</v>
      </c>
      <c r="K292" s="1135"/>
      <c r="L292" s="1136"/>
      <c r="M292" s="1137" t="s">
        <v>80</v>
      </c>
      <c r="N292" s="1136"/>
      <c r="O292" s="1134" t="s">
        <v>81</v>
      </c>
      <c r="P292" s="1135"/>
      <c r="Q292" s="1136"/>
      <c r="R292" s="1137" t="s">
        <v>82</v>
      </c>
      <c r="S292" s="1138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3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3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174829.81306420552</v>
      </c>
      <c r="E294" s="210">
        <f>IF(D294=0,0,F294/D294)</f>
        <v>0.35812717564768926</v>
      </c>
      <c r="F294" s="199">
        <f>+SUMPRODUCT(('Budget original'!$A$8:$A$496=$A294)*('Budget original'!$C$3:$AO$3=F$2),'Budget original'!$C$8:$AO$496)</f>
        <v>62611.307171697408</v>
      </c>
      <c r="G294" s="197">
        <f>+SUMPRODUCT(('Budget révisé'!$A$8:$A$496=$A294)*('Budget révisé'!$C$3:$AO$3=G$2),'Budget révisé'!$C$8:$AO$496)</f>
        <v>174829.81306420552</v>
      </c>
      <c r="H294" s="210">
        <f>IF(G294=0,0,I294/G294)</f>
        <v>0.35812717564768926</v>
      </c>
      <c r="I294" s="199">
        <f>+SUMPRODUCT(('Budget révisé'!$A$8:$A$496=$A294)*('Budget révisé'!$C$3:$AO$3=I$2),'Budget révisé'!$C$8:$AO$496)</f>
        <v>62611.307171697408</v>
      </c>
      <c r="J294" s="179">
        <f>-SUMIFS(BV_Data_An_Cour!$P:$P,BV_Data_An_Cour!$X:$X,"Oui",BV_Data_An_Cour!$U:$U,$B294,BV_Data_An_Cour!$V:$V,$C294)</f>
        <v>147377.28</v>
      </c>
      <c r="K294" s="210">
        <f t="shared" ref="K294:K303" si="144">IF(J294&lt;=0,0,L294/J294)</f>
        <v>0.34687544783022184</v>
      </c>
      <c r="L294" s="180">
        <f>-SUMIFS(BV_Data_An_Cour!$P:$P,BV_Data_An_Cour!$U:$U,$B294,BV_Data_An_Cour!$V:$V,$C294,BV_Data_An_Cour!$W:$W,$L$2)</f>
        <v>51121.56</v>
      </c>
      <c r="M294" s="324">
        <f t="shared" ref="M294:M299" si="145">(+J294-G294)/G294</f>
        <v>-0.15702432315776538</v>
      </c>
      <c r="N294" s="304">
        <f t="shared" ref="N294:N303" si="146">L294-I294</f>
        <v>-11489.747171697411</v>
      </c>
      <c r="O294" s="179">
        <f>-SUMIFS(BV_Data_An_Prec!$P:$P,BV_Data_An_Prec!$X:$X,"Oui",BV_Data_An_Prec!$U:$U,$B294,BV_Data_An_Prec!$V:$V,$C294)</f>
        <v>172888.99999999997</v>
      </c>
      <c r="P294" s="210">
        <f t="shared" ref="P294:P303" si="147">IF(O294&lt;=0,0,Q294/O294)</f>
        <v>0.31575444360254257</v>
      </c>
      <c r="Q294" s="180">
        <f>-SUMIFS(BV_Data_An_Prec!$P:$P,BV_Data_An_Prec!$U:$U,$B294,BV_Data_An_Prec!$V:$V,$C294,BV_Data_An_Prec!$W:$W,$L$2)</f>
        <v>54590.469999999972</v>
      </c>
      <c r="R294" s="324">
        <f>IF(O294=0,0,(J294-O294)/O294)</f>
        <v>-0.14756126763414662</v>
      </c>
      <c r="S294" s="199">
        <f t="shared" ref="S294:S303" si="148">L294-Q294</f>
        <v>-3468.9099999999744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3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145547.86278359557</v>
      </c>
      <c r="E295" s="210">
        <f t="shared" ref="E295:E302" si="149">IF(D295=0,0,F295/D295)</f>
        <v>0.27367264200070923</v>
      </c>
      <c r="F295" s="199">
        <f>+SUMPRODUCT(('Budget original'!$A$8:$A$496=$A295)*('Budget original'!$C$3:$AO$3=F$2),'Budget original'!$C$8:$AO$496)</f>
        <v>39832.468145543302</v>
      </c>
      <c r="G295" s="197">
        <f>+SUMPRODUCT(('Budget révisé'!$A$8:$A$496=$A295)*('Budget révisé'!$C$3:$AO$3=G$2),'Budget révisé'!$C$8:$AO$496)</f>
        <v>145547.86278359557</v>
      </c>
      <c r="H295" s="210">
        <f t="shared" ref="H295:H302" si="150">IF(G295=0,0,I295/G295)</f>
        <v>0.27367264200070923</v>
      </c>
      <c r="I295" s="199">
        <f>+SUMPRODUCT(('Budget révisé'!$A$8:$A$496=$A295)*('Budget révisé'!$C$3:$AO$3=I$2),'Budget révisé'!$C$8:$AO$496)</f>
        <v>39832.468145543302</v>
      </c>
      <c r="J295" s="179">
        <f>-SUMIFS(BV_Data_An_Cour!$P:$P,BV_Data_An_Cour!$X:$X,"Oui",BV_Data_An_Cour!$U:$U,$B295,BV_Data_An_Cour!$V:$V,$C295)</f>
        <v>135349.69</v>
      </c>
      <c r="K295" s="210">
        <f t="shared" si="144"/>
        <v>0.24618667394066443</v>
      </c>
      <c r="L295" s="180">
        <f>-SUMIFS(BV_Data_An_Cour!$P:$P,BV_Data_An_Cour!$U:$U,$B295,BV_Data_An_Cour!$V:$V,$C295,BV_Data_An_Cour!$W:$W,$L$2)</f>
        <v>33321.290000000008</v>
      </c>
      <c r="M295" s="324">
        <f t="shared" si="145"/>
        <v>-7.0067485626762391E-2</v>
      </c>
      <c r="N295" s="304">
        <f t="shared" si="146"/>
        <v>-6511.1781455432938</v>
      </c>
      <c r="O295" s="179">
        <f>-SUMIFS(BV_Data_An_Prec!$P:$P,BV_Data_An_Prec!$X:$X,"Oui",BV_Data_An_Prec!$U:$U,$B295,BV_Data_An_Prec!$V:$V,$C295)</f>
        <v>204898.75</v>
      </c>
      <c r="P295" s="210">
        <f t="shared" si="147"/>
        <v>0.25435255217515962</v>
      </c>
      <c r="Q295" s="180">
        <f>-SUMIFS(BV_Data_An_Prec!$P:$P,BV_Data_An_Prec!$U:$U,$B295,BV_Data_An_Prec!$V:$V,$C295,BV_Data_An_Prec!$W:$W,$L$2)</f>
        <v>52116.51999999999</v>
      </c>
      <c r="R295" s="324">
        <f t="shared" ref="R295:R302" si="151">IF(O295=0,0,(J295-O295)/O295)</f>
        <v>-0.33943135329034463</v>
      </c>
      <c r="S295" s="199">
        <f t="shared" si="148"/>
        <v>-18795.229999999981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3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232274.16376180883</v>
      </c>
      <c r="E296" s="210">
        <f t="shared" si="149"/>
        <v>0.23983607715678654</v>
      </c>
      <c r="F296" s="199">
        <f>+SUMPRODUCT(('Budget original'!$A$8:$A$496=$A296)*('Budget original'!$C$3:$AO$3=F$2),'Budget original'!$C$8:$AO$496)</f>
        <v>55707.724261505253</v>
      </c>
      <c r="G296" s="197">
        <f>+SUMPRODUCT(('Budget révisé'!$A$8:$A$496=$A296)*('Budget révisé'!$C$3:$AO$3=G$2),'Budget révisé'!$C$8:$AO$496)</f>
        <v>232274.16376180883</v>
      </c>
      <c r="H296" s="210">
        <f t="shared" si="150"/>
        <v>0.23983607715678654</v>
      </c>
      <c r="I296" s="199">
        <f>+SUMPRODUCT(('Budget révisé'!$A$8:$A$496=$A296)*('Budget révisé'!$C$3:$AO$3=I$2),'Budget révisé'!$C$8:$AO$496)</f>
        <v>55707.724261505253</v>
      </c>
      <c r="J296" s="179">
        <f>-SUMIFS(BV_Data_An_Cour!$P:$P,BV_Data_An_Cour!$X:$X,"Oui",BV_Data_An_Cour!$U:$U,$B296,BV_Data_An_Cour!$V:$V,$C296)</f>
        <v>222788.75</v>
      </c>
      <c r="K296" s="210">
        <f t="shared" si="144"/>
        <v>0.24138189203898316</v>
      </c>
      <c r="L296" s="180">
        <f>-SUMIFS(BV_Data_An_Cour!$P:$P,BV_Data_An_Cour!$U:$U,$B296,BV_Data_An_Cour!$V:$V,$C296,BV_Data_An_Cour!$W:$W,$L$2)</f>
        <v>53777.170000000013</v>
      </c>
      <c r="M296" s="324">
        <f t="shared" si="145"/>
        <v>-4.0837145243307713E-2</v>
      </c>
      <c r="N296" s="304">
        <f t="shared" si="146"/>
        <v>-1930.55426150524</v>
      </c>
      <c r="O296" s="179">
        <f>-SUMIFS(BV_Data_An_Prec!$P:$P,BV_Data_An_Prec!$X:$X,"Oui",BV_Data_An_Prec!$U:$U,$B296,BV_Data_An_Prec!$V:$V,$C296)</f>
        <v>249211.62</v>
      </c>
      <c r="P296" s="210">
        <f t="shared" si="147"/>
        <v>0.24029754310814241</v>
      </c>
      <c r="Q296" s="180">
        <f>-SUMIFS(BV_Data_An_Prec!$P:$P,BV_Data_An_Prec!$U:$U,$B296,BV_Data_An_Prec!$V:$V,$C296,BV_Data_An_Prec!$W:$W,$L$2)</f>
        <v>59884.94</v>
      </c>
      <c r="R296" s="324">
        <f t="shared" si="151"/>
        <v>-0.10602583458989591</v>
      </c>
      <c r="S296" s="199">
        <f t="shared" si="148"/>
        <v>-6107.7699999999895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3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119818.87838639412</v>
      </c>
      <c r="E297" s="210">
        <f t="shared" si="149"/>
        <v>0.32994466198333777</v>
      </c>
      <c r="F297" s="199">
        <f>+SUMPRODUCT(('Budget original'!$A$8:$A$496=$A297)*('Budget original'!$C$3:$AO$3=F$2),'Budget original'!$C$8:$AO$496)</f>
        <v>39533.599328421464</v>
      </c>
      <c r="G297" s="197">
        <f>+SUMPRODUCT(('Budget révisé'!$A$8:$A$496=$A297)*('Budget révisé'!$C$3:$AO$3=G$2),'Budget révisé'!$C$8:$AO$496)</f>
        <v>119818.87838639412</v>
      </c>
      <c r="H297" s="210">
        <f t="shared" si="150"/>
        <v>0.32994466198333777</v>
      </c>
      <c r="I297" s="199">
        <f>+SUMPRODUCT(('Budget révisé'!$A$8:$A$496=$A297)*('Budget révisé'!$C$3:$AO$3=I$2),'Budget révisé'!$C$8:$AO$496)</f>
        <v>39533.599328421464</v>
      </c>
      <c r="J297" s="179">
        <f>-SUMIFS(BV_Data_An_Cour!$P:$P,BV_Data_An_Cour!$X:$X,"Oui",BV_Data_An_Cour!$U:$U,$B297,BV_Data_An_Cour!$V:$V,$C297)</f>
        <v>103756.47</v>
      </c>
      <c r="K297" s="210">
        <f t="shared" si="144"/>
        <v>0.34026880444178564</v>
      </c>
      <c r="L297" s="180">
        <f>-SUMIFS(BV_Data_An_Cour!$P:$P,BV_Data_An_Cour!$U:$U,$B297,BV_Data_An_Cour!$V:$V,$C297,BV_Data_An_Cour!$W:$W,$L$2)</f>
        <v>35305.089999999997</v>
      </c>
      <c r="M297" s="324">
        <f t="shared" si="145"/>
        <v>-0.13405573981919419</v>
      </c>
      <c r="N297" s="304">
        <f t="shared" si="146"/>
        <v>-4228.5093284214672</v>
      </c>
      <c r="O297" s="179">
        <f>-SUMIFS(BV_Data_An_Prec!$P:$P,BV_Data_An_Prec!$X:$X,"Oui",BV_Data_An_Prec!$U:$U,$B297,BV_Data_An_Prec!$V:$V,$C297)</f>
        <v>105844.31</v>
      </c>
      <c r="P297" s="210">
        <f t="shared" si="147"/>
        <v>0.32364422801754761</v>
      </c>
      <c r="Q297" s="180">
        <f>-SUMIFS(BV_Data_An_Prec!$P:$P,BV_Data_An_Prec!$U:$U,$B297,BV_Data_An_Prec!$V:$V,$C297,BV_Data_An_Prec!$W:$W,$L$2)</f>
        <v>34255.899999999994</v>
      </c>
      <c r="R297" s="324">
        <f t="shared" si="151"/>
        <v>-1.9725576178823374E-2</v>
      </c>
      <c r="S297" s="199">
        <f t="shared" si="148"/>
        <v>1049.1900000000023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3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29973.32759299926</v>
      </c>
      <c r="E298" s="210">
        <f t="shared" si="149"/>
        <v>0.29678579936093846</v>
      </c>
      <c r="F298" s="199">
        <f>+SUMPRODUCT(('Budget original'!$A$8:$A$496=$A298)*('Budget original'!$C$3:$AO$3=F$2),'Budget original'!$C$8:$AO$496)</f>
        <v>8895.6579891955589</v>
      </c>
      <c r="G298" s="197">
        <f>+SUMPRODUCT(('Budget révisé'!$A$8:$A$496=$A298)*('Budget révisé'!$C$3:$AO$3=G$2),'Budget révisé'!$C$8:$AO$496)</f>
        <v>29973.32759299926</v>
      </c>
      <c r="H298" s="210">
        <f t="shared" si="150"/>
        <v>0.29678579936093846</v>
      </c>
      <c r="I298" s="199">
        <f>+SUMPRODUCT(('Budget révisé'!$A$8:$A$496=$A298)*('Budget révisé'!$C$3:$AO$3=I$2),'Budget révisé'!$C$8:$AO$496)</f>
        <v>8895.6579891955589</v>
      </c>
      <c r="J298" s="179">
        <f>-SUMIFS(BV_Data_An_Cour!$P:$P,BV_Data_An_Cour!$X:$X,"Oui",BV_Data_An_Cour!$U:$U,$B298,BV_Data_An_Cour!$V:$V,$C298)</f>
        <v>33771.980000000003</v>
      </c>
      <c r="K298" s="210">
        <f t="shared" si="144"/>
        <v>0.3093789585330799</v>
      </c>
      <c r="L298" s="180">
        <f>-SUMIFS(BV_Data_An_Cour!$P:$P,BV_Data_An_Cour!$U:$U,$B298,BV_Data_An_Cour!$V:$V,$C298,BV_Data_An_Cour!$W:$W,$L$2)</f>
        <v>10448.340000000004</v>
      </c>
      <c r="M298" s="324">
        <f t="shared" si="145"/>
        <v>0.12673442397126364</v>
      </c>
      <c r="N298" s="304">
        <f t="shared" si="146"/>
        <v>1552.6820108044449</v>
      </c>
      <c r="O298" s="179">
        <f>-SUMIFS(BV_Data_An_Prec!$P:$P,BV_Data_An_Prec!$X:$X,"Oui",BV_Data_An_Prec!$U:$U,$B298,BV_Data_An_Prec!$V:$V,$C298)</f>
        <v>29203.23</v>
      </c>
      <c r="P298" s="210">
        <f t="shared" si="147"/>
        <v>0.29785677817145573</v>
      </c>
      <c r="Q298" s="180">
        <f>-SUMIFS(BV_Data_An_Prec!$P:$P,BV_Data_An_Prec!$U:$U,$B298,BV_Data_An_Prec!$V:$V,$C298,BV_Data_An_Prec!$W:$W,$L$2)</f>
        <v>8698.380000000001</v>
      </c>
      <c r="R298" s="324">
        <f t="shared" si="151"/>
        <v>0.1564467355152154</v>
      </c>
      <c r="S298" s="199">
        <f t="shared" si="148"/>
        <v>1749.9600000000028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2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173193.67626405458</v>
      </c>
      <c r="E299" s="210">
        <f t="shared" si="149"/>
        <v>0.19081606757663097</v>
      </c>
      <c r="F299" s="199">
        <f>+SUMPRODUCT(('Budget original'!$A$8:$A$496=$A299)*('Budget original'!$C$3:$AO$3=F$2),'Budget original'!$C$8:$AO$496)</f>
        <v>33048.136233846984</v>
      </c>
      <c r="G299" s="197">
        <f>+SUMPRODUCT(('Budget révisé'!$A$8:$A$496=$A299)*('Budget révisé'!$C$3:$AO$3=G$2),'Budget révisé'!$C$8:$AO$496)</f>
        <v>173193.67626405458</v>
      </c>
      <c r="H299" s="210">
        <f t="shared" si="150"/>
        <v>0.19081606757663097</v>
      </c>
      <c r="I299" s="199">
        <f>+SUMPRODUCT(('Budget révisé'!$A$8:$A$496=$A299)*('Budget révisé'!$C$3:$AO$3=I$2),'Budget révisé'!$C$8:$AO$496)</f>
        <v>33048.136233846984</v>
      </c>
      <c r="J299" s="179">
        <f>-SUMIFS(BV_Data_An_Cour!$P:$P,BV_Data_An_Cour!$X:$X,"Oui",BV_Data_An_Cour!$U:$U,$B299,BV_Data_An_Cour!$V:$V,$C299)</f>
        <v>127021.01</v>
      </c>
      <c r="K299" s="210">
        <f t="shared" si="144"/>
        <v>0.17678894223876815</v>
      </c>
      <c r="L299" s="180">
        <f>-SUMIFS(BV_Data_An_Cour!$P:$P,BV_Data_An_Cour!$U:$U,$B299,BV_Data_An_Cour!$V:$V,$C299,BV_Data_An_Cour!$W:$W,$L$2)</f>
        <v>22455.909999999989</v>
      </c>
      <c r="M299" s="324">
        <f t="shared" si="145"/>
        <v>-0.266595566651399</v>
      </c>
      <c r="N299" s="304">
        <f t="shared" si="146"/>
        <v>-10592.226233846995</v>
      </c>
      <c r="O299" s="179">
        <f>-SUMIFS(BV_Data_An_Prec!$P:$P,BV_Data_An_Prec!$X:$X,"Oui",BV_Data_An_Prec!$U:$U,$B299,BV_Data_An_Prec!$V:$V,$C299)</f>
        <v>142068.96</v>
      </c>
      <c r="P299" s="210">
        <f t="shared" si="147"/>
        <v>0.19015427437492322</v>
      </c>
      <c r="Q299" s="180">
        <f>-SUMIFS(BV_Data_An_Prec!$P:$P,BV_Data_An_Prec!$U:$U,$B299,BV_Data_An_Prec!$V:$V,$C299,BV_Data_An_Prec!$W:$W,$L$2)</f>
        <v>27015.01999999999</v>
      </c>
      <c r="R299" s="324">
        <f t="shared" si="151"/>
        <v>-0.1059200405211666</v>
      </c>
      <c r="S299" s="199">
        <f t="shared" si="148"/>
        <v>-4559.1100000000006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2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3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4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5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6">(+J300-G300)/G300</f>
        <v>#DIV/0!</v>
      </c>
      <c r="N300" s="304">
        <f t="shared" ref="N300" si="157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8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59">IF(O300=0,0,(J300-O300)/O300)</f>
        <v>0</v>
      </c>
      <c r="S300" s="199">
        <f t="shared" ref="S300" si="160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3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49"/>
        <v>0</v>
      </c>
      <c r="F301" s="199">
        <f>+SUMPRODUCT(('Budget original'!$A$8:$A$496=$A301)*('Budget original'!$C$3:$AO$3=F$2),'Budget original'!$C$8:$AO$496)</f>
        <v>27759.735356693745</v>
      </c>
      <c r="G301" s="197">
        <f>+SUMPRODUCT(('Budget révisé'!$A$8:$A$496=$A301)*('Budget révisé'!$C$3:$AO$3=G$2),'Budget révisé'!$C$8:$AO$496)</f>
        <v>0</v>
      </c>
      <c r="H301" s="210">
        <f t="shared" si="150"/>
        <v>0</v>
      </c>
      <c r="I301" s="199">
        <f>+SUMPRODUCT(('Budget révisé'!$A$8:$A$496=$A301)*('Budget révisé'!$C$3:$AO$3=I$2),'Budget révisé'!$C$8:$AO$496)</f>
        <v>27759.735356693745</v>
      </c>
      <c r="J301" s="179">
        <f>-SUMIFS(BV_Data_An_Cour!$P:$P,BV_Data_An_Cour!$X:$X,"Oui",BV_Data_An_Cour!$U:$U,$B301,BV_Data_An_Cour!$V:$V,$C301)</f>
        <v>0</v>
      </c>
      <c r="K301" s="210">
        <f t="shared" si="144"/>
        <v>0</v>
      </c>
      <c r="L301" s="180">
        <f>-SUMIFS(BV_Data_An_Cour!$P:$P,BV_Data_An_Cour!$U:$U,$B301,BV_Data_An_Cour!$V:$V,$C301,BV_Data_An_Cour!$W:$W,$L$2)</f>
        <v>12079.82</v>
      </c>
      <c r="M301" s="324"/>
      <c r="N301" s="304">
        <f t="shared" si="146"/>
        <v>-15679.915356693746</v>
      </c>
      <c r="O301" s="179">
        <f>-SUMIFS(BV_Data_An_Prec!$P:$P,BV_Data_An_Prec!$X:$X,"Oui",BV_Data_An_Prec!$U:$U,$B301,BV_Data_An_Prec!$V:$V,$C301)</f>
        <v>0</v>
      </c>
      <c r="P301" s="210">
        <f t="shared" si="147"/>
        <v>0</v>
      </c>
      <c r="Q301" s="180">
        <f>-SUMIFS(BV_Data_An_Prec!$P:$P,BV_Data_An_Prec!$U:$U,$B301,BV_Data_An_Prec!$V:$V,$C301,BV_Data_An_Prec!$W:$W,$L$2)</f>
        <v>54211.939999999995</v>
      </c>
      <c r="R301" s="324">
        <f t="shared" si="151"/>
        <v>0</v>
      </c>
      <c r="S301" s="199">
        <f t="shared" si="148"/>
        <v>-42132.119999999995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3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49"/>
        <v>0</v>
      </c>
      <c r="F302" s="199">
        <f>+SUMPRODUCT(('Budget original'!$A$8:$A$496=$A302)*('Budget original'!$C$3:$AO$3=F$2),'Budget original'!$C$8:$AO$496)</f>
        <v>300</v>
      </c>
      <c r="G302" s="197">
        <f>+SUMPRODUCT(('Budget révisé'!$A$8:$A$496=$A302)*('Budget révisé'!$C$3:$AO$3=G$2),'Budget révisé'!$C$8:$AO$496)</f>
        <v>0</v>
      </c>
      <c r="H302" s="210">
        <f t="shared" si="150"/>
        <v>0</v>
      </c>
      <c r="I302" s="199">
        <f>+SUMPRODUCT(('Budget révisé'!$A$8:$A$496=$A302)*('Budget révisé'!$C$3:$AO$3=I$2),'Budget révisé'!$C$8:$AO$496)</f>
        <v>300</v>
      </c>
      <c r="J302" s="179">
        <f>-SUMIFS(BV_Data_An_Cour!$P:$P,BV_Data_An_Cour!$X:$X,"Oui",BV_Data_An_Cour!$U:$U,$B302,BV_Data_An_Cour!$V:$V,$C302)</f>
        <v>0</v>
      </c>
      <c r="K302" s="210">
        <f t="shared" si="144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6"/>
        <v>-300</v>
      </c>
      <c r="O302" s="179">
        <f>-SUMIFS(BV_Data_An_Prec!$P:$P,BV_Data_An_Prec!$X:$X,"Oui",BV_Data_An_Prec!$U:$U,$B302,BV_Data_An_Prec!$V:$V,$C302)</f>
        <v>0</v>
      </c>
      <c r="P302" s="210">
        <f t="shared" si="147"/>
        <v>0</v>
      </c>
      <c r="Q302" s="180">
        <f>-SUMIFS(BV_Data_An_Prec!$P:$P,BV_Data_An_Prec!$U:$U,$B302,BV_Data_An_Prec!$V:$V,$C302,BV_Data_An_Prec!$W:$W,$L$2)</f>
        <v>0</v>
      </c>
      <c r="R302" s="324">
        <f t="shared" si="151"/>
        <v>0</v>
      </c>
      <c r="S302" s="199">
        <f t="shared" si="148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3"/>
        <v>PiècesSous-total Pièces</v>
      </c>
      <c r="B303" s="24" t="s">
        <v>175</v>
      </c>
      <c r="C303" s="327" t="s">
        <v>185</v>
      </c>
      <c r="D303" s="198">
        <f>SUM(D294:D302)</f>
        <v>875637.72185305785</v>
      </c>
      <c r="E303" s="328">
        <f>IF(D303&lt;=0,0,F303/D303)</f>
        <v>0.30570705419178479</v>
      </c>
      <c r="F303" s="200">
        <f>SUM(F294:F302)</f>
        <v>267688.62848690373</v>
      </c>
      <c r="G303" s="198">
        <f>SUM(G294:G302)</f>
        <v>875637.72185305785</v>
      </c>
      <c r="H303" s="328">
        <f>IF(G303&lt;=0,0,I303/G303)</f>
        <v>0.30570705419178479</v>
      </c>
      <c r="I303" s="200">
        <f>SUM(I294:I302)</f>
        <v>267688.62848690373</v>
      </c>
      <c r="J303" s="198">
        <f>SUM(J294:J302)</f>
        <v>770065.17999999993</v>
      </c>
      <c r="K303" s="328">
        <f t="shared" si="144"/>
        <v>0.283754136240779</v>
      </c>
      <c r="L303" s="329">
        <f>SUM(L294:L302)</f>
        <v>218509.18</v>
      </c>
      <c r="M303" s="330">
        <f>(+J303-G303)/G303</f>
        <v>-0.12056646169792833</v>
      </c>
      <c r="N303" s="329">
        <f t="shared" si="146"/>
        <v>-49179.448486903741</v>
      </c>
      <c r="O303" s="198">
        <f>SUM(O294:O302)</f>
        <v>904115.86999999988</v>
      </c>
      <c r="P303" s="328">
        <f t="shared" si="147"/>
        <v>0.32161051436913718</v>
      </c>
      <c r="Q303" s="329">
        <f>SUM(Q294:Q302)</f>
        <v>290773.16999999993</v>
      </c>
      <c r="R303" s="330">
        <f>IF(O303=0,0,(J303-O303)/O303)</f>
        <v>-0.14826715739432819</v>
      </c>
      <c r="S303" s="200">
        <f t="shared" si="148"/>
        <v>-72263.989999999932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3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-0.18371885561552634</v>
      </c>
      <c r="O304" s="303"/>
      <c r="P304" s="178"/>
      <c r="Q304" s="312"/>
      <c r="R304" s="303"/>
      <c r="S304" s="333">
        <f>IF(Q303=0,0,S303/Q303)</f>
        <v>-0.24852358283262499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3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3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110983.26228808754</v>
      </c>
      <c r="E306" s="210">
        <f t="shared" ref="E306:E307" si="161">IF(D306=0,0,F306/D306)</f>
        <v>0.19500000000000001</v>
      </c>
      <c r="F306" s="201">
        <f>+SUMPRODUCT(('Budget original'!$A$8:$A$496=$A306)*('Budget original'!$C$3:$AO$3=F$2),'Budget original'!$C$8:$AO$496)</f>
        <v>21641.736146177071</v>
      </c>
      <c r="G306" s="197">
        <f>+SUMPRODUCT(('Budget révisé'!$A$8:$A$496=$A306)*('Budget révisé'!$C$3:$AO$3=G$2),'Budget révisé'!$C$8:$AO$496)</f>
        <v>110983.26228808754</v>
      </c>
      <c r="H306" s="210">
        <f t="shared" ref="H306:H307" si="162">IF(G306=0,0,I306/G306)</f>
        <v>0.19500000000000001</v>
      </c>
      <c r="I306" s="201">
        <f>+SUMPRODUCT(('Budget révisé'!$A$8:$A$496=$A306)*('Budget révisé'!$C$3:$AO$3=I$2),'Budget révisé'!$C$8:$AO$496)</f>
        <v>21641.736146177071</v>
      </c>
      <c r="J306" s="179">
        <f>-SUMIFS(BV_Data_An_Cour!$P:$P,BV_Data_An_Cour!$X:$X,"Oui",BV_Data_An_Cour!$U:$U,$B306,BV_Data_An_Cour!$V:$V,$C306)</f>
        <v>71322.41</v>
      </c>
      <c r="K306" s="210">
        <f t="shared" ref="K306:K308" si="163">IF(J306&lt;=0,0,L306/J306)</f>
        <v>0.18696732205207309</v>
      </c>
      <c r="L306" s="180">
        <f>-SUMIFS(BV_Data_An_Cour!$P:$P,BV_Data_An_Cour!$U:$U,$B306,BV_Data_An_Cour!$V:$V,$C306,BV_Data_An_Cour!$W:$W,$L$2)</f>
        <v>13334.96</v>
      </c>
      <c r="M306" s="324">
        <f t="shared" ref="M306:M308" si="164">(+J306-G306)/G306</f>
        <v>-0.35735886178167031</v>
      </c>
      <c r="N306" s="304">
        <f t="shared" ref="N306:N308" si="165">L306-I306</f>
        <v>-8306.7761461770715</v>
      </c>
      <c r="O306" s="179">
        <f>-SUMIFS(BV_Data_An_Prec!$P:$P,BV_Data_An_Prec!$X:$X,"Oui",BV_Data_An_Prec!$U:$U,$B306,BV_Data_An_Prec!$V:$V,$C306)</f>
        <v>120253.29</v>
      </c>
      <c r="P306" s="210">
        <f t="shared" ref="P306:P308" si="166">IF(O306&lt;=0,0,Q306/O306)</f>
        <v>0.19445738241340424</v>
      </c>
      <c r="Q306" s="180">
        <f>-SUMIFS(BV_Data_An_Prec!$P:$P,BV_Data_An_Prec!$U:$U,$B306,BV_Data_An_Prec!$V:$V,$C306,BV_Data_An_Prec!$W:$W,$L$2)</f>
        <v>23384.14</v>
      </c>
      <c r="R306" s="324">
        <f t="shared" ref="R306:R307" si="167">IF(O306=0,0,(J306-O306)/O306)</f>
        <v>-0.4068984723827514</v>
      </c>
      <c r="S306" s="199">
        <f t="shared" ref="S306:S308" si="168">L306-Q306</f>
        <v>-10049.18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3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42047.544640456079</v>
      </c>
      <c r="E307" s="210">
        <f t="shared" si="161"/>
        <v>0.30006987567403665</v>
      </c>
      <c r="F307" s="202">
        <f>+SUMPRODUCT(('Budget original'!$A$8:$A$496=$A307)*('Budget original'!$C$3:$AO$3=F$2),'Budget original'!$C$8:$AO$496)</f>
        <v>12617.201492660161</v>
      </c>
      <c r="G307" s="197">
        <f>+SUMPRODUCT(('Budget révisé'!$A$8:$A$496=$A307)*('Budget révisé'!$C$3:$AO$3=G$2),'Budget révisé'!$C$8:$AO$496)</f>
        <v>42047.544640456079</v>
      </c>
      <c r="H307" s="210">
        <f t="shared" si="162"/>
        <v>0.30006987567403665</v>
      </c>
      <c r="I307" s="202">
        <f>+SUMPRODUCT(('Budget révisé'!$A$8:$A$496=$A307)*('Budget révisé'!$C$3:$AO$3=I$2),'Budget révisé'!$C$8:$AO$496)</f>
        <v>12617.201492660161</v>
      </c>
      <c r="J307" s="179">
        <f>-SUMIFS(BV_Data_An_Cour!$P:$P,BV_Data_An_Cour!$X:$X,"Oui",BV_Data_An_Cour!$U:$U,$B307,BV_Data_An_Cour!$V:$V,$C307)</f>
        <v>39259.22</v>
      </c>
      <c r="K307" s="210">
        <f t="shared" si="163"/>
        <v>0.28643004114702231</v>
      </c>
      <c r="L307" s="180">
        <f>-SUMIFS(BV_Data_An_Cour!$P:$P,BV_Data_An_Cour!$U:$U,$B307,BV_Data_An_Cour!$V:$V,$C307,BV_Data_An_Cour!$W:$W,$L$2)</f>
        <v>11245.02</v>
      </c>
      <c r="M307" s="324">
        <f t="shared" si="164"/>
        <v>-6.6313613893480214E-2</v>
      </c>
      <c r="N307" s="304">
        <f t="shared" si="165"/>
        <v>-1372.1814926601601</v>
      </c>
      <c r="O307" s="179">
        <f>-SUMIFS(BV_Data_An_Prec!$P:$P,BV_Data_An_Prec!$X:$X,"Oui",BV_Data_An_Prec!$U:$U,$B307,BV_Data_An_Prec!$V:$V,$C307)</f>
        <v>40801.550000000003</v>
      </c>
      <c r="P307" s="210">
        <f t="shared" si="166"/>
        <v>0.28234295020654859</v>
      </c>
      <c r="Q307" s="180">
        <f>-SUMIFS(BV_Data_An_Prec!$P:$P,BV_Data_An_Prec!$U:$U,$B307,BV_Data_An_Prec!$V:$V,$C307,BV_Data_An_Prec!$W:$W,$L$2)</f>
        <v>11520.030000000002</v>
      </c>
      <c r="R307" s="324">
        <f t="shared" si="167"/>
        <v>-3.7800769823695464E-2</v>
      </c>
      <c r="S307" s="199">
        <f t="shared" si="168"/>
        <v>-275.01000000000204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3"/>
        <v>PiècesSous-total Pièces et Acc.</v>
      </c>
      <c r="B308" s="24" t="s">
        <v>175</v>
      </c>
      <c r="C308" s="327" t="s">
        <v>188</v>
      </c>
      <c r="D308" s="198">
        <f>D303+D306+D307</f>
        <v>1028668.5287816015</v>
      </c>
      <c r="E308" s="328">
        <f>IF(D308&lt;=0,0,F308/D308)</f>
        <v>0.29353242339724384</v>
      </c>
      <c r="F308" s="329">
        <f t="shared" ref="F308" si="169">F303+F306+F307</f>
        <v>301947.56612574094</v>
      </c>
      <c r="G308" s="331">
        <f>G303+G306+G307</f>
        <v>1028668.5287816015</v>
      </c>
      <c r="H308" s="328">
        <f>IF(G308&lt;=0,0,I308/G308)</f>
        <v>0.29353242339724384</v>
      </c>
      <c r="I308" s="329">
        <f t="shared" ref="I308" si="170">I303+I306+I307</f>
        <v>301947.56612574094</v>
      </c>
      <c r="J308" s="331">
        <f t="shared" ref="J308" si="171">J303+J306+J307</f>
        <v>880646.80999999994</v>
      </c>
      <c r="K308" s="328">
        <f t="shared" si="163"/>
        <v>0.27603479310848805</v>
      </c>
      <c r="L308" s="329">
        <f>L303+L306+L307</f>
        <v>243089.15999999997</v>
      </c>
      <c r="M308" s="330">
        <f t="shared" si="164"/>
        <v>-0.14389642011982684</v>
      </c>
      <c r="N308" s="329">
        <f t="shared" si="165"/>
        <v>-58858.406125740963</v>
      </c>
      <c r="O308" s="331">
        <f t="shared" ref="O308" si="172">O303+O306+O307</f>
        <v>1065170.71</v>
      </c>
      <c r="P308" s="328">
        <f t="shared" si="166"/>
        <v>0.30575131004118578</v>
      </c>
      <c r="Q308" s="329">
        <f>Q303+Q306+Q307</f>
        <v>325677.33999999997</v>
      </c>
      <c r="R308" s="330">
        <f>IF(O308=0,0,(J308-O308)/O308)</f>
        <v>-0.17323411005171183</v>
      </c>
      <c r="S308" s="200">
        <f t="shared" si="168"/>
        <v>-82588.179999999993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3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-0.19492922854437045</v>
      </c>
      <c r="O309" s="303"/>
      <c r="P309" s="178"/>
      <c r="Q309" s="312"/>
      <c r="R309" s="303"/>
      <c r="S309" s="333">
        <f>IF(Q308=0,0,S308/Q308)</f>
        <v>-0.25358896630634481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3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3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3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4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3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3"/>
        <v>PiècesTotal Dépt. Pièces</v>
      </c>
      <c r="B313" s="24" t="s">
        <v>175</v>
      </c>
      <c r="C313" s="269" t="s">
        <v>190</v>
      </c>
      <c r="D313" s="26">
        <f>D308+D311</f>
        <v>1028668.5287816015</v>
      </c>
      <c r="E313" s="71">
        <f>IF(D313&lt;=0,0,F313/D313)</f>
        <v>0.29353242339724384</v>
      </c>
      <c r="F313" s="28">
        <f t="shared" ref="F313" si="175">F308+F311</f>
        <v>301947.56612574094</v>
      </c>
      <c r="G313" s="29">
        <f>G308+G311</f>
        <v>1028668.5287816015</v>
      </c>
      <c r="H313" s="71">
        <f>IF(G313&lt;=0,0,I313/G313)</f>
        <v>0.29353242339724384</v>
      </c>
      <c r="I313" s="28">
        <f t="shared" ref="I313" si="176">I308+I311</f>
        <v>301947.56612574094</v>
      </c>
      <c r="J313" s="29">
        <f t="shared" ref="J313" si="177">J308+J311</f>
        <v>880646.80999999994</v>
      </c>
      <c r="K313" s="71">
        <f>IF(J313&lt;=0,0,L313/J313)</f>
        <v>0.27603479310848805</v>
      </c>
      <c r="L313" s="28">
        <f>L308+L311</f>
        <v>243089.15999999997</v>
      </c>
      <c r="M313" s="72">
        <f>(+J313-G313)/G313</f>
        <v>-0.14389642011982684</v>
      </c>
      <c r="N313" s="73">
        <f>L313-I313</f>
        <v>-58858.406125740963</v>
      </c>
      <c r="O313" s="29">
        <f t="shared" ref="O313" si="178">O308+O311</f>
        <v>1065170.71</v>
      </c>
      <c r="P313" s="71">
        <f>IF(O313&lt;=0,0,Q313/O313)</f>
        <v>0.30575131004118578</v>
      </c>
      <c r="Q313" s="28">
        <f>Q308+Q311</f>
        <v>325677.33999999997</v>
      </c>
      <c r="R313" s="72">
        <f>IF(O313=0,0,(J313-O313)/O313)</f>
        <v>-0.17323411005171183</v>
      </c>
      <c r="S313" s="270">
        <f>L313-Q313</f>
        <v>-82588.179999999993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3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-0.19492922854437045</v>
      </c>
      <c r="O314" s="77"/>
      <c r="P314" s="75"/>
      <c r="Q314" s="76"/>
      <c r="R314" s="78"/>
      <c r="S314" s="272">
        <f>IF(Q313=0,0,S313/Q313)</f>
        <v>-0.25358896630634481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3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3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3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27162.189890136346</v>
      </c>
      <c r="G317" s="227"/>
      <c r="H317" s="233"/>
      <c r="I317" s="231">
        <f>+SUMPRODUCT(('Budget révisé'!$A$8:$A$496=$A317)*('Budget révisé'!$C$3:$AO$3=I$2),'Budget révisé'!$C$8:$AO$496)</f>
        <v>27162.189890136346</v>
      </c>
      <c r="J317" s="227"/>
      <c r="K317" s="233"/>
      <c r="L317" s="281">
        <f>SUMIFS(BV_Data_An_Cour!$P:$P,BV_Data_An_Cour!$U:$U,$B317,BV_Data_An_Cour!$V:$V,$C317,BV_Data_An_Cour!$W:$W,$L$2)</f>
        <v>17478.37</v>
      </c>
      <c r="M317" s="227"/>
      <c r="N317" s="232"/>
      <c r="O317" s="227"/>
      <c r="P317" s="233"/>
      <c r="Q317" s="281">
        <f>SUMIFS(BV_Data_An_Prec!$P:$P,BV_Data_An_Prec!$U:$U,$B317,BV_Data_An_Prec!$V:$V,$C317,BV_Data_An_Prec!$W:$W,$L$2)</f>
        <v>30667.89</v>
      </c>
      <c r="R317" s="227"/>
      <c r="S317" s="512">
        <f>L317-Q317</f>
        <v>-13189.52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3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12967.25403169349</v>
      </c>
      <c r="G318" s="283"/>
      <c r="H318" s="233"/>
      <c r="I318" s="244">
        <f>+SUMPRODUCT(('Budget révisé'!$A$8:$A$496=$A318)*('Budget révisé'!$C$3:$AO$3=I$2),'Budget révisé'!$C$8:$AO$496)</f>
        <v>12967.25403169349</v>
      </c>
      <c r="J318" s="227"/>
      <c r="K318" s="233"/>
      <c r="L318" s="281">
        <f>SUMIFS(BV_Data_An_Cour!$P:$P,BV_Data_An_Cour!$U:$U,$B318,BV_Data_An_Cour!$V:$V,$C318,BV_Data_An_Cour!$W:$W,$L$2)</f>
        <v>11687.6</v>
      </c>
      <c r="M318" s="227"/>
      <c r="N318" s="232">
        <f t="shared" ref="N318:N342" si="179">L318-I318</f>
        <v>-1279.6540316934897</v>
      </c>
      <c r="O318" s="227"/>
      <c r="P318" s="233"/>
      <c r="Q318" s="281">
        <f>SUMIFS(BV_Data_An_Prec!$P:$P,BV_Data_An_Prec!$U:$U,$B318,BV_Data_An_Prec!$V:$V,$C318,BV_Data_An_Prec!$W:$W,$L$2)</f>
        <v>11188.53</v>
      </c>
      <c r="R318" s="227"/>
      <c r="S318" s="284">
        <f t="shared" ref="S318:S342" si="180">L318-Q318</f>
        <v>499.06999999999971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3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48193.953200355558</v>
      </c>
      <c r="G319" s="287"/>
      <c r="H319" s="286"/>
      <c r="I319" s="231">
        <f>+SUMPRODUCT(('Budget révisé'!$A$8:$A$496=$A319)*('Budget révisé'!$C$3:$AO$3=I$2),'Budget révisé'!$C$8:$AO$496)</f>
        <v>48193.953200355558</v>
      </c>
      <c r="J319" s="288"/>
      <c r="K319" s="286"/>
      <c r="L319" s="245">
        <f>SUMIFS(BV_Data_An_Cour!$P:$P,BV_Data_An_Cour!$U:$U,$B319,BV_Data_An_Cour!$V:$V,$C319,BV_Data_An_Cour!$W:$W,$L$2)</f>
        <v>57320.12</v>
      </c>
      <c r="M319" s="288"/>
      <c r="N319" s="289">
        <f t="shared" si="179"/>
        <v>9126.1667996444448</v>
      </c>
      <c r="O319" s="288"/>
      <c r="P319" s="286"/>
      <c r="Q319" s="245">
        <f>SUMIFS(BV_Data_An_Prec!$P:$P,BV_Data_An_Prec!$U:$U,$B319,BV_Data_An_Prec!$V:$V,$C319,BV_Data_An_Prec!$W:$W,$L$2)</f>
        <v>45236.73</v>
      </c>
      <c r="R319" s="288"/>
      <c r="S319" s="290">
        <f t="shared" si="180"/>
        <v>12083.39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3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79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0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1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2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3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1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2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3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1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2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3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3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10598.807654662245</v>
      </c>
      <c r="G324" s="283"/>
      <c r="H324" s="233"/>
      <c r="I324" s="244">
        <f>+SUMPRODUCT(('Budget révisé'!$A$8:$A$496=$A324)*('Budget révisé'!$C$3:$AO$3=I$2),'Budget révisé'!$C$8:$AO$496)</f>
        <v>10598.807654662245</v>
      </c>
      <c r="J324" s="227"/>
      <c r="K324" s="233"/>
      <c r="L324" s="281">
        <f>SUMIFS(BV_Data_An_Cour!$P:$P,BV_Data_An_Cour!$U:$U,$B324,BV_Data_An_Cour!$V:$V,$C324,BV_Data_An_Cour!$W:$W,$L$2)</f>
        <v>-1159.9299999999985</v>
      </c>
      <c r="M324" s="227"/>
      <c r="N324" s="232">
        <f t="shared" si="179"/>
        <v>-11758.737654662244</v>
      </c>
      <c r="O324" s="227"/>
      <c r="P324" s="233"/>
      <c r="Q324" s="281">
        <f>SUMIFS(BV_Data_An_Prec!$P:$P,BV_Data_An_Prec!$U:$U,$B324,BV_Data_An_Prec!$V:$V,$C324,BV_Data_An_Prec!$W:$W,$L$2)</f>
        <v>14052.51</v>
      </c>
      <c r="R324" s="227"/>
      <c r="S324" s="284">
        <f t="shared" si="180"/>
        <v>-15212.439999999999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3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10598.807654662245</v>
      </c>
      <c r="G325" s="287"/>
      <c r="H325" s="286"/>
      <c r="I325" s="231">
        <f>+SUMPRODUCT(('Budget révisé'!$A$8:$A$496=$A325)*('Budget révisé'!$C$3:$AO$3=I$2),'Budget révisé'!$C$8:$AO$496)</f>
        <v>10598.807654662245</v>
      </c>
      <c r="J325" s="288"/>
      <c r="K325" s="286"/>
      <c r="L325" s="245">
        <f>SUMIFS(BV_Data_An_Cour!$P:$P,BV_Data_An_Cour!$U:$U,$B325,BV_Data_An_Cour!$V:$V,$C325,BV_Data_An_Cour!$W:$W,$L$2)</f>
        <v>115.87</v>
      </c>
      <c r="M325" s="288"/>
      <c r="N325" s="289">
        <f t="shared" si="179"/>
        <v>-10482.937654662244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0"/>
        <v>115.87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3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7595.8121525079423</v>
      </c>
      <c r="G326" s="283"/>
      <c r="H326" s="233"/>
      <c r="I326" s="231">
        <f>+SUMPRODUCT(('Budget révisé'!$A$8:$A$496=$A326)*('Budget révisé'!$C$3:$AO$3=I$2),'Budget révisé'!$C$8:$AO$496)</f>
        <v>7595.8121525079423</v>
      </c>
      <c r="J326" s="227"/>
      <c r="K326" s="233"/>
      <c r="L326" s="281">
        <f>SUMIFS(BV_Data_An_Cour!$P:$P,BV_Data_An_Cour!$U:$U,$B326,BV_Data_An_Cour!$V:$V,$C326,BV_Data_An_Cour!$W:$W,$L$2)</f>
        <v>7624.96</v>
      </c>
      <c r="M326" s="227"/>
      <c r="N326" s="232">
        <f t="shared" si="179"/>
        <v>29.147847492057736</v>
      </c>
      <c r="O326" s="227"/>
      <c r="P326" s="233"/>
      <c r="Q326" s="281">
        <f>SUMIFS(BV_Data_An_Prec!$P:$P,BV_Data_An_Prec!$U:$U,$B326,BV_Data_An_Prec!$V:$V,$C326,BV_Data_An_Prec!$W:$W,$L$2)</f>
        <v>12545.88</v>
      </c>
      <c r="R326" s="227"/>
      <c r="S326" s="284">
        <f t="shared" si="180"/>
        <v>-4920.9199999999992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3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1766.4679424437077</v>
      </c>
      <c r="G327" s="283"/>
      <c r="H327" s="233"/>
      <c r="I327" s="231">
        <f>+SUMPRODUCT(('Budget révisé'!$A$8:$A$496=$A327)*('Budget révisé'!$C$3:$AO$3=I$2),'Budget révisé'!$C$8:$AO$496)</f>
        <v>1766.4679424437077</v>
      </c>
      <c r="J327" s="227"/>
      <c r="K327" s="233"/>
      <c r="L327" s="281">
        <f>SUMIFS(BV_Data_An_Cour!$P:$P,BV_Data_An_Cour!$U:$U,$B327,BV_Data_An_Cour!$V:$V,$C327,BV_Data_An_Cour!$W:$W,$L$2)</f>
        <v>24090.33</v>
      </c>
      <c r="M327" s="227"/>
      <c r="N327" s="232">
        <f t="shared" si="179"/>
        <v>22323.862057556293</v>
      </c>
      <c r="O327" s="227"/>
      <c r="P327" s="233"/>
      <c r="Q327" s="281">
        <f>SUMIFS(BV_Data_An_Prec!$P:$P,BV_Data_An_Prec!$U:$U,$B327,BV_Data_An_Prec!$V:$V,$C327,BV_Data_An_Prec!$W:$W,$L$2)</f>
        <v>11109.98</v>
      </c>
      <c r="R327" s="227"/>
      <c r="S327" s="284">
        <f t="shared" si="180"/>
        <v>12980.350000000002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3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79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0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3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0.39372164529040982</v>
      </c>
      <c r="F329" s="41">
        <f>+SUM(F317:F328)</f>
        <v>118883.29252646153</v>
      </c>
      <c r="G329" s="42" t="s">
        <v>111</v>
      </c>
      <c r="H329" s="40">
        <f>I329/I$313</f>
        <v>0.39372164529040982</v>
      </c>
      <c r="I329" s="41">
        <f>+SUM(I317:I328)</f>
        <v>118883.29252646153</v>
      </c>
      <c r="J329" s="42" t="s">
        <v>111</v>
      </c>
      <c r="K329" s="40">
        <f>L329/L$313</f>
        <v>0.48195205413519887</v>
      </c>
      <c r="L329" s="41">
        <f>+SUM(L317:L328)</f>
        <v>117157.32</v>
      </c>
      <c r="M329" s="43"/>
      <c r="N329" s="46">
        <f t="shared" si="179"/>
        <v>-1725.9725264615263</v>
      </c>
      <c r="O329" s="42" t="s">
        <v>111</v>
      </c>
      <c r="P329" s="40">
        <f>Q329/Q$313</f>
        <v>0.38320602839608064</v>
      </c>
      <c r="Q329" s="41">
        <f>+SUM(Q317:Q328)</f>
        <v>124801.51999999999</v>
      </c>
      <c r="R329" s="43"/>
      <c r="S329" s="299">
        <f t="shared" si="180"/>
        <v>-7644.1999999999825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3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11425.924999999999</v>
      </c>
      <c r="G330" s="302"/>
      <c r="H330" s="178"/>
      <c r="I330" s="179">
        <f>+SUMPRODUCT(('Budget révisé'!$A$8:$A$496=$A330)*('Budget révisé'!$C$3:$AO$3=I$2),'Budget révisé'!$C$8:$AO$496)</f>
        <v>11425.924999999999</v>
      </c>
      <c r="J330" s="303"/>
      <c r="K330" s="178"/>
      <c r="L330" s="281">
        <f>SUMIFS(BV_Data_An_Cour!$P:$P,BV_Data_An_Cour!$U:$U,$B330,BV_Data_An_Cour!$V:$V,$C330,BV_Data_An_Cour!$W:$W,$L$2)</f>
        <v>15905.63</v>
      </c>
      <c r="M330" s="303"/>
      <c r="N330" s="304">
        <f t="shared" si="179"/>
        <v>4479.7049999999999</v>
      </c>
      <c r="O330" s="303"/>
      <c r="P330" s="178"/>
      <c r="Q330" s="281">
        <f>SUMIFS(BV_Data_An_Prec!$P:$P,BV_Data_An_Prec!$U:$U,$B330,BV_Data_An_Prec!$V:$V,$C330,BV_Data_An_Prec!$W:$W,$L$2)</f>
        <v>19785.98</v>
      </c>
      <c r="R330" s="303"/>
      <c r="S330" s="199">
        <f t="shared" si="180"/>
        <v>-3880.3500000000004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3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5108.6819022214986</v>
      </c>
      <c r="G331" s="302"/>
      <c r="H331" s="178"/>
      <c r="I331" s="179">
        <f>+SUMPRODUCT(('Budget révisé'!$A$8:$A$496=$A331)*('Budget révisé'!$C$3:$AO$3=I$2),'Budget révisé'!$C$8:$AO$496)</f>
        <v>5108.6819022214986</v>
      </c>
      <c r="J331" s="303"/>
      <c r="K331" s="178"/>
      <c r="L331" s="180">
        <f>SUMIFS(BV_Data_An_Cour!$P:$P,BV_Data_An_Cour!$U:$U,$B331,BV_Data_An_Cour!$V:$V,$C331,BV_Data_An_Cour!$W:$W,$L$2)</f>
        <v>246.23</v>
      </c>
      <c r="M331" s="303"/>
      <c r="N331" s="304">
        <f t="shared" si="179"/>
        <v>-4862.451902221499</v>
      </c>
      <c r="O331" s="303"/>
      <c r="P331" s="178"/>
      <c r="Q331" s="180">
        <f>SUMIFS(BV_Data_An_Prec!$P:$P,BV_Data_An_Prec!$U:$U,$B331,BV_Data_An_Prec!$V:$V,$C331,BV_Data_An_Prec!$W:$W,$L$2)</f>
        <v>2149</v>
      </c>
      <c r="R331" s="303"/>
      <c r="S331" s="199">
        <f t="shared" si="180"/>
        <v>-1902.77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3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856.5</v>
      </c>
      <c r="G332" s="309"/>
      <c r="H332" s="308"/>
      <c r="I332" s="177">
        <f>+SUMPRODUCT(('Budget révisé'!$A$8:$A$496=$A332)*('Budget révisé'!$C$3:$AO$3=I$2),'Budget révisé'!$C$8:$AO$496)</f>
        <v>856.5</v>
      </c>
      <c r="J332" s="310"/>
      <c r="K332" s="308"/>
      <c r="L332" s="180">
        <f>SUMIFS(BV_Data_An_Cour!$P:$P,BV_Data_An_Cour!$U:$U,$B332,BV_Data_An_Cour!$V:$V,$C332,BV_Data_An_Cour!$W:$W,$L$2)</f>
        <v>842.2</v>
      </c>
      <c r="M332" s="310"/>
      <c r="N332" s="311">
        <f t="shared" si="179"/>
        <v>-14.299999999999955</v>
      </c>
      <c r="O332" s="310"/>
      <c r="P332" s="308"/>
      <c r="Q332" s="180">
        <f>SUMIFS(BV_Data_An_Prec!$P:$P,BV_Data_An_Prec!$U:$U,$B332,BV_Data_An_Prec!$V:$V,$C332,BV_Data_An_Prec!$W:$W,$L$2)</f>
        <v>3849.69</v>
      </c>
      <c r="R332" s="310"/>
      <c r="S332" s="202">
        <f t="shared" si="180"/>
        <v>-3007.49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3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12842.335000000001</v>
      </c>
      <c r="G333" s="302"/>
      <c r="H333" s="178"/>
      <c r="I333" s="179">
        <f>+SUMPRODUCT(('Budget révisé'!$A$8:$A$496=$A333)*('Budget révisé'!$C$3:$AO$3=I$2),'Budget révisé'!$C$8:$AO$496)</f>
        <v>12842.335000000001</v>
      </c>
      <c r="J333" s="303"/>
      <c r="K333" s="178"/>
      <c r="L333" s="181">
        <f>SUMIFS(BV_Data_An_Cour!$P:$P,BV_Data_An_Cour!$U:$U,$B333,BV_Data_An_Cour!$V:$V,$C333,BV_Data_An_Cour!$W:$W,$L$2)</f>
        <v>11470.04</v>
      </c>
      <c r="M333" s="303"/>
      <c r="N333" s="304">
        <f t="shared" si="179"/>
        <v>-1372.2950000000001</v>
      </c>
      <c r="O333" s="303"/>
      <c r="P333" s="178"/>
      <c r="Q333" s="181">
        <f>SUMIFS(BV_Data_An_Prec!$P:$P,BV_Data_An_Prec!$U:$U,$B333,BV_Data_An_Prec!$V:$V,$C333,BV_Data_An_Prec!$W:$W,$L$2)</f>
        <v>10576.13</v>
      </c>
      <c r="R333" s="303"/>
      <c r="S333" s="199">
        <f t="shared" si="180"/>
        <v>893.91000000000167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3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3741.7893749999998</v>
      </c>
      <c r="G334" s="302"/>
      <c r="H334" s="178"/>
      <c r="I334" s="179">
        <f>+SUMPRODUCT(('Budget révisé'!$A$8:$A$496=$A334)*('Budget révisé'!$C$3:$AO$3=I$2),'Budget révisé'!$C$8:$AO$496)</f>
        <v>3741.7893749999998</v>
      </c>
      <c r="J334" s="303"/>
      <c r="K334" s="178"/>
      <c r="L334" s="180">
        <f>SUMIFS(BV_Data_An_Cour!$P:$P,BV_Data_An_Cour!$U:$U,$B334,BV_Data_An_Cour!$V:$V,$C334,BV_Data_An_Cour!$W:$W,$L$2)</f>
        <v>564.14</v>
      </c>
      <c r="M334" s="303"/>
      <c r="N334" s="304">
        <f t="shared" si="179"/>
        <v>-3177.649375</v>
      </c>
      <c r="O334" s="303"/>
      <c r="P334" s="178"/>
      <c r="Q334" s="180">
        <f>SUMIFS(BV_Data_An_Prec!$P:$P,BV_Data_An_Prec!$U:$U,$B334,BV_Data_An_Prec!$V:$V,$C334,BV_Data_An_Prec!$W:$W,$L$2)</f>
        <v>4557.75</v>
      </c>
      <c r="R334" s="303"/>
      <c r="S334" s="199">
        <f t="shared" si="180"/>
        <v>-3993.61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3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22071.931225</v>
      </c>
      <c r="G335" s="309"/>
      <c r="H335" s="308"/>
      <c r="I335" s="177">
        <f>+SUMPRODUCT(('Budget révisé'!$A$8:$A$496=$A335)*('Budget révisé'!$C$3:$AO$3=I$2),'Budget révisé'!$C$8:$AO$496)</f>
        <v>22071.931225</v>
      </c>
      <c r="J335" s="310"/>
      <c r="K335" s="308"/>
      <c r="L335" s="405">
        <f>SUMIFS(BV_Data_An_Cour!$P:$P,BV_Data_An_Cour!$U:$U,$B335,BV_Data_An_Cour!$V:$V,$C335,BV_Data_An_Cour!$W:$W,$L$2)</f>
        <v>17237.73</v>
      </c>
      <c r="M335" s="310"/>
      <c r="N335" s="311">
        <f t="shared" si="179"/>
        <v>-4834.2012250000007</v>
      </c>
      <c r="O335" s="310"/>
      <c r="P335" s="308"/>
      <c r="Q335" s="405">
        <f>SUMIFS(BV_Data_An_Prec!$P:$P,BV_Data_An_Prec!$U:$U,$B335,BV_Data_An_Prec!$V:$V,$C335,BV_Data_An_Prec!$W:$W,$L$2)</f>
        <v>32105.3</v>
      </c>
      <c r="R335" s="310"/>
      <c r="S335" s="202">
        <f t="shared" si="180"/>
        <v>-14867.57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4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5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6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3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378</v>
      </c>
      <c r="G337" s="302"/>
      <c r="H337" s="178"/>
      <c r="I337" s="179">
        <f>+SUMPRODUCT(('Budget révisé'!$A$8:$A$496=$A337)*('Budget révisé'!$C$3:$AO$3=I$2),'Budget révisé'!$C$8:$AO$496)</f>
        <v>378</v>
      </c>
      <c r="J337" s="303"/>
      <c r="K337" s="178"/>
      <c r="L337" s="180">
        <f>SUMIFS(BV_Data_An_Cour!$P:$P,BV_Data_An_Cour!$U:$U,$B337,BV_Data_An_Cour!$V:$V,$C337,BV_Data_An_Cour!$W:$W,$L$2)</f>
        <v>164.65</v>
      </c>
      <c r="M337" s="303"/>
      <c r="N337" s="304">
        <f t="shared" si="179"/>
        <v>-213.35</v>
      </c>
      <c r="O337" s="303"/>
      <c r="P337" s="178"/>
      <c r="Q337" s="180">
        <f>SUMIFS(BV_Data_An_Prec!$P:$P,BV_Data_An_Prec!$U:$U,$B337,BV_Data_An_Prec!$V:$V,$C337,BV_Data_An_Prec!$W:$W,$L$2)</f>
        <v>310</v>
      </c>
      <c r="R337" s="303"/>
      <c r="S337" s="199">
        <f t="shared" si="180"/>
        <v>-145.35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3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510</v>
      </c>
      <c r="G338" s="302"/>
      <c r="H338" s="178"/>
      <c r="I338" s="179">
        <f>+SUMPRODUCT(('Budget révisé'!$A$8:$A$496=$A338)*('Budget révisé'!$C$3:$AO$3=I$2),'Budget révisé'!$C$8:$AO$496)</f>
        <v>510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79"/>
        <v>-510</v>
      </c>
      <c r="O338" s="303"/>
      <c r="P338" s="178"/>
      <c r="Q338" s="180">
        <f>SUMIFS(BV_Data_An_Prec!$P:$P,BV_Data_An_Prec!$U:$U,$B338,BV_Data_An_Prec!$V:$V,$C338,BV_Data_An_Prec!$W:$W,$L$2)</f>
        <v>510</v>
      </c>
      <c r="R338" s="303"/>
      <c r="S338" s="199">
        <f t="shared" si="180"/>
        <v>-510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3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1635</v>
      </c>
      <c r="G339" s="302"/>
      <c r="H339" s="178"/>
      <c r="I339" s="179">
        <f>+SUMPRODUCT(('Budget révisé'!$A$8:$A$496=$A339)*('Budget révisé'!$C$3:$AO$3=I$2),'Budget révisé'!$C$8:$AO$496)</f>
        <v>1635</v>
      </c>
      <c r="J339" s="303"/>
      <c r="K339" s="178"/>
      <c r="L339" s="554">
        <f>SUMIFS(BV_Data_An_Cour!$P:$P,BV_Data_An_Cour!$U:$U,$B339,BV_Data_An_Cour!$V:$V,$C339,BV_Data_An_Cour!$W:$W,$L$2)</f>
        <v>1122.56</v>
      </c>
      <c r="M339" s="303"/>
      <c r="N339" s="304">
        <f t="shared" si="179"/>
        <v>-512.44000000000005</v>
      </c>
      <c r="O339" s="303"/>
      <c r="P339" s="178"/>
      <c r="Q339" s="554">
        <f>SUMIFS(BV_Data_An_Prec!$P:$P,BV_Data_An_Prec!$U:$U,$B339,BV_Data_An_Prec!$V:$V,$C339,BV_Data_An_Prec!$W:$W,$L$2)</f>
        <v>1387.5</v>
      </c>
      <c r="R339" s="303"/>
      <c r="S339" s="199">
        <f t="shared" si="180"/>
        <v>-264.94000000000005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3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1356.8249999999998</v>
      </c>
      <c r="G340" s="302"/>
      <c r="H340" s="178"/>
      <c r="I340" s="179">
        <f>+SUMPRODUCT(('Budget révisé'!$A$8:$A$496=$A340)*('Budget révisé'!$C$3:$AO$3=I$2),'Budget révisé'!$C$8:$AO$496)</f>
        <v>1356.8249999999998</v>
      </c>
      <c r="J340" s="303"/>
      <c r="K340" s="178"/>
      <c r="L340" s="180">
        <f>SUMIFS(BV_Data_An_Cour!$P:$P,BV_Data_An_Cour!$U:$U,$B340,BV_Data_An_Cour!$V:$V,$C340,BV_Data_An_Cour!$W:$W,$L$2)</f>
        <v>704.21</v>
      </c>
      <c r="M340" s="303"/>
      <c r="N340" s="304">
        <f t="shared" si="179"/>
        <v>-652.61499999999978</v>
      </c>
      <c r="O340" s="303"/>
      <c r="P340" s="178"/>
      <c r="Q340" s="180">
        <f>SUMIFS(BV_Data_An_Prec!$P:$P,BV_Data_An_Prec!$U:$U,$B340,BV_Data_An_Prec!$V:$V,$C340,BV_Data_An_Prec!$W:$W,$L$2)</f>
        <v>1031.7</v>
      </c>
      <c r="R340" s="303"/>
      <c r="S340" s="199">
        <f t="shared" si="180"/>
        <v>-327.49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3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648.75</v>
      </c>
      <c r="G341" s="302"/>
      <c r="H341" s="178"/>
      <c r="I341" s="179">
        <f>+SUMPRODUCT(('Budget révisé'!$A$8:$A$496=$A341)*('Budget révisé'!$C$3:$AO$3=I$2),'Budget révisé'!$C$8:$AO$496)</f>
        <v>648.75</v>
      </c>
      <c r="J341" s="303"/>
      <c r="K341" s="178"/>
      <c r="L341" s="281">
        <f>SUMIFS(BV_Data_An_Cour!$P:$P,BV_Data_An_Cour!$U:$U,$B341,BV_Data_An_Cour!$V:$V,$C341,BV_Data_An_Cour!$W:$W,$L$2)</f>
        <v>58.74</v>
      </c>
      <c r="M341" s="303"/>
      <c r="N341" s="304">
        <f t="shared" si="179"/>
        <v>-590.01</v>
      </c>
      <c r="O341" s="303"/>
      <c r="P341" s="178"/>
      <c r="Q341" s="180">
        <f>SUMIFS(BV_Data_An_Prec!$P:$P,BV_Data_An_Prec!$U:$U,$B341,BV_Data_An_Prec!$V:$V,$C341,BV_Data_An_Prec!$W:$W,$L$2)</f>
        <v>289.10000000000002</v>
      </c>
      <c r="R341" s="303"/>
      <c r="S341" s="199">
        <f t="shared" si="180"/>
        <v>-230.36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3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2693.25</v>
      </c>
      <c r="G342" s="302"/>
      <c r="H342" s="178"/>
      <c r="I342" s="179">
        <f>+SUMPRODUCT(('Budget révisé'!$A$8:$A$496=$A342)*('Budget révisé'!$C$3:$AO$3=I$2),'Budget révisé'!$C$8:$AO$496)</f>
        <v>2693.25</v>
      </c>
      <c r="J342" s="303"/>
      <c r="K342" s="178"/>
      <c r="L342" s="281">
        <f>SUMIFS(BV_Data_An_Cour!$P:$P,BV_Data_An_Cour!$U:$U,$B342,BV_Data_An_Cour!$V:$V,$C342,BV_Data_An_Cour!$W:$W,$L$2)</f>
        <v>1987.23</v>
      </c>
      <c r="M342" s="303"/>
      <c r="N342" s="304">
        <f t="shared" si="179"/>
        <v>-706.02</v>
      </c>
      <c r="O342" s="303"/>
      <c r="P342" s="178"/>
      <c r="Q342" s="180">
        <f>SUMIFS(BV_Data_An_Prec!$P:$P,BV_Data_An_Prec!$U:$U,$B342,BV_Data_An_Prec!$V:$V,$C342,BV_Data_An_Prec!$W:$W,$L$2)</f>
        <v>3982.68</v>
      </c>
      <c r="R342" s="303"/>
      <c r="S342" s="199">
        <f t="shared" si="180"/>
        <v>-1995.4499999999998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7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741.4375</v>
      </c>
      <c r="G343" s="302"/>
      <c r="H343" s="178"/>
      <c r="I343" s="179">
        <f>+SUMPRODUCT(('Budget révisé'!$A$8:$A$496=$A343)*('Budget révisé'!$C$3:$AO$3=I$2),'Budget révisé'!$C$8:$AO$496)</f>
        <v>741.4375</v>
      </c>
      <c r="J343" s="303"/>
      <c r="K343" s="178"/>
      <c r="L343" s="281">
        <f>SUMIFS(BV_Data_An_Cour!$P:$P,BV_Data_An_Cour!$U:$U,$B343,BV_Data_An_Cour!$V:$V,$C343,BV_Data_An_Cour!$W:$W,$L$2)</f>
        <v>66.42</v>
      </c>
      <c r="M343" s="303"/>
      <c r="N343" s="304">
        <f t="shared" ref="N343:N347" si="188">L343-I343</f>
        <v>-675.01750000000004</v>
      </c>
      <c r="O343" s="303"/>
      <c r="P343" s="178"/>
      <c r="Q343" s="180">
        <f>SUMIFS(BV_Data_An_Prec!$P:$P,BV_Data_An_Prec!$U:$U,$B343,BV_Data_An_Prec!$V:$V,$C343,BV_Data_An_Prec!$W:$W,$L$2)</f>
        <v>975</v>
      </c>
      <c r="R343" s="303"/>
      <c r="S343" s="199">
        <f t="shared" ref="S343:S347" si="189">L343-Q343</f>
        <v>-908.58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7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4665.4182608205283</v>
      </c>
      <c r="G344" s="302"/>
      <c r="H344" s="178"/>
      <c r="I344" s="179">
        <f>+SUMPRODUCT(('Budget révisé'!$A$8:$A$496=$A344)*('Budget révisé'!$C$3:$AO$3=I$2),'Budget révisé'!$C$8:$AO$496)</f>
        <v>4665.4182608205283</v>
      </c>
      <c r="J344" s="303"/>
      <c r="K344" s="178"/>
      <c r="L344" s="985">
        <f>SUMIFS(BV_Data_An_Cour!$P:$P,BV_Data_An_Cour!$U:$U,$B344,BV_Data_An_Cour!$V:$V,$C344,BV_Data_An_Cour!$W:$W,$L$2)</f>
        <v>0</v>
      </c>
      <c r="M344" s="303"/>
      <c r="N344" s="304">
        <f t="shared" si="188"/>
        <v>-4665.4182608205283</v>
      </c>
      <c r="O344" s="303"/>
      <c r="P344" s="178"/>
      <c r="Q344" s="180">
        <f>SUMIFS(BV_Data_An_Prec!$P:$P,BV_Data_An_Prec!$U:$U,$B344,BV_Data_An_Prec!$V:$V,$C344,BV_Data_An_Prec!$W:$W,$L$2)</f>
        <v>0</v>
      </c>
      <c r="R344" s="303"/>
      <c r="S344" s="199">
        <f t="shared" si="189"/>
        <v>0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7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8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89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7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8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89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0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8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89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0.22744294363493275</v>
      </c>
      <c r="F348" s="41">
        <f>+SUM(F330:F347)</f>
        <v>68675.843263042028</v>
      </c>
      <c r="G348" s="42" t="s">
        <v>111</v>
      </c>
      <c r="H348" s="40">
        <f>I348/I$313</f>
        <v>0.22744294363493275</v>
      </c>
      <c r="I348" s="41">
        <f>+SUM(I330:I347)</f>
        <v>68675.843263042028</v>
      </c>
      <c r="J348" s="42" t="s">
        <v>111</v>
      </c>
      <c r="K348" s="40">
        <f>L348/L$313</f>
        <v>0.20720701819859019</v>
      </c>
      <c r="L348" s="41">
        <f>+SUM(L330:L347)</f>
        <v>50369.78</v>
      </c>
      <c r="M348" s="44"/>
      <c r="N348" s="41">
        <f>+SUM(N330:N347)</f>
        <v>-18306.06326304203</v>
      </c>
      <c r="O348" s="42" t="s">
        <v>111</v>
      </c>
      <c r="P348" s="40">
        <f>Q348/Q$313</f>
        <v>0.25027786704472593</v>
      </c>
      <c r="Q348" s="41">
        <f>+SUM(Q330:Q347)</f>
        <v>81509.829999999987</v>
      </c>
      <c r="R348" s="44"/>
      <c r="S348" s="316">
        <f>+SUM(S330:S347)</f>
        <v>-31140.05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0.62116458892534265</v>
      </c>
      <c r="F350" s="41">
        <f>F329+F348</f>
        <v>187559.13578950358</v>
      </c>
      <c r="G350" s="42" t="s">
        <v>111</v>
      </c>
      <c r="H350" s="40">
        <f>I350/I$313</f>
        <v>0.62116458892534265</v>
      </c>
      <c r="I350" s="41">
        <f>I329+I348</f>
        <v>187559.13578950358</v>
      </c>
      <c r="J350" s="42" t="s">
        <v>111</v>
      </c>
      <c r="K350" s="40">
        <f>L350/L$313</f>
        <v>0.68915907233378904</v>
      </c>
      <c r="L350" s="41">
        <f>L329+L348</f>
        <v>167527.1</v>
      </c>
      <c r="M350" s="44"/>
      <c r="N350" s="46">
        <f t="shared" ref="N350:N352" si="191">L350-I350</f>
        <v>-20032.03578950357</v>
      </c>
      <c r="O350" s="42" t="s">
        <v>111</v>
      </c>
      <c r="P350" s="40">
        <f>Q350/Q$313</f>
        <v>0.63348389544080652</v>
      </c>
      <c r="Q350" s="41">
        <f>Q329+Q348</f>
        <v>206311.34999999998</v>
      </c>
      <c r="R350" s="44"/>
      <c r="S350" s="299">
        <f>L350-Q350</f>
        <v>-38784.249999999971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1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114388.43033623736</v>
      </c>
      <c r="G352" s="344"/>
      <c r="H352" s="342"/>
      <c r="I352" s="343">
        <f>I313-I350</f>
        <v>114388.43033623736</v>
      </c>
      <c r="J352" s="345"/>
      <c r="K352" s="346"/>
      <c r="L352" s="343">
        <f>L313-L350</f>
        <v>75562.059999999969</v>
      </c>
      <c r="M352" s="345"/>
      <c r="N352" s="343">
        <f t="shared" si="191"/>
        <v>-38826.370336237393</v>
      </c>
      <c r="O352" s="345"/>
      <c r="P352" s="346"/>
      <c r="Q352" s="343">
        <f>Q313-Q350</f>
        <v>119365.98999999999</v>
      </c>
      <c r="R352" s="345"/>
      <c r="S352" s="347">
        <f>L352-Q352</f>
        <v>-43803.930000000022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1103">
        <v>0.25</v>
      </c>
      <c r="T353" s="25">
        <v>0.75</v>
      </c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hidden="1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23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hidden="1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hidden="1" customHeight="1" thickTop="1">
      <c r="B357" s="165"/>
      <c r="C357" s="263"/>
      <c r="D357" s="1134" t="s">
        <v>77</v>
      </c>
      <c r="E357" s="1135"/>
      <c r="F357" s="1136"/>
      <c r="G357" s="1137" t="s">
        <v>145</v>
      </c>
      <c r="H357" s="1135"/>
      <c r="I357" s="1136"/>
      <c r="J357" s="1137" t="s">
        <v>79</v>
      </c>
      <c r="K357" s="1135"/>
      <c r="L357" s="1136"/>
      <c r="M357" s="1137" t="s">
        <v>80</v>
      </c>
      <c r="N357" s="1136"/>
      <c r="O357" s="1134" t="s">
        <v>81</v>
      </c>
      <c r="P357" s="1135"/>
      <c r="Q357" s="1136"/>
      <c r="R357" s="1137" t="s">
        <v>82</v>
      </c>
      <c r="S357" s="1138"/>
      <c r="T357" s="23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hidden="1" customHeight="1" thickBot="1">
      <c r="A358" s="570" t="str">
        <f t="shared" ref="A358:A393" si="192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23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hidden="1" customHeight="1" thickTop="1">
      <c r="A359" s="570" t="str">
        <f t="shared" si="192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+SUMPRODUCT(('[6]Budget révisé'!$A$8:$A$496=$A359)*('[6]Budget révisé'!$C$3:$AO$3=G$2),'[6]Budget révisé'!$C$8:$AO$496)</f>
        <v>0</v>
      </c>
      <c r="H359" s="204">
        <f>IFERROR(I359/G359,0)</f>
        <v>0</v>
      </c>
      <c r="I359" s="203">
        <f>+SUMPRODUCT(('[6]Budget révisé'!$A$8:$A$496=$A359)*('[6]Budget révisé'!$C$3:$AO$3=I$2),'[6]Budget révisé'!$C$8:$AO$496)</f>
        <v>0</v>
      </c>
      <c r="J359" s="221" t="e">
        <f>-SUMIFS([6]BV_Data_An_Cour!$N:$N,[6]BV_Data_An_Cour!$Q:$Q,$B359,[6]BV_Data_An_Cour!$O:$O,"S",[6]BV_Data_An_Cour!$R:$R,$C359)</f>
        <v>#VALUE!</v>
      </c>
      <c r="K359" s="71" t="e">
        <f>IF(J359&lt;=0,0,L359/J359)</f>
        <v>#VALUE!</v>
      </c>
      <c r="L359" s="220" t="e">
        <f>J359-SUMIFS([6]BV_Data_An_Cour!$N:$N,[6]BV_Data_An_Cour!$Q:$Q,$B359,[6]BV_Data_An_Cour!$O:$O,"C",[6]BV_Data_An_Cour!$R:$R,$C359)</f>
        <v>#VALUE!</v>
      </c>
      <c r="M359" s="72">
        <f>IF(G359=0,0,(+J359-G359)/G359)</f>
        <v>0</v>
      </c>
      <c r="N359" s="73" t="e">
        <f>L359-I359</f>
        <v>#VALUE!</v>
      </c>
      <c r="O359" s="221" t="e">
        <f>-SUMIFS([6]BV_Data_An_Prec!$N:$N,[6]BV_Data_An_Prec!$Q:$Q,$B359,[6]BV_Data_An_Prec!$O:$O,"S",[6]BV_Data_An_Prec!$R:$R,$C359)</f>
        <v>#VALUE!</v>
      </c>
      <c r="P359" s="71" t="e">
        <f>IF(O359&lt;=0,0,Q359/O359)</f>
        <v>#VALUE!</v>
      </c>
      <c r="Q359" s="220" t="e">
        <f>O359-SUMIFS([6]BV_Data_An_Prec!$N:$N,[6]BV_Data_An_Prec!$Q:$Q,$B359,[6]BV_Data_An_Prec!$O:$O,"c",[6]BV_Data_An_Prec!$R:$R,$C359)</f>
        <v>#VALUE!</v>
      </c>
      <c r="R359" s="72" t="e">
        <f>IF(O359=0,0,(J359-O359)/O359)</f>
        <v>#VALUE!</v>
      </c>
      <c r="S359" s="270" t="e">
        <f>L359-Q359</f>
        <v>#VALUE!</v>
      </c>
      <c r="T359" s="23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hidden="1" customHeight="1" thickBot="1">
      <c r="A360" s="570" t="str">
        <f t="shared" si="192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23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hidden="1" customHeight="1" thickTop="1">
      <c r="A361" s="570" t="str">
        <f t="shared" si="192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3">+F359</f>
        <v>0</v>
      </c>
      <c r="G361" s="371">
        <f>+G359</f>
        <v>0</v>
      </c>
      <c r="H361" s="370">
        <f>IF(G361&lt;=0,0,I361/G361)</f>
        <v>0</v>
      </c>
      <c r="I361" s="372">
        <f t="shared" ref="I361:J361" si="194">+I359</f>
        <v>0</v>
      </c>
      <c r="J361" s="371" t="e">
        <f t="shared" si="194"/>
        <v>#VALUE!</v>
      </c>
      <c r="K361" s="370" t="e">
        <f>IF(J361&lt;=0,0,L361/J361)</f>
        <v>#VALUE!</v>
      </c>
      <c r="L361" s="372" t="e">
        <f>+L359</f>
        <v>#VALUE!</v>
      </c>
      <c r="M361" s="625">
        <f>IF(G361=0,0,(+J361-G361)/G361)</f>
        <v>0</v>
      </c>
      <c r="N361" s="1104" t="e">
        <f>L361-I361</f>
        <v>#VALUE!</v>
      </c>
      <c r="O361" s="371" t="e">
        <f t="shared" ref="O361" si="195">+O359</f>
        <v>#VALUE!</v>
      </c>
      <c r="P361" s="370" t="e">
        <f>IF(O361&lt;=0,0,Q361/O361)</f>
        <v>#VALUE!</v>
      </c>
      <c r="Q361" s="372" t="e">
        <f>+Q359</f>
        <v>#VALUE!</v>
      </c>
      <c r="R361" s="303" t="e">
        <f>IF(O361=0,0,(J361-O361)/O361)</f>
        <v>#VALUE!</v>
      </c>
      <c r="S361" s="333" t="e">
        <f>L361-Q361</f>
        <v>#VALUE!</v>
      </c>
      <c r="T361" s="23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hidden="1" customHeight="1">
      <c r="A362" s="570" t="str">
        <f t="shared" si="192"/>
        <v>Boutique</v>
      </c>
      <c r="B362" s="24" t="s">
        <v>191</v>
      </c>
      <c r="C362" s="276"/>
      <c r="D362" s="233"/>
      <c r="E362" s="233"/>
      <c r="F362" s="232"/>
      <c r="G362" s="303"/>
      <c r="H362" s="1105"/>
      <c r="I362" s="304"/>
      <c r="J362" s="303"/>
      <c r="K362" s="178"/>
      <c r="L362" s="312"/>
      <c r="M362" s="303"/>
      <c r="N362" s="274">
        <f>IF(H362=0,0,(+K362-H362)/H362)</f>
        <v>0</v>
      </c>
      <c r="O362" s="303"/>
      <c r="P362" s="178"/>
      <c r="Q362" s="312"/>
      <c r="R362" s="303"/>
      <c r="S362" s="391" t="e">
        <f>IF(Q361=0,0,S361/Q361)</f>
        <v>#VALUE!</v>
      </c>
      <c r="T362" s="23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hidden="1" customHeight="1">
      <c r="A363" s="570" t="str">
        <f t="shared" si="192"/>
        <v>BoutiqueDEPENSES</v>
      </c>
      <c r="B363" s="24" t="s">
        <v>191</v>
      </c>
      <c r="C363" s="276" t="s">
        <v>102</v>
      </c>
      <c r="D363" s="233"/>
      <c r="E363" s="233"/>
      <c r="F363" s="232"/>
      <c r="G363" s="303"/>
      <c r="H363" s="178"/>
      <c r="I363" s="304"/>
      <c r="J363" s="303"/>
      <c r="K363" s="178"/>
      <c r="L363" s="312"/>
      <c r="M363" s="303"/>
      <c r="N363" s="312"/>
      <c r="O363" s="303"/>
      <c r="P363" s="178"/>
      <c r="Q363" s="312"/>
      <c r="R363" s="303"/>
      <c r="S363" s="391"/>
      <c r="T363" s="23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hidden="1" customHeight="1">
      <c r="A364" s="570" t="str">
        <f t="shared" si="192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303"/>
      <c r="H364" s="178"/>
      <c r="I364" s="179">
        <f>+SUMPRODUCT(('[6]Budget révisé'!$A$8:$A$496=$A364)*('[6]Budget révisé'!$C$3:$AO$3=I$2),'[6]Budget révisé'!$C$8:$AO$496)</f>
        <v>0</v>
      </c>
      <c r="J364" s="303"/>
      <c r="K364" s="178"/>
      <c r="L364" s="180" t="e">
        <f>SUMIFS([6]BV_Data_An_Cour!$N:$N,[6]BV_Data_An_Cour!$Q:$Q,$B364,[6]BV_Data_An_Cour!$R:$R,$C364)</f>
        <v>#VALUE!</v>
      </c>
      <c r="M364" s="303"/>
      <c r="N364" s="312"/>
      <c r="O364" s="303"/>
      <c r="P364" s="178"/>
      <c r="Q364" s="180" t="e">
        <f>SUMIFS([6]BV_Data_An_Prec!$N:$N,[6]BV_Data_An_Prec!$Q:$Q,$B364,[6]BV_Data_An_Prec!$R:$R,$C364)</f>
        <v>#VALUE!</v>
      </c>
      <c r="R364" s="303"/>
      <c r="S364" s="399" t="e">
        <f>L364-Q364</f>
        <v>#VALUE!</v>
      </c>
      <c r="T364" s="23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hidden="1" customHeight="1">
      <c r="A365" s="570" t="str">
        <f t="shared" si="192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302"/>
      <c r="H365" s="178"/>
      <c r="I365" s="177">
        <f>+SUMPRODUCT(('[6]Budget révisé'!$A$8:$A$496=$A365)*('[6]Budget révisé'!$C$3:$AO$3=I$2),'[6]Budget révisé'!$C$8:$AO$496)</f>
        <v>0</v>
      </c>
      <c r="J365" s="303"/>
      <c r="K365" s="178"/>
      <c r="L365" s="177" t="e">
        <f>SUMIFS([6]BV_Data_An_Cour!$N:$N,[6]BV_Data_An_Cour!$Q:$Q,$B365,[6]BV_Data_An_Cour!$R:$R,$C365)</f>
        <v>#VALUE!</v>
      </c>
      <c r="M365" s="303"/>
      <c r="N365" s="304" t="e">
        <f t="shared" ref="N365:N393" si="196">L365-I365</f>
        <v>#VALUE!</v>
      </c>
      <c r="O365" s="303"/>
      <c r="P365" s="178"/>
      <c r="Q365" s="177" t="e">
        <f>SUMIFS([6]BV_Data_An_Prec!$N:$N,[6]BV_Data_An_Prec!$Q:$Q,$B365,[6]BV_Data_An_Prec!$R:$R,$C365)</f>
        <v>#VALUE!</v>
      </c>
      <c r="R365" s="303"/>
      <c r="S365" s="199" t="e">
        <f t="shared" ref="S365:S393" si="197">L365-Q365</f>
        <v>#VALUE!</v>
      </c>
      <c r="T365" s="23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hidden="1" customHeight="1">
      <c r="A366" s="570" t="str">
        <f t="shared" si="192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393"/>
      <c r="H366" s="352"/>
      <c r="I366" s="179">
        <f>+SUMPRODUCT(('[6]Budget révisé'!$A$8:$A$496=$A366)*('[6]Budget révisé'!$C$3:$AO$3=I$2),'[6]Budget révisé'!$C$8:$AO$496)</f>
        <v>0</v>
      </c>
      <c r="J366" s="368"/>
      <c r="K366" s="352"/>
      <c r="L366" s="180" t="e">
        <f>SUMIFS([6]BV_Data_An_Cour!$N:$N,[6]BV_Data_An_Cour!$Q:$Q,$B366,[6]BV_Data_An_Cour!$R:$R,$C366)</f>
        <v>#VALUE!</v>
      </c>
      <c r="M366" s="368"/>
      <c r="N366" s="356" t="e">
        <f t="shared" si="196"/>
        <v>#VALUE!</v>
      </c>
      <c r="O366" s="368"/>
      <c r="P366" s="352"/>
      <c r="Q366" s="180" t="e">
        <f>SUMIFS([6]BV_Data_An_Prec!$N:$N,[6]BV_Data_An_Prec!$Q:$Q,$B366,[6]BV_Data_An_Prec!$R:$R,$C366)</f>
        <v>#VALUE!</v>
      </c>
      <c r="R366" s="368"/>
      <c r="S366" s="201" t="e">
        <f t="shared" si="197"/>
        <v>#VALUE!</v>
      </c>
      <c r="T366" s="23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hidden="1" customHeight="1">
      <c r="A367" s="570" t="str">
        <f t="shared" si="192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302"/>
      <c r="H367" s="178"/>
      <c r="I367" s="179">
        <f>+SUMPRODUCT(('[6]Budget révisé'!$A$8:$A$496=$A367)*('[6]Budget révisé'!$C$3:$AO$3=I$2),'[6]Budget révisé'!$C$8:$AO$496)</f>
        <v>0</v>
      </c>
      <c r="J367" s="303"/>
      <c r="K367" s="178"/>
      <c r="L367" s="180" t="e">
        <f>SUMIFS([6]BV_Data_An_Cour!$N:$N,[6]BV_Data_An_Cour!$Q:$Q,$B367,[6]BV_Data_An_Cour!$R:$R,$C367)</f>
        <v>#VALUE!</v>
      </c>
      <c r="M367" s="303"/>
      <c r="N367" s="304" t="e">
        <f t="shared" si="196"/>
        <v>#VALUE!</v>
      </c>
      <c r="O367" s="303"/>
      <c r="P367" s="178"/>
      <c r="Q367" s="180" t="e">
        <f>SUMIFS([6]BV_Data_An_Prec!$N:$N,[6]BV_Data_An_Prec!$Q:$Q,$B367,[6]BV_Data_An_Prec!$R:$R,$C367)</f>
        <v>#VALUE!</v>
      </c>
      <c r="R367" s="303"/>
      <c r="S367" s="199" t="e">
        <f t="shared" si="197"/>
        <v>#VALUE!</v>
      </c>
      <c r="T367" s="23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192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302"/>
      <c r="H368" s="178"/>
      <c r="I368" s="179">
        <f>+SUMPRODUCT(('[6]Budget révisé'!$A$8:$A$496=$A368)*('[6]Budget révisé'!$C$3:$AO$3=I$2),'[6]Budget révisé'!$C$8:$AO$496)</f>
        <v>0</v>
      </c>
      <c r="J368" s="303"/>
      <c r="K368" s="178"/>
      <c r="L368" s="180" t="e">
        <f>SUMIFS([6]BV_Data_An_Cour!$N:$N,[6]BV_Data_An_Cour!$Q:$Q,$B368,[6]BV_Data_An_Cour!$R:$R,$C368)</f>
        <v>#VALUE!</v>
      </c>
      <c r="M368" s="303"/>
      <c r="N368" s="304" t="e">
        <f t="shared" si="196"/>
        <v>#VALUE!</v>
      </c>
      <c r="O368" s="303"/>
      <c r="P368" s="178"/>
      <c r="Q368" s="180" t="e">
        <f>SUMIFS([6]BV_Data_An_Prec!$N:$N,[6]BV_Data_An_Prec!$Q:$Q,$B368,[6]BV_Data_An_Prec!$R:$R,$C368)</f>
        <v>#VALUE!</v>
      </c>
      <c r="R368" s="303"/>
      <c r="S368" s="199" t="e">
        <f t="shared" si="197"/>
        <v>#VALUE!</v>
      </c>
      <c r="T368" s="23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192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302"/>
      <c r="H369" s="178"/>
      <c r="I369" s="179">
        <f>+SUMPRODUCT(('[6]Budget révisé'!$A$8:$A$496=$A369)*('[6]Budget révisé'!$C$3:$AO$3=I$2),'[6]Budget révisé'!$C$8:$AO$496)</f>
        <v>0</v>
      </c>
      <c r="J369" s="303"/>
      <c r="K369" s="178"/>
      <c r="L369" s="180" t="e">
        <f>SUMIFS([6]BV_Data_An_Cour!$N:$N,[6]BV_Data_An_Cour!$Q:$Q,$B369,[6]BV_Data_An_Cour!$R:$R,$C369)</f>
        <v>#VALUE!</v>
      </c>
      <c r="M369" s="303"/>
      <c r="N369" s="304" t="e">
        <f t="shared" si="196"/>
        <v>#VALUE!</v>
      </c>
      <c r="O369" s="303"/>
      <c r="P369" s="178"/>
      <c r="Q369" s="180" t="e">
        <f>SUMIFS([6]BV_Data_An_Prec!$N:$N,[6]BV_Data_An_Prec!$Q:$Q,$B369,[6]BV_Data_An_Prec!$R:$R,$C369)</f>
        <v>#VALUE!</v>
      </c>
      <c r="R369" s="303"/>
      <c r="S369" s="199" t="e">
        <f t="shared" si="197"/>
        <v>#VALUE!</v>
      </c>
      <c r="T369" s="23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192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302"/>
      <c r="H370" s="178"/>
      <c r="I370" s="179">
        <f>+SUMPRODUCT(('[6]Budget révisé'!$A$8:$A$496=$A370)*('[6]Budget révisé'!$C$3:$AO$3=I$2),'[6]Budget révisé'!$C$8:$AO$496)</f>
        <v>0</v>
      </c>
      <c r="J370" s="303"/>
      <c r="K370" s="178"/>
      <c r="L370" s="180" t="e">
        <f>SUMIFS([6]BV_Data_An_Cour!$N:$N,[6]BV_Data_An_Cour!$Q:$Q,$B370,[6]BV_Data_An_Cour!$R:$R,$C370)</f>
        <v>#VALUE!</v>
      </c>
      <c r="M370" s="303"/>
      <c r="N370" s="304" t="e">
        <f t="shared" si="196"/>
        <v>#VALUE!</v>
      </c>
      <c r="O370" s="303"/>
      <c r="P370" s="178"/>
      <c r="Q370" s="180" t="e">
        <f>SUMIFS([6]BV_Data_An_Prec!$N:$N,[6]BV_Data_An_Prec!$Q:$Q,$B370,[6]BV_Data_An_Prec!$R:$R,$C370)</f>
        <v>#VALUE!</v>
      </c>
      <c r="R370" s="303"/>
      <c r="S370" s="199" t="e">
        <f t="shared" si="197"/>
        <v>#VALUE!</v>
      </c>
      <c r="T370" s="23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hidden="1" customHeight="1">
      <c r="A371" s="570" t="str">
        <f t="shared" si="192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302"/>
      <c r="H371" s="178"/>
      <c r="I371" s="177">
        <f>+SUMPRODUCT(('[6]Budget révisé'!$A$8:$A$496=$A371)*('[6]Budget révisé'!$C$3:$AO$3=I$2),'[6]Budget révisé'!$C$8:$AO$496)</f>
        <v>0</v>
      </c>
      <c r="J371" s="303"/>
      <c r="K371" s="178"/>
      <c r="L371" s="177" t="e">
        <f>SUMIFS([6]BV_Data_An_Cour!$N:$N,[6]BV_Data_An_Cour!$Q:$Q,$B371,[6]BV_Data_An_Cour!$R:$R,$C371)</f>
        <v>#VALUE!</v>
      </c>
      <c r="M371" s="303"/>
      <c r="N371" s="304" t="e">
        <f t="shared" si="196"/>
        <v>#VALUE!</v>
      </c>
      <c r="O371" s="303"/>
      <c r="P371" s="178"/>
      <c r="Q371" s="177" t="e">
        <f>SUMIFS([6]BV_Data_An_Prec!$N:$N,[6]BV_Data_An_Prec!$Q:$Q,$B371,[6]BV_Data_An_Prec!$R:$R,$C371)</f>
        <v>#VALUE!</v>
      </c>
      <c r="R371" s="303"/>
      <c r="S371" s="199" t="e">
        <f t="shared" si="197"/>
        <v>#VALUE!</v>
      </c>
      <c r="T371" s="23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hidden="1" customHeight="1">
      <c r="A372" s="570" t="str">
        <f t="shared" si="192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393"/>
      <c r="H372" s="352"/>
      <c r="I372" s="179">
        <f>+SUMPRODUCT(('[6]Budget révisé'!$A$8:$A$496=$A372)*('[6]Budget révisé'!$C$3:$AO$3=I$2),'[6]Budget révisé'!$C$8:$AO$496)</f>
        <v>0</v>
      </c>
      <c r="J372" s="368"/>
      <c r="K372" s="352"/>
      <c r="L372" s="180" t="e">
        <f>SUMIFS([6]BV_Data_An_Cour!$N:$N,[6]BV_Data_An_Cour!$Q:$Q,$B372,[6]BV_Data_An_Cour!$R:$R,$C372)</f>
        <v>#VALUE!</v>
      </c>
      <c r="M372" s="368"/>
      <c r="N372" s="356" t="e">
        <f t="shared" si="196"/>
        <v>#VALUE!</v>
      </c>
      <c r="O372" s="368"/>
      <c r="P372" s="352"/>
      <c r="Q372" s="180" t="e">
        <f>SUMIFS([6]BV_Data_An_Prec!$N:$N,[6]BV_Data_An_Prec!$Q:$Q,$B372,[6]BV_Data_An_Prec!$R:$R,$C372)</f>
        <v>#VALUE!</v>
      </c>
      <c r="R372" s="368"/>
      <c r="S372" s="201" t="e">
        <f t="shared" si="197"/>
        <v>#VALUE!</v>
      </c>
      <c r="T372" s="23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hidden="1" customHeight="1">
      <c r="A373" s="570" t="str">
        <f t="shared" si="192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302"/>
      <c r="H373" s="178"/>
      <c r="I373" s="179">
        <f>+SUMPRODUCT(('[6]Budget révisé'!$A$8:$A$496=$A373)*('[6]Budget révisé'!$C$3:$AO$3=I$2),'[6]Budget révisé'!$C$8:$AO$496)</f>
        <v>0</v>
      </c>
      <c r="J373" s="303"/>
      <c r="K373" s="178"/>
      <c r="L373" s="180" t="e">
        <f>SUMIFS([6]BV_Data_An_Cour!$N:$N,[6]BV_Data_An_Cour!$Q:$Q,$B373,[6]BV_Data_An_Cour!$R:$R,$C373)</f>
        <v>#VALUE!</v>
      </c>
      <c r="M373" s="303"/>
      <c r="N373" s="304" t="e">
        <f t="shared" si="196"/>
        <v>#VALUE!</v>
      </c>
      <c r="O373" s="303"/>
      <c r="P373" s="178"/>
      <c r="Q373" s="180" t="e">
        <f>SUMIFS([6]BV_Data_An_Prec!$N:$N,[6]BV_Data_An_Prec!$Q:$Q,$B373,[6]BV_Data_An_Prec!$R:$R,$C373)</f>
        <v>#VALUE!</v>
      </c>
      <c r="R373" s="303"/>
      <c r="S373" s="199" t="e">
        <f t="shared" si="197"/>
        <v>#VALUE!</v>
      </c>
      <c r="T373" s="23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hidden="1" customHeight="1">
      <c r="A374" s="570" t="str">
        <f t="shared" si="192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302"/>
      <c r="H374" s="178"/>
      <c r="I374" s="179">
        <f>+SUMPRODUCT(('[6]Budget révisé'!$A$8:$A$496=$A374)*('[6]Budget révisé'!$C$3:$AO$3=I$2),'[6]Budget révisé'!$C$8:$AO$496)</f>
        <v>0</v>
      </c>
      <c r="J374" s="303"/>
      <c r="K374" s="178"/>
      <c r="L374" s="180" t="e">
        <f>SUMIFS([6]BV_Data_An_Cour!$N:$N,[6]BV_Data_An_Cour!$Q:$Q,$B374,[6]BV_Data_An_Cour!$R:$R,$C374)</f>
        <v>#VALUE!</v>
      </c>
      <c r="M374" s="303"/>
      <c r="N374" s="304" t="e">
        <f t="shared" si="196"/>
        <v>#VALUE!</v>
      </c>
      <c r="O374" s="303"/>
      <c r="P374" s="178"/>
      <c r="Q374" s="180" t="e">
        <f>SUMIFS([6]BV_Data_An_Prec!$N:$N,[6]BV_Data_An_Prec!$Q:$Q,$B374,[6]BV_Data_An_Prec!$R:$R,$C374)</f>
        <v>#VALUE!</v>
      </c>
      <c r="R374" s="303"/>
      <c r="S374" s="199" t="e">
        <f t="shared" si="197"/>
        <v>#VALUE!</v>
      </c>
      <c r="T374" s="23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192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309"/>
      <c r="H375" s="308"/>
      <c r="I375" s="179">
        <f>+SUMPRODUCT(('[6]Budget révisé'!$A$8:$A$496=$A375)*('[6]Budget révisé'!$C$3:$AO$3=I$2),'[6]Budget révisé'!$C$8:$AO$496)</f>
        <v>0</v>
      </c>
      <c r="J375" s="310"/>
      <c r="K375" s="308"/>
      <c r="L375" s="180" t="e">
        <f>SUMIFS([6]BV_Data_An_Cour!$N:$N,[6]BV_Data_An_Cour!$Q:$Q,$B375,[6]BV_Data_An_Cour!$R:$R,$C375)</f>
        <v>#VALUE!</v>
      </c>
      <c r="M375" s="310"/>
      <c r="N375" s="311" t="e">
        <f t="shared" si="196"/>
        <v>#VALUE!</v>
      </c>
      <c r="O375" s="310"/>
      <c r="P375" s="308"/>
      <c r="Q375" s="180" t="e">
        <f>SUMIFS([6]BV_Data_An_Prec!$N:$N,[6]BV_Data_An_Prec!$Q:$Q,$B375,[6]BV_Data_An_Prec!$R:$R,$C375)</f>
        <v>#VALUE!</v>
      </c>
      <c r="R375" s="310"/>
      <c r="S375" s="202" t="e">
        <f t="shared" si="197"/>
        <v>#VALUE!</v>
      </c>
      <c r="T375" s="23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hidden="1" customHeight="1">
      <c r="A376" s="570" t="str">
        <f t="shared" si="192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 t="e">
        <f>+SUM(L364:L375)</f>
        <v>#VALUE!</v>
      </c>
      <c r="M376" s="43"/>
      <c r="N376" s="46" t="e">
        <f t="shared" si="196"/>
        <v>#VALUE!</v>
      </c>
      <c r="O376" s="42" t="s">
        <v>111</v>
      </c>
      <c r="P376" s="40">
        <f>IFERROR(Q376/Q$359,0)</f>
        <v>0</v>
      </c>
      <c r="Q376" s="41" t="e">
        <f>+SUM(Q364:Q375)</f>
        <v>#VALUE!</v>
      </c>
      <c r="R376" s="43"/>
      <c r="S376" s="299" t="e">
        <f t="shared" si="197"/>
        <v>#VALUE!</v>
      </c>
      <c r="T376" s="23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hidden="1" customHeight="1">
      <c r="A377" s="570" t="str">
        <f t="shared" si="192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+SUMPRODUCT(('[6]Budget révisé'!$A$8:$A$496=$A377)*('[6]Budget révisé'!$C$3:$AO$3=I$2),'[6]Budget révisé'!$C$8:$AO$496)</f>
        <v>0</v>
      </c>
      <c r="J377" s="303"/>
      <c r="K377" s="178"/>
      <c r="L377" s="180" t="e">
        <f>SUMIFS([6]BV_Data_An_Cour!$N:$N,[6]BV_Data_An_Cour!$Q:$Q,$B377,[6]BV_Data_An_Cour!$R:$R,$C377)</f>
        <v>#VALUE!</v>
      </c>
      <c r="M377" s="303"/>
      <c r="N377" s="304" t="e">
        <f t="shared" si="196"/>
        <v>#VALUE!</v>
      </c>
      <c r="O377" s="303"/>
      <c r="P377" s="178"/>
      <c r="Q377" s="180" t="e">
        <f>SUMIFS([6]BV_Data_An_Prec!$N:$N,[6]BV_Data_An_Prec!$Q:$Q,$B377,[6]BV_Data_An_Prec!$R:$R,$C377)</f>
        <v>#VALUE!</v>
      </c>
      <c r="R377" s="303"/>
      <c r="S377" s="199" t="e">
        <f t="shared" si="197"/>
        <v>#VALUE!</v>
      </c>
      <c r="T377" s="23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hidden="1" customHeight="1">
      <c r="A378" s="570" t="str">
        <f t="shared" si="192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+SUMPRODUCT(('[6]Budget révisé'!$A$8:$A$496=$A378)*('[6]Budget révisé'!$C$3:$AO$3=I$2),'[6]Budget révisé'!$C$8:$AO$496)</f>
        <v>0</v>
      </c>
      <c r="J378" s="303"/>
      <c r="K378" s="178"/>
      <c r="L378" s="180" t="e">
        <f>SUMIFS([6]BV_Data_An_Cour!$N:$N,[6]BV_Data_An_Cour!$Q:$Q,$B378,[6]BV_Data_An_Cour!$R:$R,$C378)</f>
        <v>#VALUE!</v>
      </c>
      <c r="M378" s="303"/>
      <c r="N378" s="304" t="e">
        <f t="shared" si="196"/>
        <v>#VALUE!</v>
      </c>
      <c r="O378" s="303"/>
      <c r="P378" s="178"/>
      <c r="Q378" s="180" t="e">
        <f>SUMIFS([6]BV_Data_An_Prec!$N:$N,[6]BV_Data_An_Prec!$Q:$Q,$B378,[6]BV_Data_An_Prec!$R:$R,$C378)</f>
        <v>#VALUE!</v>
      </c>
      <c r="R378" s="303"/>
      <c r="S378" s="199" t="e">
        <f t="shared" si="197"/>
        <v>#VALUE!</v>
      </c>
      <c r="T378" s="23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hidden="1" customHeight="1">
      <c r="A379" s="570" t="str">
        <f t="shared" si="192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+SUMPRODUCT(('[6]Budget révisé'!$A$8:$A$496=$A379)*('[6]Budget révisé'!$C$3:$AO$3=I$2),'[6]Budget révisé'!$C$8:$AO$496)</f>
        <v>0</v>
      </c>
      <c r="J379" s="310"/>
      <c r="K379" s="308"/>
      <c r="L379" s="177" t="e">
        <f>SUMIFS([6]BV_Data_An_Cour!$N:$N,[6]BV_Data_An_Cour!$Q:$Q,$B379,[6]BV_Data_An_Cour!$R:$R,$C379)</f>
        <v>#VALUE!</v>
      </c>
      <c r="M379" s="310"/>
      <c r="N379" s="311" t="e">
        <f t="shared" si="196"/>
        <v>#VALUE!</v>
      </c>
      <c r="O379" s="310"/>
      <c r="P379" s="308"/>
      <c r="Q379" s="177" t="e">
        <f>SUMIFS([6]BV_Data_An_Prec!$N:$N,[6]BV_Data_An_Prec!$Q:$Q,$B379,[6]BV_Data_An_Prec!$R:$R,$C379)</f>
        <v>#VALUE!</v>
      </c>
      <c r="R379" s="310"/>
      <c r="S379" s="202" t="e">
        <f t="shared" si="197"/>
        <v>#VALUE!</v>
      </c>
      <c r="T379" s="23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hidden="1" customHeight="1">
      <c r="A380" s="570" t="str">
        <f t="shared" si="192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+SUMPRODUCT(('[6]Budget révisé'!$A$8:$A$496=$A380)*('[6]Budget révisé'!$C$3:$AO$3=I$2),'[6]Budget révisé'!$C$8:$AO$496)</f>
        <v>0</v>
      </c>
      <c r="J380" s="303"/>
      <c r="K380" s="178"/>
      <c r="L380" s="180" t="e">
        <f>SUMIFS([6]BV_Data_An_Cour!$N:$N,[6]BV_Data_An_Cour!$Q:$Q,$B380,[6]BV_Data_An_Cour!$R:$R,$C380)</f>
        <v>#VALUE!</v>
      </c>
      <c r="M380" s="303"/>
      <c r="N380" s="304" t="e">
        <f t="shared" si="196"/>
        <v>#VALUE!</v>
      </c>
      <c r="O380" s="303"/>
      <c r="P380" s="178"/>
      <c r="Q380" s="180" t="e">
        <f>SUMIFS([6]BV_Data_An_Prec!$N:$N,[6]BV_Data_An_Prec!$Q:$Q,$B380,[6]BV_Data_An_Prec!$R:$R,$C380)</f>
        <v>#VALUE!</v>
      </c>
      <c r="R380" s="303"/>
      <c r="S380" s="199" t="e">
        <f t="shared" si="197"/>
        <v>#VALUE!</v>
      </c>
      <c r="T380" s="23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hidden="1" customHeight="1">
      <c r="A381" s="570" t="str">
        <f t="shared" si="192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+SUMPRODUCT(('[6]Budget révisé'!$A$8:$A$496=$A381)*('[6]Budget révisé'!$C$3:$AO$3=I$2),'[6]Budget révisé'!$C$8:$AO$496)</f>
        <v>0</v>
      </c>
      <c r="J381" s="303"/>
      <c r="K381" s="178"/>
      <c r="L381" s="180" t="e">
        <f>SUMIFS([6]BV_Data_An_Cour!$N:$N,[6]BV_Data_An_Cour!$Q:$Q,$B381,[6]BV_Data_An_Cour!$R:$R,$C381)</f>
        <v>#VALUE!</v>
      </c>
      <c r="M381" s="303"/>
      <c r="N381" s="304" t="e">
        <f t="shared" si="196"/>
        <v>#VALUE!</v>
      </c>
      <c r="O381" s="303"/>
      <c r="P381" s="178"/>
      <c r="Q381" s="180" t="e">
        <f>SUMIFS([6]BV_Data_An_Prec!$N:$N,[6]BV_Data_An_Prec!$Q:$Q,$B381,[6]BV_Data_An_Prec!$R:$R,$C381)</f>
        <v>#VALUE!</v>
      </c>
      <c r="R381" s="303"/>
      <c r="S381" s="199" t="e">
        <f t="shared" si="197"/>
        <v>#VALUE!</v>
      </c>
      <c r="T381" s="23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hidden="1" customHeight="1">
      <c r="A382" s="570" t="str">
        <f t="shared" si="192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+SUMPRODUCT(('[6]Budget révisé'!$A$8:$A$496=$A382)*('[6]Budget révisé'!$C$3:$AO$3=I$2),'[6]Budget révisé'!$C$8:$AO$496)</f>
        <v>0</v>
      </c>
      <c r="J382" s="310"/>
      <c r="K382" s="308"/>
      <c r="L382" s="177" t="e">
        <f>SUMIFS([6]BV_Data_An_Cour!$N:$N,[6]BV_Data_An_Cour!$Q:$Q,$B382,[6]BV_Data_An_Cour!$R:$R,$C382)</f>
        <v>#VALUE!</v>
      </c>
      <c r="M382" s="310"/>
      <c r="N382" s="311" t="e">
        <f t="shared" si="196"/>
        <v>#VALUE!</v>
      </c>
      <c r="O382" s="310"/>
      <c r="P382" s="308"/>
      <c r="Q382" s="177" t="e">
        <f>SUMIFS([6]BV_Data_An_Prec!$N:$N,[6]BV_Data_An_Prec!$Q:$Q,$B382,[6]BV_Data_An_Prec!$R:$R,$C382)</f>
        <v>#VALUE!</v>
      </c>
      <c r="R382" s="310"/>
      <c r="S382" s="202" t="e">
        <f t="shared" si="197"/>
        <v>#VALUE!</v>
      </c>
      <c r="T382" s="23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 customHeight="1">
      <c r="A383" s="570" t="str">
        <f t="shared" si="192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+SUMPRODUCT(('[6]Budget révisé'!$A$8:$A$496=$A383)*('[6]Budget révisé'!$C$3:$AO$3=I$2),'[6]Budget révisé'!$C$8:$AO$496)</f>
        <v>0</v>
      </c>
      <c r="J383" s="303"/>
      <c r="K383" s="178"/>
      <c r="L383" s="180" t="e">
        <f>SUMIFS([6]BV_Data_An_Cour!$N:$N,[6]BV_Data_An_Cour!$Q:$Q,$B383,[6]BV_Data_An_Cour!$R:$R,$C383)</f>
        <v>#VALUE!</v>
      </c>
      <c r="M383" s="303"/>
      <c r="N383" s="304" t="e">
        <f t="shared" si="196"/>
        <v>#VALUE!</v>
      </c>
      <c r="O383" s="303"/>
      <c r="P383" s="178"/>
      <c r="Q383" s="180" t="e">
        <f>SUMIFS([6]BV_Data_An_Prec!$N:$N,[6]BV_Data_An_Prec!$Q:$Q,$B383,[6]BV_Data_An_Prec!$R:$R,$C383)</f>
        <v>#VALUE!</v>
      </c>
      <c r="R383" s="303"/>
      <c r="S383" s="199" t="e">
        <f t="shared" si="197"/>
        <v>#VALUE!</v>
      </c>
      <c r="T383" s="23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 customHeight="1">
      <c r="A384" s="570" t="str">
        <f t="shared" si="192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+SUMPRODUCT(('[6]Budget révisé'!$A$8:$A$496=$A384)*('[6]Budget révisé'!$C$3:$AO$3=I$2),'[6]Budget révisé'!$C$8:$AO$496)</f>
        <v>0</v>
      </c>
      <c r="J384" s="303"/>
      <c r="K384" s="178"/>
      <c r="L384" s="180" t="e">
        <f>SUMIFS([6]BV_Data_An_Cour!$N:$N,[6]BV_Data_An_Cour!$Q:$Q,$B384,[6]BV_Data_An_Cour!$R:$R,$C384)</f>
        <v>#VALUE!</v>
      </c>
      <c r="M384" s="303"/>
      <c r="N384" s="304" t="e">
        <f t="shared" si="196"/>
        <v>#VALUE!</v>
      </c>
      <c r="O384" s="303"/>
      <c r="P384" s="178"/>
      <c r="Q384" s="180" t="e">
        <f>SUMIFS([6]BV_Data_An_Prec!$N:$N,[6]BV_Data_An_Prec!$Q:$Q,$B384,[6]BV_Data_An_Prec!$R:$R,$C384)</f>
        <v>#VALUE!</v>
      </c>
      <c r="R384" s="303"/>
      <c r="S384" s="199" t="e">
        <f t="shared" si="197"/>
        <v>#VALUE!</v>
      </c>
      <c r="T384" s="23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 customHeight="1">
      <c r="A385" s="570" t="str">
        <f t="shared" si="192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+SUMPRODUCT(('[6]Budget révisé'!$A$8:$A$496=$A385)*('[6]Budget révisé'!$C$3:$AO$3=I$2),'[6]Budget révisé'!$C$8:$AO$496)</f>
        <v>0</v>
      </c>
      <c r="J385" s="303"/>
      <c r="K385" s="178"/>
      <c r="L385" s="180" t="e">
        <f>SUMIFS([6]BV_Data_An_Cour!$N:$N,[6]BV_Data_An_Cour!$Q:$Q,$B385,[6]BV_Data_An_Cour!$R:$R,$C385)</f>
        <v>#VALUE!</v>
      </c>
      <c r="M385" s="303"/>
      <c r="N385" s="304" t="e">
        <f t="shared" si="196"/>
        <v>#VALUE!</v>
      </c>
      <c r="O385" s="303"/>
      <c r="P385" s="178"/>
      <c r="Q385" s="180" t="e">
        <f>SUMIFS([6]BV_Data_An_Prec!$N:$N,[6]BV_Data_An_Prec!$Q:$Q,$B385,[6]BV_Data_An_Prec!$R:$R,$C385)</f>
        <v>#VALUE!</v>
      </c>
      <c r="R385" s="303"/>
      <c r="S385" s="199" t="e">
        <f t="shared" si="197"/>
        <v>#VALUE!</v>
      </c>
      <c r="T385" s="23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 customHeight="1">
      <c r="A386" s="570" t="str">
        <f t="shared" si="192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+SUMPRODUCT(('[6]Budget révisé'!$A$8:$A$496=$A386)*('[6]Budget révisé'!$C$3:$AO$3=I$2),'[6]Budget révisé'!$C$8:$AO$496)</f>
        <v>0</v>
      </c>
      <c r="J386" s="303"/>
      <c r="K386" s="178"/>
      <c r="L386" s="180" t="e">
        <f>SUMIFS([6]BV_Data_An_Cour!$N:$N,[6]BV_Data_An_Cour!$Q:$Q,$B386,[6]BV_Data_An_Cour!$R:$R,$C386)</f>
        <v>#VALUE!</v>
      </c>
      <c r="M386" s="303"/>
      <c r="N386" s="304" t="e">
        <f t="shared" si="196"/>
        <v>#VALUE!</v>
      </c>
      <c r="O386" s="303"/>
      <c r="P386" s="178"/>
      <c r="Q386" s="180" t="e">
        <f>SUMIFS([6]BV_Data_An_Prec!$N:$N,[6]BV_Data_An_Prec!$Q:$Q,$B386,[6]BV_Data_An_Prec!$R:$R,$C386)</f>
        <v>#VALUE!</v>
      </c>
      <c r="R386" s="303"/>
      <c r="S386" s="199" t="e">
        <f t="shared" si="197"/>
        <v>#VALUE!</v>
      </c>
      <c r="T386" s="23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 customHeight="1">
      <c r="A387" s="570" t="str">
        <f t="shared" si="192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+SUMPRODUCT(('[6]Budget révisé'!$A$8:$A$496=$A387)*('[6]Budget révisé'!$C$3:$AO$3=I$2),'[6]Budget révisé'!$C$8:$AO$496)</f>
        <v>0</v>
      </c>
      <c r="J387" s="303"/>
      <c r="K387" s="178"/>
      <c r="L387" s="180" t="e">
        <f>SUMIFS([6]BV_Data_An_Cour!$N:$N,[6]BV_Data_An_Cour!$Q:$Q,$B387,[6]BV_Data_An_Cour!$R:$R,$C387)</f>
        <v>#VALUE!</v>
      </c>
      <c r="M387" s="303"/>
      <c r="N387" s="304" t="e">
        <f t="shared" si="196"/>
        <v>#VALUE!</v>
      </c>
      <c r="O387" s="303"/>
      <c r="P387" s="178"/>
      <c r="Q387" s="180" t="e">
        <f>SUMIFS([6]BV_Data_An_Prec!$N:$N,[6]BV_Data_An_Prec!$Q:$Q,$B387,[6]BV_Data_An_Prec!$R:$R,$C387)</f>
        <v>#VALUE!</v>
      </c>
      <c r="R387" s="303"/>
      <c r="S387" s="199" t="e">
        <f t="shared" si="197"/>
        <v>#VALUE!</v>
      </c>
      <c r="T387" s="23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 customHeight="1">
      <c r="A388" s="570" t="str">
        <f t="shared" si="192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+SUMPRODUCT(('[6]Budget révisé'!$A$8:$A$496=$A388)*('[6]Budget révisé'!$C$3:$AO$3=I$2),'[6]Budget révisé'!$C$8:$AO$496)</f>
        <v>0</v>
      </c>
      <c r="J388" s="303"/>
      <c r="K388" s="178"/>
      <c r="L388" s="180" t="e">
        <f>SUMIFS([6]BV_Data_An_Cour!$N:$N,[6]BV_Data_An_Cour!$Q:$Q,$B388,[6]BV_Data_An_Cour!$R:$R,$C388)</f>
        <v>#VALUE!</v>
      </c>
      <c r="M388" s="303"/>
      <c r="N388" s="304" t="e">
        <f t="shared" si="196"/>
        <v>#VALUE!</v>
      </c>
      <c r="O388" s="303"/>
      <c r="P388" s="178"/>
      <c r="Q388" s="180" t="e">
        <f>SUMIFS([6]BV_Data_An_Prec!$N:$N,[6]BV_Data_An_Prec!$Q:$Q,$B388,[6]BV_Data_An_Prec!$R:$R,$C388)</f>
        <v>#VALUE!</v>
      </c>
      <c r="R388" s="303"/>
      <c r="S388" s="199" t="e">
        <f t="shared" si="197"/>
        <v>#VALUE!</v>
      </c>
      <c r="T388" s="23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 customHeight="1">
      <c r="A389" s="570" t="str">
        <f t="shared" si="192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+SUMPRODUCT(('[6]Budget révisé'!$A$8:$A$496=$A389)*('[6]Budget révisé'!$C$3:$AO$3=I$2),'[6]Budget révisé'!$C$8:$AO$496)</f>
        <v>0</v>
      </c>
      <c r="J389" s="303"/>
      <c r="K389" s="178"/>
      <c r="L389" s="180" t="e">
        <f>SUMIFS([6]BV_Data_An_Cour!$N:$N,[6]BV_Data_An_Cour!$Q:$Q,$B389,[6]BV_Data_An_Cour!$R:$R,$C389)</f>
        <v>#VALUE!</v>
      </c>
      <c r="M389" s="303"/>
      <c r="N389" s="304" t="e">
        <f t="shared" si="196"/>
        <v>#VALUE!</v>
      </c>
      <c r="O389" s="303"/>
      <c r="P389" s="178"/>
      <c r="Q389" s="180" t="e">
        <f>SUMIFS([6]BV_Data_An_Prec!$N:$N,[6]BV_Data_An_Prec!$Q:$Q,$B389,[6]BV_Data_An_Prec!$R:$R,$C389)</f>
        <v>#VALUE!</v>
      </c>
      <c r="R389" s="303"/>
      <c r="S389" s="199" t="e">
        <f t="shared" si="197"/>
        <v>#VALUE!</v>
      </c>
      <c r="T389" s="23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 customHeight="1">
      <c r="A390" s="570" t="str">
        <f t="shared" si="192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+SUMPRODUCT(('[6]Budget révisé'!$A$8:$A$496=$A390)*('[6]Budget révisé'!$C$3:$AO$3=I$2),'[6]Budget révisé'!$C$8:$AO$496)</f>
        <v>0</v>
      </c>
      <c r="J390" s="303"/>
      <c r="K390" s="178"/>
      <c r="L390" s="180" t="e">
        <f>SUMIFS([6]BV_Data_An_Cour!$N:$N,[6]BV_Data_An_Cour!$Q:$Q,$B390,[6]BV_Data_An_Cour!$R:$R,$C390)</f>
        <v>#VALUE!</v>
      </c>
      <c r="M390" s="303"/>
      <c r="N390" s="304" t="e">
        <f t="shared" si="196"/>
        <v>#VALUE!</v>
      </c>
      <c r="O390" s="303"/>
      <c r="P390" s="178"/>
      <c r="Q390" s="180" t="e">
        <f>SUMIFS([6]BV_Data_An_Prec!$N:$N,[6]BV_Data_An_Prec!$Q:$Q,$B390,[6]BV_Data_An_Prec!$R:$R,$C390)</f>
        <v>#VALUE!</v>
      </c>
      <c r="R390" s="303"/>
      <c r="S390" s="199" t="e">
        <f t="shared" si="197"/>
        <v>#VALUE!</v>
      </c>
      <c r="T390" s="23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192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+SUMPRODUCT(('[6]Budget révisé'!$A$8:$A$496=$A391)*('[6]Budget révisé'!$C$3:$AO$3=I$2),'[6]Budget révisé'!$C$8:$AO$496)</f>
        <v>0</v>
      </c>
      <c r="J391" s="303"/>
      <c r="K391" s="178"/>
      <c r="L391" s="180" t="e">
        <f>SUMIFS([6]BV_Data_An_Cour!$N:$N,[6]BV_Data_An_Cour!$Q:$Q,$B391,[6]BV_Data_An_Cour!$R:$R,$C391)</f>
        <v>#VALUE!</v>
      </c>
      <c r="M391" s="303"/>
      <c r="N391" s="304" t="e">
        <f t="shared" si="196"/>
        <v>#VALUE!</v>
      </c>
      <c r="O391" s="303"/>
      <c r="P391" s="178"/>
      <c r="Q391" s="180" t="e">
        <f>SUMIFS([6]BV_Data_An_Prec!$N:$N,[6]BV_Data_An_Prec!$Q:$Q,$B391,[6]BV_Data_An_Prec!$R:$R,$C391)</f>
        <v>#VALUE!</v>
      </c>
      <c r="R391" s="303"/>
      <c r="S391" s="199" t="e">
        <f t="shared" si="197"/>
        <v>#VALUE!</v>
      </c>
      <c r="T391" s="23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192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+SUMPRODUCT(('[6]Budget révisé'!$A$8:$A$496=$A392)*('[6]Budget révisé'!$C$3:$AO$3=I$2),'[6]Budget révisé'!$C$8:$AO$496)</f>
        <v>0</v>
      </c>
      <c r="J392" s="303"/>
      <c r="K392" s="178"/>
      <c r="L392" s="180" t="e">
        <f>SUMIFS([6]BV_Data_An_Cour!$N:$N,[6]BV_Data_An_Cour!$Q:$Q,$B392,[6]BV_Data_An_Cour!$R:$R,$C392)</f>
        <v>#VALUE!</v>
      </c>
      <c r="M392" s="303"/>
      <c r="N392" s="304" t="e">
        <f t="shared" si="196"/>
        <v>#VALUE!</v>
      </c>
      <c r="O392" s="303"/>
      <c r="P392" s="178"/>
      <c r="Q392" s="180" t="e">
        <f>SUMIFS([6]BV_Data_An_Prec!$N:$N,[6]BV_Data_An_Prec!$Q:$Q,$B392,[6]BV_Data_An_Prec!$R:$R,$C392)</f>
        <v>#VALUE!</v>
      </c>
      <c r="R392" s="303"/>
      <c r="S392" s="199" t="e">
        <f t="shared" si="197"/>
        <v>#VALUE!</v>
      </c>
      <c r="T392" s="23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192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+SUMPRODUCT(('[6]Budget révisé'!$A$8:$A$496=$A393)*('[6]Budget révisé'!$C$3:$AO$3=I$2),'[6]Budget révisé'!$C$8:$AO$496)</f>
        <v>0</v>
      </c>
      <c r="J393" s="310"/>
      <c r="K393" s="308"/>
      <c r="L393" s="180" t="e">
        <f>SUMIFS([6]BV_Data_An_Cour!$N:$N,[6]BV_Data_An_Cour!$Q:$Q,$B393,[6]BV_Data_An_Cour!$R:$R,$C393)</f>
        <v>#VALUE!</v>
      </c>
      <c r="M393" s="310"/>
      <c r="N393" s="311" t="e">
        <f t="shared" si="196"/>
        <v>#VALUE!</v>
      </c>
      <c r="O393" s="310"/>
      <c r="P393" s="308"/>
      <c r="Q393" s="180" t="e">
        <f>SUMIFS([6]BV_Data_An_Prec!$N:$N,[6]BV_Data_An_Prec!$Q:$Q,$B393,[6]BV_Data_An_Prec!$R:$R,$C393)</f>
        <v>#VALUE!</v>
      </c>
      <c r="R393" s="310"/>
      <c r="S393" s="202" t="e">
        <f t="shared" si="197"/>
        <v>#VALUE!</v>
      </c>
      <c r="T393" s="23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hidden="1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 t="e">
        <f>+SUM(L377:L393)</f>
        <v>#VALUE!</v>
      </c>
      <c r="M394" s="43"/>
      <c r="N394" s="41" t="e">
        <f>+SUM(N377:N393)</f>
        <v>#VALUE!</v>
      </c>
      <c r="O394" s="42" t="s">
        <v>111</v>
      </c>
      <c r="P394" s="40">
        <f>IFERROR(Q394/Q$359,0)</f>
        <v>0</v>
      </c>
      <c r="Q394" s="41" t="e">
        <f>+SUM(Q377:Q393)</f>
        <v>#VALUE!</v>
      </c>
      <c r="R394" s="43"/>
      <c r="S394" s="299" t="e">
        <f>+SUM(S377:S393)</f>
        <v>#VALUE!</v>
      </c>
      <c r="T394" s="23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hidden="1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79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hidden="1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 t="e">
        <f>L376+L394</f>
        <v>#VALUE!</v>
      </c>
      <c r="M396" s="38"/>
      <c r="N396" s="41" t="e">
        <f>L396-I396</f>
        <v>#VALUE!</v>
      </c>
      <c r="O396" s="42" t="s">
        <v>111</v>
      </c>
      <c r="P396" s="40">
        <f>IFERROR(Q396/Q$359,0)</f>
        <v>0</v>
      </c>
      <c r="Q396" s="41" t="e">
        <f>Q376+Q394</f>
        <v>#VALUE!</v>
      </c>
      <c r="R396" s="44"/>
      <c r="S396" s="316" t="e">
        <f>L396-Q396</f>
        <v>#VALUE!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hidden="1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hidden="1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 t="e">
        <f>L361-L396</f>
        <v>#VALUE!</v>
      </c>
      <c r="M398" s="320"/>
      <c r="N398" s="319" t="e">
        <f>L398-I398</f>
        <v>#VALUE!</v>
      </c>
      <c r="O398" s="321"/>
      <c r="P398" s="322"/>
      <c r="Q398" s="319" t="e">
        <f>Q361-Q396</f>
        <v>#VALUE!</v>
      </c>
      <c r="R398" s="321"/>
      <c r="S398" s="323" t="e">
        <f>L398-Q398</f>
        <v>#VALUE!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hidden="1" customHeight="1" thickTop="1">
      <c r="B399" s="165"/>
      <c r="C399" s="241"/>
      <c r="D399" s="262"/>
      <c r="E399" s="233"/>
      <c r="F399" s="239"/>
      <c r="G399" s="301"/>
      <c r="H399" s="178"/>
      <c r="I399" s="1106"/>
      <c r="J399" s="369"/>
      <c r="K399" s="369"/>
      <c r="L399" s="1106"/>
      <c r="M399" s="369"/>
      <c r="N399" s="1106"/>
      <c r="O399" s="369"/>
      <c r="P399" s="369"/>
      <c r="Q399" s="1106"/>
      <c r="R399" s="369"/>
      <c r="S399" s="110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2950</v>
      </c>
      <c r="M400" s="25"/>
      <c r="N400" s="25"/>
      <c r="O400" s="25"/>
      <c r="P400" s="25"/>
      <c r="Q400" s="25"/>
      <c r="R400" s="23" t="s">
        <v>2951</v>
      </c>
      <c r="S400" s="1107"/>
      <c r="T400" s="1107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2952</v>
      </c>
      <c r="M401" s="1108">
        <f>L50</f>
        <v>27472.54</v>
      </c>
      <c r="N401" s="1108"/>
      <c r="O401" s="1108">
        <f>N50</f>
        <v>-267.83217036345013</v>
      </c>
      <c r="P401" s="23"/>
      <c r="Q401" s="1112">
        <f>-O401+(S405*U401)</f>
        <v>-1370.2836641634206</v>
      </c>
      <c r="R401" s="23">
        <v>6132</v>
      </c>
      <c r="S401" s="969">
        <v>0.12</v>
      </c>
      <c r="T401" s="969"/>
      <c r="U401" s="1121">
        <f>S401/S404</f>
        <v>0.53097345132743368</v>
      </c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2953</v>
      </c>
      <c r="M402" s="1108">
        <f>L51</f>
        <v>19688.650000000001</v>
      </c>
      <c r="N402" s="1108"/>
      <c r="O402" s="1108">
        <f>N51</f>
        <v>-191.95005542713989</v>
      </c>
      <c r="P402" s="1109"/>
      <c r="Q402" s="1112">
        <f>-O402+(S405*U402)</f>
        <v>-982.03295931711727</v>
      </c>
      <c r="R402" s="23">
        <v>6139</v>
      </c>
      <c r="S402" s="1110">
        <v>8.5999999999999993E-2</v>
      </c>
      <c r="T402" s="1110"/>
      <c r="U402" s="1121">
        <f>S402/S404</f>
        <v>0.38053097345132741</v>
      </c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>0.088495575221239</v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108">
        <f>L52</f>
        <v>4578.76</v>
      </c>
      <c r="N403" s="1108"/>
      <c r="O403" s="1108">
        <f>N52</f>
        <v>-44.635361727241616</v>
      </c>
      <c r="P403" s="1109"/>
      <c r="Q403" s="1112">
        <f>-O403+(S405*U403)</f>
        <v>-228.38394402723685</v>
      </c>
      <c r="R403" s="23">
        <v>6131</v>
      </c>
      <c r="S403" s="1110">
        <v>0.02</v>
      </c>
      <c r="T403" s="1110"/>
      <c r="U403" s="1121">
        <f>S403/S404</f>
        <v>8.8495575221238951E-2</v>
      </c>
      <c r="V403" s="440"/>
      <c r="W403" s="988"/>
      <c r="X403" s="1142" t="s">
        <v>194</v>
      </c>
      <c r="Y403" s="1140"/>
      <c r="Z403" s="1143"/>
      <c r="AA403" s="1139" t="s">
        <v>145</v>
      </c>
      <c r="AB403" s="1140"/>
      <c r="AC403" s="1143"/>
      <c r="AD403" s="1139" t="s">
        <v>79</v>
      </c>
      <c r="AE403" s="1140"/>
      <c r="AF403" s="1143"/>
      <c r="AG403" s="1139" t="s">
        <v>195</v>
      </c>
      <c r="AH403" s="1140"/>
      <c r="AI403" s="1143"/>
      <c r="AJ403" s="1139" t="s">
        <v>196</v>
      </c>
      <c r="AK403" s="1140"/>
      <c r="AL403" s="1140"/>
      <c r="AM403" s="1139" t="s">
        <v>197</v>
      </c>
      <c r="AN403" s="1140"/>
      <c r="AO403" s="1141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8">+U404&amp;V404</f>
        <v/>
      </c>
      <c r="B404" s="165"/>
      <c r="C404" s="23"/>
      <c r="D404" s="23"/>
      <c r="E404" s="23"/>
      <c r="F404" s="23"/>
      <c r="G404" s="23" t="s">
        <v>2954</v>
      </c>
      <c r="H404" s="23"/>
      <c r="I404" s="23"/>
      <c r="J404" s="23"/>
      <c r="K404" s="23"/>
      <c r="L404" s="969"/>
      <c r="M404" s="1111"/>
      <c r="N404" s="23"/>
      <c r="O404" s="1111">
        <f>SUM(O401:O403)</f>
        <v>-504.41758751783163</v>
      </c>
      <c r="P404" s="1109"/>
      <c r="Q404" s="1112">
        <f>SUM(Q401:Q403)</f>
        <v>-2580.7005675077744</v>
      </c>
      <c r="R404" s="23"/>
      <c r="S404" s="1110">
        <f>SUM(S401:S403)</f>
        <v>0.22599999999999998</v>
      </c>
      <c r="T404" s="1110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8"/>
        <v>Ventes nettes</v>
      </c>
      <c r="B405" s="165"/>
      <c r="C405" s="23"/>
      <c r="D405" s="23"/>
      <c r="E405" s="23"/>
      <c r="F405" s="23"/>
      <c r="G405" s="23" t="s">
        <v>2950</v>
      </c>
      <c r="H405" s="23"/>
      <c r="I405" s="23"/>
      <c r="J405" s="1108">
        <f>L31+L32+L42+L43+L44+L45</f>
        <v>203644.32</v>
      </c>
      <c r="K405" s="23">
        <f t="shared" ref="K405:K410" si="199">J405/$J$410</f>
        <v>0.26130841626604995</v>
      </c>
      <c r="L405" s="23" t="s">
        <v>1949</v>
      </c>
      <c r="M405" s="1108">
        <f>SUM(M401:M403)</f>
        <v>51739.950000000004</v>
      </c>
      <c r="N405" s="1113">
        <f>M405/$M$439</f>
        <v>0.27502625748489146</v>
      </c>
      <c r="O405" s="1113">
        <f>K405</f>
        <v>0.26130841626604995</v>
      </c>
      <c r="P405" s="1109">
        <f>O405*$M$439</f>
        <v>49159.24943249223</v>
      </c>
      <c r="Q405" s="1112">
        <f>P405-M405</f>
        <v>-2580.7005675077744</v>
      </c>
      <c r="R405" s="79"/>
      <c r="S405" s="1110">
        <f>O404+Q405</f>
        <v>-3085.118155025606</v>
      </c>
      <c r="T405" s="1110"/>
      <c r="U405" s="79"/>
      <c r="V405" s="306" t="s">
        <v>88</v>
      </c>
      <c r="W405" s="445"/>
      <c r="X405" s="445"/>
      <c r="Y405" s="445"/>
      <c r="Z405" s="446">
        <f>F5+F93+E193+E249+D313+D361</f>
        <v>7086813.9969284376</v>
      </c>
      <c r="AA405" s="445"/>
      <c r="AB405" s="445"/>
      <c r="AC405" s="446">
        <f>I5+I93+H193+H249+G313+G361</f>
        <v>7086813.9969284376</v>
      </c>
      <c r="AD405" s="447"/>
      <c r="AE405" s="448"/>
      <c r="AF405" s="448" t="e">
        <f>L5+L93+K193+K249+J313+J361</f>
        <v>#VALUE!</v>
      </c>
      <c r="AG405" s="447"/>
      <c r="AH405" s="448"/>
      <c r="AI405" s="449"/>
      <c r="AJ405" s="447"/>
      <c r="AK405" s="448"/>
      <c r="AL405" s="448" t="e">
        <f>Q5+Q93+P193+P249+O313+O361</f>
        <v>#VALUE!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8"/>
        <v>0.530973451327434Profit brut</v>
      </c>
      <c r="B406" s="165"/>
      <c r="C406" s="23"/>
      <c r="D406" s="23"/>
      <c r="E406" s="23"/>
      <c r="F406" s="23"/>
      <c r="G406" s="23" t="s">
        <v>1949</v>
      </c>
      <c r="H406" s="23"/>
      <c r="I406" s="23"/>
      <c r="J406" s="1108">
        <f>L111+L112+L122+L123+L124+L125</f>
        <v>132273.09999999998</v>
      </c>
      <c r="K406" s="23">
        <f t="shared" si="199"/>
        <v>0.1697276618154675</v>
      </c>
      <c r="L406" s="23" t="s">
        <v>2952</v>
      </c>
      <c r="M406" s="1108">
        <f>L130</f>
        <v>11608.21</v>
      </c>
      <c r="N406" s="1108"/>
      <c r="O406" s="1108">
        <f>N130</f>
        <v>-2456.6290472263827</v>
      </c>
      <c r="P406" s="1109"/>
      <c r="Q406" s="1112">
        <f>-O406+(S410*U406)</f>
        <v>5345.9891769559044</v>
      </c>
      <c r="R406" s="79">
        <v>6232</v>
      </c>
      <c r="S406" s="969">
        <v>0.12</v>
      </c>
      <c r="T406" s="969"/>
      <c r="U406" s="1121">
        <f>S406/S409</f>
        <v>0.53097345132743368</v>
      </c>
      <c r="V406" s="452" t="s">
        <v>205</v>
      </c>
      <c r="W406" s="81"/>
      <c r="X406" s="81"/>
      <c r="Y406" s="81"/>
      <c r="Z406" s="82">
        <f>F27+F107+F193+F249+F313+F361</f>
        <v>1255974.8262090271</v>
      </c>
      <c r="AA406" s="81"/>
      <c r="AB406" s="81"/>
      <c r="AC406" s="82">
        <f>I27+I107+I193+I249+I313+I361</f>
        <v>1321285.2340499158</v>
      </c>
      <c r="AD406" s="83"/>
      <c r="AE406" s="84"/>
      <c r="AF406" s="84" t="e">
        <f>L27+L107+L193+L249+L313+L361</f>
        <v>#VALUE!</v>
      </c>
      <c r="AG406" s="83"/>
      <c r="AH406" s="84" t="e">
        <f>AF406-AC406</f>
        <v>#VALUE!</v>
      </c>
      <c r="AI406" s="85" t="e">
        <f>AH406/AC406</f>
        <v>#VALUE!</v>
      </c>
      <c r="AJ406" s="83"/>
      <c r="AK406" s="84"/>
      <c r="AL406" s="84" t="e">
        <f>Q27+Q107+Q193+Q249+Q313+Q361</f>
        <v>#VALUE!</v>
      </c>
      <c r="AM406" s="86"/>
      <c r="AN406" s="84" t="e">
        <f>AF406-AL406</f>
        <v>#VALUE!</v>
      </c>
      <c r="AO406" s="453" t="e">
        <f>IF(AL406=0,0,AN406/AL406)</f>
        <v>#VALUE!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8"/>
        <v>0.380530973451327DÉPENSES</v>
      </c>
      <c r="B407" s="165"/>
      <c r="C407" s="23"/>
      <c r="D407" s="23"/>
      <c r="E407" s="23"/>
      <c r="F407" s="23"/>
      <c r="G407" s="23" t="s">
        <v>155</v>
      </c>
      <c r="H407" s="23"/>
      <c r="I407" s="23"/>
      <c r="J407" s="57">
        <f>(K193-L193)+L197+L198+L199+L200</f>
        <v>333250.19000000006</v>
      </c>
      <c r="K407" s="23">
        <f t="shared" si="199"/>
        <v>0.42761359300009077</v>
      </c>
      <c r="L407" s="23" t="s">
        <v>2953</v>
      </c>
      <c r="M407" s="1108">
        <f>L131</f>
        <v>8319.2199999999993</v>
      </c>
      <c r="N407" s="1108"/>
      <c r="O407" s="1108">
        <f>N131</f>
        <v>-1760.5813171789068</v>
      </c>
      <c r="P407" s="1109"/>
      <c r="Q407" s="1112">
        <f>-O407+(S410*U407)</f>
        <v>3831.2894101517304</v>
      </c>
      <c r="R407" s="79">
        <v>6239</v>
      </c>
      <c r="S407" s="1110">
        <v>8.5999999999999993E-2</v>
      </c>
      <c r="T407" s="1110"/>
      <c r="U407" s="1121">
        <f>S407/S409</f>
        <v>0.38053097345132741</v>
      </c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8"/>
        <v>0.088495575221239Comm. vendeurs</v>
      </c>
      <c r="B408" s="165"/>
      <c r="C408" s="23"/>
      <c r="D408" s="23"/>
      <c r="E408" s="23"/>
      <c r="F408" s="23"/>
      <c r="G408" s="23" t="s">
        <v>2955</v>
      </c>
      <c r="H408" s="23"/>
      <c r="I408" s="23"/>
      <c r="J408" s="1108">
        <f>L253+L254+L255+L256</f>
        <v>23671.83</v>
      </c>
      <c r="K408" s="23">
        <f t="shared" si="199"/>
        <v>3.0374765215249653E-2</v>
      </c>
      <c r="L408" s="23" t="s">
        <v>1252</v>
      </c>
      <c r="M408" s="1108">
        <f>L132</f>
        <v>1934.7</v>
      </c>
      <c r="N408" s="1108"/>
      <c r="O408" s="1108">
        <f>N132</f>
        <v>-409.43984120439723</v>
      </c>
      <c r="P408" s="1109"/>
      <c r="Q408" s="1112">
        <f>-O408+(S410*U408)</f>
        <v>890.99986282598422</v>
      </c>
      <c r="R408" s="79">
        <v>6231</v>
      </c>
      <c r="S408" s="1110">
        <v>0.02</v>
      </c>
      <c r="T408" s="1110"/>
      <c r="U408" s="1121">
        <f>S408/S409</f>
        <v>8.8495575221238951E-2</v>
      </c>
      <c r="V408" s="305" t="s">
        <v>103</v>
      </c>
      <c r="W408" s="460" t="s">
        <v>207</v>
      </c>
      <c r="X408" s="455"/>
      <c r="Y408" s="461">
        <f t="shared" ref="Y408:Y414" si="200">Z408/(D$13+D$96)</f>
        <v>457.26165373722631</v>
      </c>
      <c r="Z408" s="87">
        <f t="shared" ref="Z408:Z417" si="201">+SUMIF($C:$C,$V408,F:F)</f>
        <v>101242.83339712818</v>
      </c>
      <c r="AA408" s="455"/>
      <c r="AB408" s="461">
        <f t="shared" ref="AB408:AB414" si="202">IF(AC408=0,0,AC408/(G$13+G$96))</f>
        <v>460.9780035239184</v>
      </c>
      <c r="AC408" s="87">
        <f t="shared" ref="AC408:AC417" si="203">+SUMIF($C:$C,$V408,I:I)</f>
        <v>102065.67471615062</v>
      </c>
      <c r="AD408" s="462"/>
      <c r="AE408" s="461">
        <f t="shared" ref="AE408:AE413" si="204">IF(AF408=0,0,AF408/(J$13+J$96))</f>
        <v>606.50070754716978</v>
      </c>
      <c r="AF408" s="87">
        <f t="shared" ref="AF408:AF417" si="205">+SUMIF($C:$C,$V408,L:L)</f>
        <v>128578.15</v>
      </c>
      <c r="AG408" s="456">
        <f t="shared" ref="AG408:AH413" si="206">AE408-AB408</f>
        <v>145.52270402325138</v>
      </c>
      <c r="AH408" s="457">
        <f t="shared" si="206"/>
        <v>26512.475283849373</v>
      </c>
      <c r="AI408" s="458">
        <f>IF(AC408=0,0,AH408/AC408)</f>
        <v>0.25975897732104153</v>
      </c>
      <c r="AJ408" s="462"/>
      <c r="AK408" s="457">
        <f t="shared" ref="AK408:AK414" si="207">AL408/(O$13+O$96)</f>
        <v>492.77485185185185</v>
      </c>
      <c r="AL408" s="87">
        <f t="shared" ref="AL408:AL417" si="208">+SUMIF($C:$C,$V408,Q:Q)</f>
        <v>133049.21</v>
      </c>
      <c r="AM408" s="459">
        <f t="shared" ref="AM408:AM413" si="209">AE408-Y408</f>
        <v>149.23905380994347</v>
      </c>
      <c r="AN408" s="457">
        <f t="shared" ref="AN408:AN430" si="210">AF408-AL408</f>
        <v>-4471.0599999999977</v>
      </c>
      <c r="AO408" s="214">
        <f>IF(AL408=0,0,AN408/AL408)</f>
        <v>-3.3604558794449048E-2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8"/>
        <v>Comm. F&amp;I</v>
      </c>
      <c r="B409" s="165"/>
      <c r="C409" s="23"/>
      <c r="D409" s="23"/>
      <c r="E409" s="23"/>
      <c r="F409" s="23"/>
      <c r="G409" s="23" t="s">
        <v>2956</v>
      </c>
      <c r="H409" s="23"/>
      <c r="I409" s="23"/>
      <c r="J409" s="1108">
        <f>L317+L318+L319+L320</f>
        <v>86486.09</v>
      </c>
      <c r="K409" s="23">
        <f t="shared" si="199"/>
        <v>0.11097556370314211</v>
      </c>
      <c r="L409" s="969"/>
      <c r="M409" s="1111">
        <f>SUM(M406:M408)</f>
        <v>21862.13</v>
      </c>
      <c r="N409" s="1111"/>
      <c r="O409" s="1111">
        <f t="shared" ref="O409" si="211">SUM(O406:O408)</f>
        <v>-4626.650205609687</v>
      </c>
      <c r="P409" s="969"/>
      <c r="Q409" s="1112">
        <f>SUM(Q406:Q408)</f>
        <v>10068.278449933618</v>
      </c>
      <c r="R409" s="79"/>
      <c r="S409" s="1110">
        <f>SUM(S406:S408)</f>
        <v>0.22599999999999998</v>
      </c>
      <c r="T409" s="1110"/>
      <c r="U409" s="23"/>
      <c r="V409" s="306" t="s">
        <v>104</v>
      </c>
      <c r="W409" s="463" t="s">
        <v>208</v>
      </c>
      <c r="X409" s="445"/>
      <c r="Y409" s="464">
        <f t="shared" si="200"/>
        <v>355.3767996888011</v>
      </c>
      <c r="Z409" s="446">
        <f t="shared" si="201"/>
        <v>78684.389626894175</v>
      </c>
      <c r="AA409" s="445"/>
      <c r="AB409" s="464">
        <f t="shared" si="202"/>
        <v>355.3767996888011</v>
      </c>
      <c r="AC409" s="446">
        <f t="shared" si="203"/>
        <v>78684.389626894175</v>
      </c>
      <c r="AD409" s="465"/>
      <c r="AE409" s="464">
        <f t="shared" si="204"/>
        <v>347.42839622641503</v>
      </c>
      <c r="AF409" s="446">
        <f t="shared" si="205"/>
        <v>73654.819999999992</v>
      </c>
      <c r="AG409" s="447">
        <f t="shared" si="206"/>
        <v>-7.948403462386068</v>
      </c>
      <c r="AH409" s="448">
        <f t="shared" si="206"/>
        <v>-5029.5696268941829</v>
      </c>
      <c r="AI409" s="466">
        <f t="shared" ref="AI409:AI413" si="212">IF(AC409=0,0,AH409/AC409)</f>
        <v>-6.3920806283729315E-2</v>
      </c>
      <c r="AJ409" s="465"/>
      <c r="AK409" s="448">
        <f t="shared" si="207"/>
        <v>226.77011111111111</v>
      </c>
      <c r="AL409" s="446">
        <f t="shared" si="208"/>
        <v>61227.93</v>
      </c>
      <c r="AM409" s="450">
        <f t="shared" si="209"/>
        <v>-7.948403462386068</v>
      </c>
      <c r="AN409" s="448">
        <f t="shared" si="210"/>
        <v>12426.889999999992</v>
      </c>
      <c r="AO409" s="215">
        <f t="shared" ref="AO409:AO413" si="213">IF(AL409=0,0,AN409/AL409)</f>
        <v>0.20296113228064369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8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1108">
        <f>SUM(J405:J409)</f>
        <v>779325.53</v>
      </c>
      <c r="K410" s="23">
        <f t="shared" si="199"/>
        <v>1</v>
      </c>
      <c r="L410" s="23" t="s">
        <v>155</v>
      </c>
      <c r="M410" s="1111">
        <f>SUM(M406:M408)</f>
        <v>21862.13</v>
      </c>
      <c r="N410" s="1113">
        <f>M409/$M$439</f>
        <v>0.11620923086605553</v>
      </c>
      <c r="O410" s="1113">
        <f>K406</f>
        <v>0.1697276618154675</v>
      </c>
      <c r="P410" s="1109">
        <f>O410*$M$439</f>
        <v>31930.40844993362</v>
      </c>
      <c r="Q410" s="1112">
        <f>P410-M409</f>
        <v>10068.278449933619</v>
      </c>
      <c r="R410" s="79"/>
      <c r="S410" s="1110">
        <f>O409+Q410</f>
        <v>5441.6282443239324</v>
      </c>
      <c r="T410" s="1110"/>
      <c r="U410" s="79"/>
      <c r="V410" s="305" t="s">
        <v>105</v>
      </c>
      <c r="W410" s="460" t="s">
        <v>209</v>
      </c>
      <c r="X410" s="455"/>
      <c r="Y410" s="461">
        <f t="shared" si="200"/>
        <v>165.74533332660468</v>
      </c>
      <c r="Z410" s="87">
        <f t="shared" si="201"/>
        <v>36697.866596047759</v>
      </c>
      <c r="AA410" s="455"/>
      <c r="AB410" s="461">
        <f t="shared" si="202"/>
        <v>165.74533332660468</v>
      </c>
      <c r="AC410" s="87">
        <f t="shared" si="203"/>
        <v>36697.866596047759</v>
      </c>
      <c r="AD410" s="462"/>
      <c r="AE410" s="461">
        <f t="shared" si="204"/>
        <v>126.72735849056602</v>
      </c>
      <c r="AF410" s="87">
        <f t="shared" si="205"/>
        <v>26866.199999999997</v>
      </c>
      <c r="AG410" s="456">
        <f t="shared" si="206"/>
        <v>-39.017974836038661</v>
      </c>
      <c r="AH410" s="457">
        <f t="shared" si="206"/>
        <v>-9831.6665960477621</v>
      </c>
      <c r="AI410" s="458">
        <f t="shared" si="212"/>
        <v>-0.26790839653623355</v>
      </c>
      <c r="AJ410" s="462"/>
      <c r="AK410" s="457">
        <f t="shared" si="207"/>
        <v>134.33492592592592</v>
      </c>
      <c r="AL410" s="87">
        <f t="shared" si="208"/>
        <v>36270.43</v>
      </c>
      <c r="AM410" s="459">
        <f t="shared" si="209"/>
        <v>-39.017974836038661</v>
      </c>
      <c r="AN410" s="457">
        <f t="shared" si="210"/>
        <v>-9404.2300000000032</v>
      </c>
      <c r="AO410" s="214">
        <f t="shared" si="213"/>
        <v>-0.25928090733967046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8"/>
        <v>0.530973451327434Service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 t="s">
        <v>2952</v>
      </c>
      <c r="M411" s="1108">
        <f>L205</f>
        <v>40996.26</v>
      </c>
      <c r="N411" s="1108"/>
      <c r="O411" s="1108">
        <f>N205</f>
        <v>-9273.7569280617899</v>
      </c>
      <c r="P411" s="1109"/>
      <c r="Q411" s="1112">
        <f>-O411+(S418*U411)</f>
        <v>1718.3214002877367</v>
      </c>
      <c r="R411" s="79">
        <v>6432</v>
      </c>
      <c r="S411" s="969">
        <v>0.12</v>
      </c>
      <c r="T411" s="969"/>
      <c r="U411" s="1121">
        <f>S411/S414</f>
        <v>0.53097345132743368</v>
      </c>
      <c r="V411" s="305" t="s">
        <v>106</v>
      </c>
      <c r="W411" s="460" t="s">
        <v>210</v>
      </c>
      <c r="X411" s="455"/>
      <c r="Y411" s="461">
        <f t="shared" si="200"/>
        <v>37.778408451355389</v>
      </c>
      <c r="Z411" s="87">
        <f t="shared" si="201"/>
        <v>8364.5612563156665</v>
      </c>
      <c r="AA411" s="455"/>
      <c r="AB411" s="461">
        <f t="shared" si="202"/>
        <v>37.778408451355389</v>
      </c>
      <c r="AC411" s="87">
        <f t="shared" si="203"/>
        <v>8364.5612563156665</v>
      </c>
      <c r="AD411" s="462"/>
      <c r="AE411" s="461">
        <f t="shared" si="204"/>
        <v>14.261886792452831</v>
      </c>
      <c r="AF411" s="87">
        <f t="shared" si="205"/>
        <v>3023.52</v>
      </c>
      <c r="AG411" s="456">
        <f t="shared" si="206"/>
        <v>-23.516521658902558</v>
      </c>
      <c r="AH411" s="457">
        <f t="shared" si="206"/>
        <v>-5341.041256315666</v>
      </c>
      <c r="AI411" s="458">
        <f t="shared" si="212"/>
        <v>-0.63853214683351267</v>
      </c>
      <c r="AJ411" s="462"/>
      <c r="AK411" s="457">
        <f t="shared" si="207"/>
        <v>7.707259259259259</v>
      </c>
      <c r="AL411" s="87">
        <f t="shared" si="208"/>
        <v>2080.96</v>
      </c>
      <c r="AM411" s="459">
        <f t="shared" si="209"/>
        <v>-23.516521658902558</v>
      </c>
      <c r="AN411" s="457">
        <f t="shared" si="210"/>
        <v>942.56</v>
      </c>
      <c r="AO411" s="216">
        <f t="shared" si="213"/>
        <v>0.45294479471013377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8"/>
        <v>0.380530973451327Entretien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 t="s">
        <v>2953</v>
      </c>
      <c r="M412" s="1108">
        <f>L206</f>
        <v>29380.649999999998</v>
      </c>
      <c r="N412" s="1108"/>
      <c r="O412" s="1108">
        <f>N206</f>
        <v>-6646.1954651109518</v>
      </c>
      <c r="P412" s="1109"/>
      <c r="Q412" s="1112">
        <f>-O412+(S418*U412)</f>
        <v>1231.4666702062141</v>
      </c>
      <c r="R412" s="79">
        <v>6439</v>
      </c>
      <c r="S412" s="1110">
        <v>8.5999999999999993E-2</v>
      </c>
      <c r="T412" s="1110"/>
      <c r="U412" s="1121">
        <f>S412/S414</f>
        <v>0.38053097345132741</v>
      </c>
      <c r="V412" s="306" t="s">
        <v>107</v>
      </c>
      <c r="W412" s="463"/>
      <c r="X412" s="445"/>
      <c r="Y412" s="464">
        <f t="shared" si="200"/>
        <v>44.971760936186357</v>
      </c>
      <c r="Z412" s="446">
        <f t="shared" si="201"/>
        <v>9957.2497777263779</v>
      </c>
      <c r="AA412" s="445"/>
      <c r="AB412" s="464">
        <f t="shared" si="202"/>
        <v>44.971760936186357</v>
      </c>
      <c r="AC412" s="446">
        <f t="shared" si="203"/>
        <v>9957.2497777263779</v>
      </c>
      <c r="AD412" s="465"/>
      <c r="AE412" s="464">
        <f t="shared" si="204"/>
        <v>40.976415094339622</v>
      </c>
      <c r="AF412" s="446">
        <f t="shared" si="205"/>
        <v>8687</v>
      </c>
      <c r="AG412" s="447">
        <f t="shared" si="206"/>
        <v>-3.9953458418467349</v>
      </c>
      <c r="AH412" s="448">
        <f t="shared" si="206"/>
        <v>-1270.2497777263779</v>
      </c>
      <c r="AI412" s="466">
        <f t="shared" si="212"/>
        <v>-0.12757034382805496</v>
      </c>
      <c r="AJ412" s="465"/>
      <c r="AK412" s="448">
        <f t="shared" si="207"/>
        <v>47.549592592592589</v>
      </c>
      <c r="AL412" s="446">
        <f t="shared" si="208"/>
        <v>12838.39</v>
      </c>
      <c r="AM412" s="450">
        <f t="shared" si="209"/>
        <v>-3.9953458418467349</v>
      </c>
      <c r="AN412" s="448">
        <f t="shared" si="210"/>
        <v>-4151.3899999999994</v>
      </c>
      <c r="AO412" s="215">
        <f t="shared" si="213"/>
        <v>-0.32335752380166044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8"/>
        <v>0.088495575221239Publicité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 t="s">
        <v>1252</v>
      </c>
      <c r="M413" s="1108">
        <f>L207</f>
        <v>6832.71</v>
      </c>
      <c r="N413" s="1108"/>
      <c r="O413" s="1108">
        <f>N207</f>
        <v>-1545.6261546769647</v>
      </c>
      <c r="P413" s="1109"/>
      <c r="Q413" s="1112">
        <f>-O413+(S418*U413)</f>
        <v>286.38690004795581</v>
      </c>
      <c r="R413" s="79">
        <v>6431</v>
      </c>
      <c r="S413" s="1110">
        <v>0.02</v>
      </c>
      <c r="T413" s="1110"/>
      <c r="U413" s="1121">
        <f>S413/S414</f>
        <v>8.8495575221238951E-2</v>
      </c>
      <c r="V413" s="305" t="s">
        <v>108</v>
      </c>
      <c r="W413" s="460" t="s">
        <v>211</v>
      </c>
      <c r="X413" s="458"/>
      <c r="Y413" s="461">
        <f t="shared" si="200"/>
        <v>145.00310284090287</v>
      </c>
      <c r="Z413" s="87">
        <f t="shared" si="201"/>
        <v>32105.305273257403</v>
      </c>
      <c r="AA413" s="458"/>
      <c r="AB413" s="461">
        <f t="shared" si="202"/>
        <v>145.00310284090287</v>
      </c>
      <c r="AC413" s="87">
        <f t="shared" si="203"/>
        <v>32105.305273257403</v>
      </c>
      <c r="AD413" s="462"/>
      <c r="AE413" s="461">
        <f t="shared" si="204"/>
        <v>179.84405660377359</v>
      </c>
      <c r="AF413" s="87">
        <f t="shared" si="205"/>
        <v>38126.94</v>
      </c>
      <c r="AG413" s="456">
        <f t="shared" si="206"/>
        <v>34.840953762870726</v>
      </c>
      <c r="AH413" s="457">
        <f t="shared" si="206"/>
        <v>6021.634726742599</v>
      </c>
      <c r="AI413" s="458">
        <f t="shared" si="212"/>
        <v>0.18755886840167846</v>
      </c>
      <c r="AJ413" s="462"/>
      <c r="AK413" s="457">
        <f t="shared" si="207"/>
        <v>117.29629629629629</v>
      </c>
      <c r="AL413" s="87">
        <f t="shared" si="208"/>
        <v>31670</v>
      </c>
      <c r="AM413" s="459">
        <f t="shared" si="209"/>
        <v>34.840953762870726</v>
      </c>
      <c r="AN413" s="457">
        <f t="shared" si="210"/>
        <v>6456.9400000000023</v>
      </c>
      <c r="AO413" s="214">
        <f t="shared" si="213"/>
        <v>0.20388190716766663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8"/>
        <v>Intérêt de gros</v>
      </c>
      <c r="B414" s="165"/>
      <c r="C414" s="23"/>
      <c r="D414" s="23"/>
      <c r="E414" s="23"/>
      <c r="F414" s="23"/>
      <c r="G414" s="23" t="s">
        <v>2952</v>
      </c>
      <c r="H414" s="23"/>
      <c r="I414" s="23"/>
      <c r="J414" s="23"/>
      <c r="K414" s="23"/>
      <c r="L414" s="23"/>
      <c r="M414" s="1108">
        <f>SUM(M411:M413)</f>
        <v>77209.62000000001</v>
      </c>
      <c r="N414" s="1108"/>
      <c r="O414" s="1108">
        <f t="shared" ref="O414" si="214">SUM(O411:O413)</f>
        <v>-17465.578547849706</v>
      </c>
      <c r="P414" s="969"/>
      <c r="Q414" s="1112">
        <f>SUM(Q411:Q413)</f>
        <v>3236.1749705419065</v>
      </c>
      <c r="R414" s="79"/>
      <c r="S414" s="1110">
        <f>SUM(S411:S413)</f>
        <v>0.22599999999999998</v>
      </c>
      <c r="T414" s="1110"/>
      <c r="U414" s="23"/>
      <c r="V414" s="305" t="s">
        <v>109</v>
      </c>
      <c r="W414" s="460" t="s">
        <v>212</v>
      </c>
      <c r="X414" s="455"/>
      <c r="Y414" s="461">
        <f t="shared" si="200"/>
        <v>206.72630497161455</v>
      </c>
      <c r="Z414" s="87">
        <f t="shared" si="201"/>
        <v>45771.511085582155</v>
      </c>
      <c r="AA414" s="455"/>
      <c r="AB414" s="461">
        <f t="shared" si="202"/>
        <v>207.89087338810523</v>
      </c>
      <c r="AC414" s="87">
        <f t="shared" si="203"/>
        <v>46029.359530136135</v>
      </c>
      <c r="AD414" s="462"/>
      <c r="AE414" s="461">
        <f>IF(AF414=0,0,AF414/(J$13+J$13))</f>
        <v>153.92140000000003</v>
      </c>
      <c r="AF414" s="87">
        <f t="shared" si="205"/>
        <v>38480.350000000006</v>
      </c>
      <c r="AG414" s="456">
        <f t="shared" ref="AG414" si="215">AE414-AB414</f>
        <v>-53.9694733881052</v>
      </c>
      <c r="AH414" s="457">
        <f t="shared" ref="AH414" si="216">AF414-AC414</f>
        <v>-7549.0095301361289</v>
      </c>
      <c r="AI414" s="458">
        <f t="shared" ref="AI414" si="217">IF(AC414=0,0,AH414/AC414)</f>
        <v>-0.16400422702370376</v>
      </c>
      <c r="AJ414" s="462"/>
      <c r="AK414" s="457">
        <f t="shared" si="207"/>
        <v>205.13462962962961</v>
      </c>
      <c r="AL414" s="87">
        <f t="shared" si="208"/>
        <v>55386.35</v>
      </c>
      <c r="AM414" s="459">
        <f t="shared" ref="AM414" si="218">AE414-Y414</f>
        <v>-52.804904971614519</v>
      </c>
      <c r="AN414" s="457">
        <f t="shared" ref="AN414" si="219">AF414-AL414</f>
        <v>-16905.999999999993</v>
      </c>
      <c r="AO414" s="214">
        <f t="shared" ref="AO414" si="220">IF(AL414=0,0,AN414/AL414)</f>
        <v>-0.30523766234821381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8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 t="s">
        <v>1252</v>
      </c>
      <c r="M415" s="23"/>
      <c r="N415" s="23"/>
      <c r="O415" s="1113"/>
      <c r="P415" s="1109"/>
      <c r="Q415" s="1112"/>
      <c r="R415" s="79"/>
      <c r="S415" s="1110">
        <f>O414+Q415</f>
        <v>-17465.578547849706</v>
      </c>
      <c r="T415" s="1110"/>
      <c r="U415" s="79"/>
      <c r="V415" s="305" t="s">
        <v>42</v>
      </c>
      <c r="W415" s="460"/>
      <c r="X415" s="458"/>
      <c r="Y415" s="461">
        <f t="shared" ref="Y415:Y417" si="221">Z415/(D$13+D$96)</f>
        <v>0</v>
      </c>
      <c r="Z415" s="87">
        <f t="shared" si="201"/>
        <v>0</v>
      </c>
      <c r="AA415" s="455"/>
      <c r="AB415" s="461">
        <f t="shared" ref="AB415:AB417" si="222">IF(AC415=0,0,AC415/(G$13+G$96))</f>
        <v>0</v>
      </c>
      <c r="AC415" s="87">
        <f t="shared" si="203"/>
        <v>0</v>
      </c>
      <c r="AD415" s="462"/>
      <c r="AE415" s="461" t="e">
        <f t="shared" ref="AE415:AE417" si="223">IF(AF415=0,0,AF415/(J$13+J$13))</f>
        <v>#VALUE!</v>
      </c>
      <c r="AF415" s="87" t="e">
        <f t="shared" si="205"/>
        <v>#VALUE!</v>
      </c>
      <c r="AG415" s="456" t="e">
        <f t="shared" ref="AG415:AG417" si="224">AE415-AB415</f>
        <v>#VALUE!</v>
      </c>
      <c r="AH415" s="457" t="e">
        <f t="shared" ref="AH415:AH417" si="225">AF415-AC415</f>
        <v>#VALUE!</v>
      </c>
      <c r="AI415" s="458">
        <f t="shared" ref="AI415:AI417" si="226">IF(AC415=0,0,AH415/AC415)</f>
        <v>0</v>
      </c>
      <c r="AJ415" s="462"/>
      <c r="AK415" s="457" t="e">
        <f t="shared" ref="AK415:AK417" si="227">AL415/(O$13+O$96)</f>
        <v>#VALUE!</v>
      </c>
      <c r="AL415" s="87" t="e">
        <f t="shared" si="208"/>
        <v>#VALUE!</v>
      </c>
      <c r="AM415" s="459" t="e">
        <f t="shared" ref="AM415:AM417" si="228">AE415-Y415</f>
        <v>#VALUE!</v>
      </c>
      <c r="AN415" s="457" t="e">
        <f t="shared" ref="AN415:AN417" si="229">AF415-AL415</f>
        <v>#VALUE!</v>
      </c>
      <c r="AO415" s="214" t="e">
        <f t="shared" ref="AO415:AO417" si="230">IF(AL415=0,0,AN415/AL415)</f>
        <v>#VALUE!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8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113"/>
      <c r="P416" s="1109"/>
      <c r="Q416" s="1112"/>
      <c r="R416" s="79"/>
      <c r="S416" s="1110"/>
      <c r="T416" s="1110"/>
      <c r="U416" s="79"/>
      <c r="V416" s="305" t="s">
        <v>42</v>
      </c>
      <c r="W416" s="460"/>
      <c r="X416" s="458"/>
      <c r="Y416" s="461">
        <f t="shared" si="221"/>
        <v>0</v>
      </c>
      <c r="Z416" s="87">
        <f t="shared" si="201"/>
        <v>0</v>
      </c>
      <c r="AA416" s="455"/>
      <c r="AB416" s="461">
        <f t="shared" si="222"/>
        <v>0</v>
      </c>
      <c r="AC416" s="87">
        <f t="shared" si="203"/>
        <v>0</v>
      </c>
      <c r="AD416" s="462"/>
      <c r="AE416" s="461" t="e">
        <f t="shared" si="223"/>
        <v>#VALUE!</v>
      </c>
      <c r="AF416" s="87" t="e">
        <f t="shared" si="205"/>
        <v>#VALUE!</v>
      </c>
      <c r="AG416" s="456" t="e">
        <f t="shared" si="224"/>
        <v>#VALUE!</v>
      </c>
      <c r="AH416" s="457" t="e">
        <f t="shared" si="225"/>
        <v>#VALUE!</v>
      </c>
      <c r="AI416" s="458">
        <f t="shared" si="226"/>
        <v>0</v>
      </c>
      <c r="AJ416" s="462"/>
      <c r="AK416" s="457" t="e">
        <f t="shared" si="227"/>
        <v>#VALUE!</v>
      </c>
      <c r="AL416" s="87" t="e">
        <f t="shared" si="208"/>
        <v>#VALUE!</v>
      </c>
      <c r="AM416" s="459" t="e">
        <f t="shared" si="228"/>
        <v>#VALUE!</v>
      </c>
      <c r="AN416" s="457" t="e">
        <f t="shared" si="229"/>
        <v>#VALUE!</v>
      </c>
      <c r="AO416" s="214" t="e">
        <f t="shared" si="230"/>
        <v>#VALUE!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8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113"/>
      <c r="P417" s="1109"/>
      <c r="Q417" s="1112"/>
      <c r="R417" s="79"/>
      <c r="S417" s="1110"/>
      <c r="T417" s="1110"/>
      <c r="U417" s="79"/>
      <c r="V417" s="305" t="s">
        <v>42</v>
      </c>
      <c r="W417" s="460" t="s">
        <v>212</v>
      </c>
      <c r="X417" s="455"/>
      <c r="Y417" s="461">
        <f t="shared" si="221"/>
        <v>0</v>
      </c>
      <c r="Z417" s="87">
        <f t="shared" si="201"/>
        <v>0</v>
      </c>
      <c r="AA417" s="455"/>
      <c r="AB417" s="461">
        <f t="shared" si="222"/>
        <v>0</v>
      </c>
      <c r="AC417" s="87">
        <f t="shared" si="203"/>
        <v>0</v>
      </c>
      <c r="AD417" s="462"/>
      <c r="AE417" s="461" t="e">
        <f t="shared" si="223"/>
        <v>#VALUE!</v>
      </c>
      <c r="AF417" s="87" t="e">
        <f t="shared" si="205"/>
        <v>#VALUE!</v>
      </c>
      <c r="AG417" s="456" t="e">
        <f t="shared" si="224"/>
        <v>#VALUE!</v>
      </c>
      <c r="AH417" s="457" t="e">
        <f t="shared" si="225"/>
        <v>#VALUE!</v>
      </c>
      <c r="AI417" s="458">
        <f t="shared" si="226"/>
        <v>0</v>
      </c>
      <c r="AJ417" s="462"/>
      <c r="AK417" s="457" t="e">
        <f t="shared" si="227"/>
        <v>#VALUE!</v>
      </c>
      <c r="AL417" s="87" t="e">
        <f t="shared" si="208"/>
        <v>#VALUE!</v>
      </c>
      <c r="AM417" s="459" t="e">
        <f t="shared" si="228"/>
        <v>#VALUE!</v>
      </c>
      <c r="AN417" s="457" t="e">
        <f t="shared" si="229"/>
        <v>#VALUE!</v>
      </c>
      <c r="AO417" s="214" t="e">
        <f t="shared" si="230"/>
        <v>#VALUE!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8"/>
        <v>TOTAL VARIABLES</v>
      </c>
      <c r="B418" s="165"/>
      <c r="C418" s="23"/>
      <c r="D418" s="23"/>
      <c r="E418" s="23"/>
      <c r="F418" s="23"/>
      <c r="G418" s="23" t="s">
        <v>2957</v>
      </c>
      <c r="H418" s="23"/>
      <c r="I418" s="23"/>
      <c r="J418" s="23"/>
      <c r="K418" s="23"/>
      <c r="L418" s="23" t="s">
        <v>2955</v>
      </c>
      <c r="M418" s="1108">
        <f>SUM(M411:M413)</f>
        <v>77209.62000000001</v>
      </c>
      <c r="N418" s="1113">
        <f>M414/$M$439</f>
        <v>0.41041154524561052</v>
      </c>
      <c r="O418" s="1113">
        <f>K407</f>
        <v>0.42761359300009077</v>
      </c>
      <c r="P418" s="1109">
        <f>O418*$M$439</f>
        <v>80445.794970541916</v>
      </c>
      <c r="Q418" s="1112">
        <f>P418-M414</f>
        <v>3236.1749705419061</v>
      </c>
      <c r="R418" s="79"/>
      <c r="S418" s="1110">
        <f>O414+Q418</f>
        <v>-14229.403577307799</v>
      </c>
      <c r="T418" s="1110"/>
      <c r="U418" s="79"/>
      <c r="V418" s="467" t="s">
        <v>110</v>
      </c>
      <c r="W418" s="88"/>
      <c r="X418" s="89">
        <f>Z418/Z406</f>
        <v>0.2490684609954831</v>
      </c>
      <c r="Y418" s="88"/>
      <c r="Z418" s="90">
        <f>SUM(Z408:Z417)</f>
        <v>312823.71701295173</v>
      </c>
      <c r="AA418" s="89">
        <f>AC418/AC406</f>
        <v>0.23757505093307466</v>
      </c>
      <c r="AB418" s="88"/>
      <c r="AC418" s="90">
        <f>SUM(AC408:AC417)</f>
        <v>313904.40677652822</v>
      </c>
      <c r="AD418" s="91" t="e">
        <f>AF418/AF406</f>
        <v>#VALUE!</v>
      </c>
      <c r="AE418" s="88"/>
      <c r="AF418" s="90" t="e">
        <f>SUM(AF408:AF417)</f>
        <v>#VALUE!</v>
      </c>
      <c r="AG418" s="92"/>
      <c r="AH418" s="93" t="e">
        <f>AF418-AC418</f>
        <v>#VALUE!</v>
      </c>
      <c r="AI418" s="89" t="e">
        <f>AH418/AC418</f>
        <v>#VALUE!</v>
      </c>
      <c r="AJ418" s="91" t="e">
        <f>IF($AL$406=0,0,AL418/$AL$406)</f>
        <v>#VALUE!</v>
      </c>
      <c r="AK418" s="88"/>
      <c r="AL418" s="90" t="e">
        <f>SUM(AL408:AL417)</f>
        <v>#VALUE!</v>
      </c>
      <c r="AM418" s="94"/>
      <c r="AN418" s="93" t="e">
        <f t="shared" si="210"/>
        <v>#VALUE!</v>
      </c>
      <c r="AO418" s="453" t="e">
        <f>IF(AL418=0,0,AN418/AL418)</f>
        <v>#VALUE!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8"/>
        <v>0.530973451327434Salaires propriétaire</v>
      </c>
      <c r="B419" s="165"/>
      <c r="C419" s="23"/>
      <c r="D419" s="23"/>
      <c r="E419" s="23"/>
      <c r="F419" s="23"/>
      <c r="G419" s="23" t="s">
        <v>1252</v>
      </c>
      <c r="H419" s="23"/>
      <c r="I419" s="23"/>
      <c r="J419" s="23"/>
      <c r="K419" s="23"/>
      <c r="L419" s="23" t="s">
        <v>2952</v>
      </c>
      <c r="M419" s="95">
        <f>L261</f>
        <v>2912.1</v>
      </c>
      <c r="N419" s="95"/>
      <c r="O419" s="95">
        <f>N261</f>
        <v>147.62963753489703</v>
      </c>
      <c r="P419" s="1109"/>
      <c r="Q419" s="1112">
        <f>-O419+(S423*U419)</f>
        <v>122.05373725300262</v>
      </c>
      <c r="R419" s="79">
        <v>6532</v>
      </c>
      <c r="S419" s="969">
        <v>0.12</v>
      </c>
      <c r="T419" s="969"/>
      <c r="U419" s="1121">
        <f>S419/S422</f>
        <v>0.53097345132743368</v>
      </c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8750.01</v>
      </c>
      <c r="AG419" s="456"/>
      <c r="AH419" s="457">
        <f t="shared" ref="AH419:AH430" si="231">AF419-AC419</f>
        <v>8750.01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26894.91</v>
      </c>
      <c r="AM419" s="459"/>
      <c r="AN419" s="457">
        <f t="shared" si="210"/>
        <v>-18144.900000000001</v>
      </c>
      <c r="AO419" s="214">
        <f t="shared" ref="AO419:AO430" si="232">IF(AL419=0,0,AN419/AL419)</f>
        <v>-0.67465925708619223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8"/>
        <v>0.380530973451327Salaires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2953</v>
      </c>
      <c r="M420" s="95">
        <f>L262</f>
        <v>2087</v>
      </c>
      <c r="N420" s="95"/>
      <c r="O420" s="95">
        <f>N262</f>
        <v>105.79624023334281</v>
      </c>
      <c r="P420" s="1109"/>
      <c r="Q420" s="1112">
        <f>-O420+(S423*U420)</f>
        <v>87.476845031318589</v>
      </c>
      <c r="R420" s="79">
        <v>6539</v>
      </c>
      <c r="S420" s="1110">
        <v>8.5999999999999993E-2</v>
      </c>
      <c r="T420" s="1110"/>
      <c r="U420" s="1121">
        <f>S420/S422</f>
        <v>0.38053097345132741</v>
      </c>
      <c r="V420" s="305" t="s">
        <v>112</v>
      </c>
      <c r="W420" s="460" t="s">
        <v>215</v>
      </c>
      <c r="X420" s="455"/>
      <c r="Y420" s="455"/>
      <c r="Z420" s="87">
        <f t="shared" ref="Z420:Z431" si="233">+SUMIF($C:$C,$V420,F:F)</f>
        <v>157771.72304201373</v>
      </c>
      <c r="AA420" s="455"/>
      <c r="AB420" s="455"/>
      <c r="AC420" s="87">
        <f t="shared" ref="AC420:AC431" si="234">+SUMIF($C:$C,$V420,I:I)</f>
        <v>157771.72304201373</v>
      </c>
      <c r="AD420" s="462"/>
      <c r="AE420" s="461"/>
      <c r="AF420" s="87" t="e">
        <f t="shared" ref="AF420:AF431" si="235">+SUMIF($C:$C,$V420,L:L)</f>
        <v>#VALUE!</v>
      </c>
      <c r="AG420" s="456"/>
      <c r="AH420" s="457" t="e">
        <f t="shared" si="231"/>
        <v>#VALUE!</v>
      </c>
      <c r="AI420" s="458" t="e">
        <f t="shared" ref="AI420:AI430" si="236">IF(AC420=0,0,AH420/AC420)</f>
        <v>#VALUE!</v>
      </c>
      <c r="AJ420" s="462"/>
      <c r="AK420" s="455"/>
      <c r="AL420" s="87" t="e">
        <f t="shared" ref="AL420:AL431" si="237">+SUMIF($C:$C,$V420,Q:Q)</f>
        <v>#VALUE!</v>
      </c>
      <c r="AM420" s="459"/>
      <c r="AN420" s="457" t="e">
        <f t="shared" si="210"/>
        <v>#VALUE!</v>
      </c>
      <c r="AO420" s="214" t="e">
        <f t="shared" si="232"/>
        <v>#VALUE!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8"/>
        <v>0.088495575221239Salaires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485.35</v>
      </c>
      <c r="N421" s="95"/>
      <c r="O421" s="95">
        <f>N263</f>
        <v>24.604939589149467</v>
      </c>
      <c r="P421" s="1114"/>
      <c r="Q421" s="1112">
        <f>-O421+(S423*U421)</f>
        <v>20.342289542167144</v>
      </c>
      <c r="R421" s="79">
        <v>6531</v>
      </c>
      <c r="S421" s="1110">
        <v>0.02</v>
      </c>
      <c r="T421" s="1110"/>
      <c r="U421" s="1121">
        <f>S421/S422</f>
        <v>8.8495575221238951E-2</v>
      </c>
      <c r="V421" s="306" t="s">
        <v>113</v>
      </c>
      <c r="W421" s="463" t="s">
        <v>216</v>
      </c>
      <c r="X421" s="445"/>
      <c r="Y421" s="445"/>
      <c r="Z421" s="446">
        <f t="shared" si="233"/>
        <v>76902.695390651352</v>
      </c>
      <c r="AA421" s="445"/>
      <c r="AB421" s="445"/>
      <c r="AC421" s="446">
        <f t="shared" si="234"/>
        <v>76902.695390651352</v>
      </c>
      <c r="AD421" s="465"/>
      <c r="AE421" s="464"/>
      <c r="AF421" s="446" t="e">
        <f t="shared" si="235"/>
        <v>#VALUE!</v>
      </c>
      <c r="AG421" s="447"/>
      <c r="AH421" s="448" t="e">
        <f t="shared" si="231"/>
        <v>#VALUE!</v>
      </c>
      <c r="AI421" s="466" t="e">
        <f t="shared" si="236"/>
        <v>#VALUE!</v>
      </c>
      <c r="AJ421" s="465"/>
      <c r="AK421" s="445"/>
      <c r="AL421" s="446" t="e">
        <f t="shared" si="237"/>
        <v>#VALUE!</v>
      </c>
      <c r="AM421" s="450"/>
      <c r="AN421" s="448" t="e">
        <f t="shared" si="210"/>
        <v>#VALUE!</v>
      </c>
      <c r="AO421" s="451" t="e">
        <f t="shared" si="232"/>
        <v>#VALUE!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8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5484.4500000000007</v>
      </c>
      <c r="N422" s="96"/>
      <c r="O422" s="96">
        <f t="shared" ref="O422" si="238">SUM(O419:O421)</f>
        <v>278.03081735738931</v>
      </c>
      <c r="P422" s="969"/>
      <c r="Q422" s="1112">
        <f>SUM(Q419:Q421)</f>
        <v>229.87287182648836</v>
      </c>
      <c r="R422" s="79"/>
      <c r="S422" s="1110">
        <f>SUM(S419:S421)</f>
        <v>0.22599999999999998</v>
      </c>
      <c r="T422" s="1110"/>
      <c r="U422" s="23"/>
      <c r="V422" s="280" t="s">
        <v>114</v>
      </c>
      <c r="W422" s="460" t="s">
        <v>217</v>
      </c>
      <c r="X422" s="455"/>
      <c r="Y422" s="455"/>
      <c r="Z422" s="87">
        <f t="shared" si="233"/>
        <v>133078.37936698849</v>
      </c>
      <c r="AA422" s="455"/>
      <c r="AB422" s="455"/>
      <c r="AC422" s="87">
        <f t="shared" si="234"/>
        <v>133078.37936698849</v>
      </c>
      <c r="AD422" s="462"/>
      <c r="AE422" s="461"/>
      <c r="AF422" s="87" t="e">
        <f t="shared" si="235"/>
        <v>#VALUE!</v>
      </c>
      <c r="AG422" s="456"/>
      <c r="AH422" s="457" t="e">
        <f t="shared" si="231"/>
        <v>#VALUE!</v>
      </c>
      <c r="AI422" s="458" t="e">
        <f t="shared" si="236"/>
        <v>#VALUE!</v>
      </c>
      <c r="AJ422" s="462"/>
      <c r="AK422" s="455"/>
      <c r="AL422" s="87" t="e">
        <f t="shared" si="237"/>
        <v>#VALUE!</v>
      </c>
      <c r="AM422" s="459"/>
      <c r="AN422" s="457" t="e">
        <f t="shared" si="210"/>
        <v>#VALUE!</v>
      </c>
      <c r="AO422" s="214" t="e">
        <f t="shared" si="232"/>
        <v>#VALUE!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8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5484.4500000000007</v>
      </c>
      <c r="N423" s="1113">
        <f>M422/$M$439</f>
        <v>2.915286462130352E-2</v>
      </c>
      <c r="O423" s="1115">
        <f>K408</f>
        <v>3.0374765215249653E-2</v>
      </c>
      <c r="P423" s="1109">
        <f>O423*$M$439</f>
        <v>5714.3228718264891</v>
      </c>
      <c r="Q423" s="1112">
        <f>P423-M422</f>
        <v>229.87287182648834</v>
      </c>
      <c r="R423" s="79"/>
      <c r="S423" s="1110">
        <f>O422+Q423</f>
        <v>507.90368918387765</v>
      </c>
      <c r="T423" s="1110"/>
      <c r="U423" s="79"/>
      <c r="V423" s="280" t="s">
        <v>115</v>
      </c>
      <c r="W423" s="460" t="s">
        <v>218</v>
      </c>
      <c r="X423" s="455"/>
      <c r="Y423" s="455"/>
      <c r="Z423" s="87">
        <f t="shared" si="233"/>
        <v>102655.83588045978</v>
      </c>
      <c r="AA423" s="455"/>
      <c r="AB423" s="455"/>
      <c r="AC423" s="87">
        <f t="shared" si="234"/>
        <v>102655.83588045978</v>
      </c>
      <c r="AD423" s="462"/>
      <c r="AE423" s="461"/>
      <c r="AF423" s="87" t="e">
        <f t="shared" si="235"/>
        <v>#VALUE!</v>
      </c>
      <c r="AG423" s="456"/>
      <c r="AH423" s="457" t="e">
        <f t="shared" si="231"/>
        <v>#VALUE!</v>
      </c>
      <c r="AI423" s="458" t="e">
        <f t="shared" si="236"/>
        <v>#VALUE!</v>
      </c>
      <c r="AJ423" s="462"/>
      <c r="AK423" s="455"/>
      <c r="AL423" s="87" t="e">
        <f t="shared" si="237"/>
        <v>#VALUE!</v>
      </c>
      <c r="AM423" s="459"/>
      <c r="AN423" s="457" t="e">
        <f t="shared" si="210"/>
        <v>#VALUE!</v>
      </c>
      <c r="AO423" s="214" t="e">
        <f t="shared" si="232"/>
        <v>#VALUE!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8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15"/>
      <c r="P424" s="1114"/>
      <c r="Q424" s="1119"/>
      <c r="R424" s="79"/>
      <c r="S424" s="1110"/>
      <c r="T424" s="1110"/>
      <c r="U424" s="79"/>
      <c r="V424" s="280" t="s">
        <v>42</v>
      </c>
      <c r="W424" s="460"/>
      <c r="X424" s="455"/>
      <c r="Y424" s="455"/>
      <c r="Z424" s="87">
        <f t="shared" si="233"/>
        <v>0</v>
      </c>
      <c r="AA424" s="455"/>
      <c r="AB424" s="455"/>
      <c r="AC424" s="87">
        <f t="shared" si="234"/>
        <v>0</v>
      </c>
      <c r="AD424" s="462"/>
      <c r="AE424" s="461"/>
      <c r="AF424" s="87" t="e">
        <f t="shared" si="235"/>
        <v>#VALUE!</v>
      </c>
      <c r="AG424" s="456"/>
      <c r="AH424" s="457" t="e">
        <f t="shared" ref="AH424:AH426" si="239">AF424-AC424</f>
        <v>#VALUE!</v>
      </c>
      <c r="AI424" s="458">
        <f t="shared" ref="AI424:AI426" si="240">IF(AC424=0,0,AH424/AC424)</f>
        <v>0</v>
      </c>
      <c r="AJ424" s="462"/>
      <c r="AK424" s="455"/>
      <c r="AL424" s="87" t="e">
        <f t="shared" si="237"/>
        <v>#VALUE!</v>
      </c>
      <c r="AM424" s="459"/>
      <c r="AN424" s="457" t="e">
        <f t="shared" ref="AN424:AN426" si="241">AF424-AL424</f>
        <v>#VALUE!</v>
      </c>
      <c r="AO424" s="214" t="e">
        <f t="shared" ref="AO424:AO426" si="242">IF(AL424=0,0,AN424/AL424)</f>
        <v>#VALUE!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8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15"/>
      <c r="P425" s="1114"/>
      <c r="Q425" s="1119"/>
      <c r="R425" s="79"/>
      <c r="S425" s="1110"/>
      <c r="T425" s="1110"/>
      <c r="U425" s="79"/>
      <c r="V425" s="280" t="s">
        <v>42</v>
      </c>
      <c r="W425" s="460"/>
      <c r="X425" s="455"/>
      <c r="Y425" s="455"/>
      <c r="Z425" s="87">
        <f t="shared" si="233"/>
        <v>0</v>
      </c>
      <c r="AA425" s="455"/>
      <c r="AB425" s="455"/>
      <c r="AC425" s="87">
        <f t="shared" si="234"/>
        <v>0</v>
      </c>
      <c r="AD425" s="462"/>
      <c r="AE425" s="461"/>
      <c r="AF425" s="87" t="e">
        <f t="shared" si="235"/>
        <v>#VALUE!</v>
      </c>
      <c r="AG425" s="456"/>
      <c r="AH425" s="457" t="e">
        <f t="shared" si="239"/>
        <v>#VALUE!</v>
      </c>
      <c r="AI425" s="458">
        <f t="shared" si="240"/>
        <v>0</v>
      </c>
      <c r="AJ425" s="462"/>
      <c r="AK425" s="455"/>
      <c r="AL425" s="87" t="e">
        <f t="shared" si="237"/>
        <v>#VALUE!</v>
      </c>
      <c r="AM425" s="459"/>
      <c r="AN425" s="457" t="e">
        <f t="shared" si="241"/>
        <v>#VALUE!</v>
      </c>
      <c r="AO425" s="214" t="e">
        <f t="shared" si="242"/>
        <v>#VALUE!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8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15"/>
      <c r="P426" s="1114"/>
      <c r="Q426" s="1119"/>
      <c r="R426" s="79"/>
      <c r="S426" s="1110"/>
      <c r="T426" s="1110"/>
      <c r="U426" s="79"/>
      <c r="V426" s="280" t="s">
        <v>42</v>
      </c>
      <c r="W426" s="460"/>
      <c r="X426" s="455"/>
      <c r="Y426" s="455"/>
      <c r="Z426" s="87">
        <f t="shared" si="233"/>
        <v>0</v>
      </c>
      <c r="AA426" s="455"/>
      <c r="AB426" s="455"/>
      <c r="AC426" s="87">
        <f t="shared" si="234"/>
        <v>0</v>
      </c>
      <c r="AD426" s="462"/>
      <c r="AE426" s="461"/>
      <c r="AF426" s="87" t="e">
        <f t="shared" si="235"/>
        <v>#VALUE!</v>
      </c>
      <c r="AG426" s="456"/>
      <c r="AH426" s="457" t="e">
        <f t="shared" si="239"/>
        <v>#VALUE!</v>
      </c>
      <c r="AI426" s="458">
        <f t="shared" si="240"/>
        <v>0</v>
      </c>
      <c r="AJ426" s="462"/>
      <c r="AK426" s="455"/>
      <c r="AL426" s="87" t="e">
        <f t="shared" si="237"/>
        <v>#VALUE!</v>
      </c>
      <c r="AM426" s="459"/>
      <c r="AN426" s="457" t="e">
        <f t="shared" si="241"/>
        <v>#VALUE!</v>
      </c>
      <c r="AO426" s="214" t="e">
        <f t="shared" si="242"/>
        <v>#VALUE!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8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2956</v>
      </c>
      <c r="M427" s="96"/>
      <c r="N427" s="57"/>
      <c r="O427" s="1115"/>
      <c r="P427" s="1114"/>
      <c r="Q427" s="1119"/>
      <c r="R427" s="79"/>
      <c r="S427" s="1110"/>
      <c r="T427" s="1110"/>
      <c r="U427" s="79"/>
      <c r="V427" s="282" t="s">
        <v>116</v>
      </c>
      <c r="W427" s="463" t="s">
        <v>219</v>
      </c>
      <c r="X427" s="445"/>
      <c r="Y427" s="445"/>
      <c r="Z427" s="446">
        <f t="shared" si="233"/>
        <v>105339.76520449629</v>
      </c>
      <c r="AA427" s="445"/>
      <c r="AB427" s="445"/>
      <c r="AC427" s="446">
        <f t="shared" si="234"/>
        <v>105438.50616277898</v>
      </c>
      <c r="AD427" s="465"/>
      <c r="AE427" s="464"/>
      <c r="AF427" s="446" t="e">
        <f t="shared" si="235"/>
        <v>#VALUE!</v>
      </c>
      <c r="AG427" s="447"/>
      <c r="AH427" s="448" t="e">
        <f t="shared" si="231"/>
        <v>#VALUE!</v>
      </c>
      <c r="AI427" s="466" t="e">
        <f t="shared" si="236"/>
        <v>#VALUE!</v>
      </c>
      <c r="AJ427" s="465"/>
      <c r="AK427" s="445"/>
      <c r="AL427" s="446" t="e">
        <f t="shared" si="237"/>
        <v>#VALUE!</v>
      </c>
      <c r="AM427" s="450"/>
      <c r="AN427" s="448" t="e">
        <f t="shared" si="210"/>
        <v>#VALUE!</v>
      </c>
      <c r="AO427" s="215" t="e">
        <f t="shared" si="232"/>
        <v>#VALUE!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8"/>
        <v>0.530973451327434Déduction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2952</v>
      </c>
      <c r="M428" s="96">
        <f>L325</f>
        <v>115.87</v>
      </c>
      <c r="N428" s="96"/>
      <c r="O428" s="96">
        <f>N325</f>
        <v>-10482.937654662244</v>
      </c>
      <c r="P428" s="1114"/>
      <c r="Q428" s="1112">
        <f>-O428+(S432*U428)</f>
        <v>10969.546429312795</v>
      </c>
      <c r="R428" s="79">
        <v>6732</v>
      </c>
      <c r="S428" s="969">
        <v>0.12</v>
      </c>
      <c r="T428" s="969"/>
      <c r="U428" s="1121">
        <f>S428/S431</f>
        <v>0.53097345132743368</v>
      </c>
      <c r="V428" s="280" t="s">
        <v>117</v>
      </c>
      <c r="W428" s="460" t="s">
        <v>220</v>
      </c>
      <c r="X428" s="455"/>
      <c r="Y428" s="455"/>
      <c r="Z428" s="87">
        <f t="shared" si="233"/>
        <v>105339.76520449629</v>
      </c>
      <c r="AA428" s="455"/>
      <c r="AB428" s="455"/>
      <c r="AC428" s="87">
        <f t="shared" si="234"/>
        <v>105438.50616277898</v>
      </c>
      <c r="AD428" s="462"/>
      <c r="AE428" s="461"/>
      <c r="AF428" s="87" t="e">
        <f t="shared" si="235"/>
        <v>#VALUE!</v>
      </c>
      <c r="AG428" s="456"/>
      <c r="AH428" s="457" t="e">
        <f t="shared" si="231"/>
        <v>#VALUE!</v>
      </c>
      <c r="AI428" s="458" t="e">
        <f t="shared" si="236"/>
        <v>#VALUE!</v>
      </c>
      <c r="AJ428" s="462"/>
      <c r="AK428" s="455"/>
      <c r="AL428" s="87" t="e">
        <f t="shared" si="237"/>
        <v>#VALUE!</v>
      </c>
      <c r="AM428" s="459"/>
      <c r="AN428" s="457" t="e">
        <f t="shared" si="210"/>
        <v>#VALUE!</v>
      </c>
      <c r="AO428" s="214" t="e">
        <f t="shared" si="232"/>
        <v>#VALUE!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8"/>
        <v>0.380530973451327Bénéfices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2953</v>
      </c>
      <c r="M429" s="96">
        <f>L326</f>
        <v>7624.96</v>
      </c>
      <c r="N429" s="96"/>
      <c r="O429" s="96">
        <f>N326</f>
        <v>29.147847492057736</v>
      </c>
      <c r="P429" s="1114"/>
      <c r="Q429" s="1112">
        <f>-O429+(S432*U429)</f>
        <v>319.58844100750321</v>
      </c>
      <c r="R429" s="79">
        <v>6739</v>
      </c>
      <c r="S429" s="1110">
        <v>8.5999999999999993E-2</v>
      </c>
      <c r="T429" s="1110"/>
      <c r="U429" s="1121">
        <f>S429/S431</f>
        <v>0.38053097345132741</v>
      </c>
      <c r="V429" s="280" t="s">
        <v>118</v>
      </c>
      <c r="W429" s="460" t="s">
        <v>221</v>
      </c>
      <c r="X429" s="455"/>
      <c r="Y429" s="455"/>
      <c r="Z429" s="87">
        <f t="shared" si="233"/>
        <v>75493.498396555675</v>
      </c>
      <c r="AA429" s="455"/>
      <c r="AB429" s="455"/>
      <c r="AC429" s="87">
        <f t="shared" si="234"/>
        <v>75564.262749991613</v>
      </c>
      <c r="AD429" s="462"/>
      <c r="AE429" s="461"/>
      <c r="AF429" s="87" t="e">
        <f t="shared" si="235"/>
        <v>#VALUE!</v>
      </c>
      <c r="AG429" s="456"/>
      <c r="AH429" s="457" t="e">
        <f t="shared" si="231"/>
        <v>#VALUE!</v>
      </c>
      <c r="AI429" s="458" t="e">
        <f t="shared" si="236"/>
        <v>#VALUE!</v>
      </c>
      <c r="AJ429" s="462"/>
      <c r="AK429" s="455"/>
      <c r="AL429" s="87" t="e">
        <f t="shared" si="237"/>
        <v>#VALUE!</v>
      </c>
      <c r="AM429" s="459"/>
      <c r="AN429" s="457" t="e">
        <f t="shared" si="210"/>
        <v>#VALUE!</v>
      </c>
      <c r="AO429" s="214" t="e">
        <f t="shared" si="232"/>
        <v>#VALUE!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8"/>
        <v>0.088495575221239Csst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24090.33</v>
      </c>
      <c r="N430" s="96"/>
      <c r="O430" s="96">
        <f>N327</f>
        <v>22323.862057556293</v>
      </c>
      <c r="P430" s="1114"/>
      <c r="Q430" s="1112">
        <f>-O430+(S432*U430)</f>
        <v>-22242.760595114534</v>
      </c>
      <c r="R430" s="79">
        <v>6731</v>
      </c>
      <c r="S430" s="1110">
        <v>0.02</v>
      </c>
      <c r="T430" s="1110"/>
      <c r="U430" s="1121">
        <f>S430/S431</f>
        <v>8.8495575221238951E-2</v>
      </c>
      <c r="V430" s="280" t="s">
        <v>119</v>
      </c>
      <c r="W430" s="460"/>
      <c r="X430" s="455"/>
      <c r="Y430" s="455"/>
      <c r="Z430" s="87">
        <f t="shared" si="233"/>
        <v>17556.627534082716</v>
      </c>
      <c r="AA430" s="455"/>
      <c r="AB430" s="455"/>
      <c r="AC430" s="87">
        <f t="shared" si="234"/>
        <v>17573.084360463163</v>
      </c>
      <c r="AD430" s="462"/>
      <c r="AE430" s="461"/>
      <c r="AF430" s="87" t="e">
        <f t="shared" si="235"/>
        <v>#VALUE!</v>
      </c>
      <c r="AG430" s="456"/>
      <c r="AH430" s="457" t="e">
        <f t="shared" si="231"/>
        <v>#VALUE!</v>
      </c>
      <c r="AI430" s="97" t="e">
        <f t="shared" si="236"/>
        <v>#VALUE!</v>
      </c>
      <c r="AJ430" s="462"/>
      <c r="AK430" s="455"/>
      <c r="AL430" s="87" t="e">
        <f t="shared" si="237"/>
        <v>#VALUE!</v>
      </c>
      <c r="AM430" s="459"/>
      <c r="AN430" s="457" t="e">
        <f t="shared" si="210"/>
        <v>#VALUE!</v>
      </c>
      <c r="AO430" s="214" t="e">
        <f t="shared" si="232"/>
        <v>#VALUE!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8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9"/>
      <c r="Q431" s="1112">
        <f>SUM(Q428:Q430)</f>
        <v>-10953.625724794236</v>
      </c>
      <c r="R431" s="79"/>
      <c r="S431" s="1110">
        <f>SUM(S428:S430)</f>
        <v>0.22599999999999998</v>
      </c>
      <c r="T431" s="1110"/>
      <c r="U431" s="23"/>
      <c r="V431" s="291" t="s">
        <v>42</v>
      </c>
      <c r="W431" s="460"/>
      <c r="X431" s="455"/>
      <c r="Y431" s="461"/>
      <c r="Z431" s="87">
        <f t="shared" si="233"/>
        <v>0</v>
      </c>
      <c r="AA431" s="455"/>
      <c r="AB431" s="461"/>
      <c r="AC431" s="87">
        <f t="shared" si="234"/>
        <v>0</v>
      </c>
      <c r="AD431" s="462"/>
      <c r="AE431" s="461"/>
      <c r="AF431" s="87" t="e">
        <f t="shared" si="235"/>
        <v>#VALUE!</v>
      </c>
      <c r="AG431" s="456"/>
      <c r="AH431" s="457"/>
      <c r="AI431" s="458"/>
      <c r="AJ431" s="462"/>
      <c r="AK431" s="457"/>
      <c r="AL431" s="87" t="e">
        <f t="shared" si="237"/>
        <v>#VALUE!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8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969"/>
      <c r="M432" s="969"/>
      <c r="N432" s="969"/>
      <c r="O432" s="1116">
        <f>SUM(O428:O431)</f>
        <v>11870.072250386107</v>
      </c>
      <c r="P432" s="969"/>
      <c r="Q432" s="1120">
        <f>SUM(Q428:Q430)</f>
        <v>-10953.625724794236</v>
      </c>
      <c r="R432" s="79"/>
      <c r="S432" s="1110">
        <f>Q433+O432</f>
        <v>916.44652559186943</v>
      </c>
      <c r="T432" s="1110"/>
      <c r="U432" s="79"/>
      <c r="V432" s="467" t="s">
        <v>120</v>
      </c>
      <c r="W432" s="88"/>
      <c r="X432" s="89">
        <f>Z432/Z406</f>
        <v>0.61636449542254401</v>
      </c>
      <c r="Y432" s="88"/>
      <c r="Z432" s="90">
        <f>SUM(Z419:Z431)</f>
        <v>774138.29001974443</v>
      </c>
      <c r="AA432" s="89">
        <f>AC432/AC406</f>
        <v>0.58611340924655309</v>
      </c>
      <c r="AB432" s="88"/>
      <c r="AC432" s="90">
        <f>SUM(AC419:AC431)</f>
        <v>774422.99311612605</v>
      </c>
      <c r="AD432" s="91" t="e">
        <f>AF432/AF406</f>
        <v>#VALUE!</v>
      </c>
      <c r="AE432" s="98"/>
      <c r="AF432" s="90" t="e">
        <f>SUM(AF419:AF431)</f>
        <v>#VALUE!</v>
      </c>
      <c r="AG432" s="99"/>
      <c r="AH432" s="93" t="e">
        <f t="shared" ref="AH432:AH446" si="243">AF432-AC432</f>
        <v>#VALUE!</v>
      </c>
      <c r="AI432" s="89" t="e">
        <f>AH432/AC432</f>
        <v>#VALUE!</v>
      </c>
      <c r="AJ432" s="91" t="e">
        <f>IF($AL$406=0,0,AL432/$AL$406)</f>
        <v>#VALUE!</v>
      </c>
      <c r="AK432" s="88"/>
      <c r="AL432" s="90" t="e">
        <f>SUM(AL419:AL431)</f>
        <v>#VALUE!</v>
      </c>
      <c r="AM432" s="100"/>
      <c r="AN432" s="93" t="e">
        <f t="shared" ref="AN432:AN446" si="244">AF432-AL432</f>
        <v>#VALUE!</v>
      </c>
      <c r="AO432" s="453" t="e">
        <f>IF(AL432=0,0,AN432/AL432)</f>
        <v>#VALUE!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8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16">
        <f>SUM(M428:M431)</f>
        <v>31831.160000000003</v>
      </c>
      <c r="N433" s="1113">
        <f>M433/$M$439</f>
        <v>0.1692001017821389</v>
      </c>
      <c r="O433" s="1117">
        <f>K409</f>
        <v>0.11097556370314211</v>
      </c>
      <c r="P433" s="1109">
        <f>O433*$M$439</f>
        <v>20877.534275205766</v>
      </c>
      <c r="Q433" s="1112">
        <f>P433-M433</f>
        <v>-10953.625724794238</v>
      </c>
      <c r="R433" s="79"/>
      <c r="S433" s="969"/>
      <c r="T433" s="96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5">+SUMIF($C:$C,$V433,F:F)</f>
        <v>32645.5</v>
      </c>
      <c r="AA433" s="469"/>
      <c r="AB433" s="469"/>
      <c r="AC433" s="470">
        <f t="shared" ref="AC433:AC450" si="246">+SUMIF($C:$C,$V433,I:I)</f>
        <v>32645.5</v>
      </c>
      <c r="AD433" s="471"/>
      <c r="AE433" s="472"/>
      <c r="AF433" s="470" t="e">
        <f t="shared" ref="AF433:AF450" si="247">+SUMIF($C:$C,$V433,L:L)</f>
        <v>#VALUE!</v>
      </c>
      <c r="AG433" s="471"/>
      <c r="AH433" s="473" t="e">
        <f t="shared" si="243"/>
        <v>#VALUE!</v>
      </c>
      <c r="AI433" s="474" t="e">
        <f>IF(AC433=0,0,AH433/AC433)</f>
        <v>#VALUE!</v>
      </c>
      <c r="AJ433" s="471"/>
      <c r="AK433" s="469"/>
      <c r="AL433" s="470" t="e">
        <f t="shared" ref="AL433:AL450" si="248">+SUMIF($C:$C,$V433,Q:Q)</f>
        <v>#VALUE!</v>
      </c>
      <c r="AM433" s="475"/>
      <c r="AN433" s="473" t="e">
        <f t="shared" si="244"/>
        <v>#VALUE!</v>
      </c>
      <c r="AO433" s="213" t="e">
        <f t="shared" ref="AO433:AO446" si="249">IF(AL433=0,0,AN433/AL433)</f>
        <v>#VALUE!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8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9"/>
      <c r="O434" s="1115"/>
      <c r="P434" s="1118"/>
      <c r="Q434" s="1119"/>
      <c r="R434" s="79"/>
      <c r="S434" s="969"/>
      <c r="T434" s="969"/>
      <c r="U434" s="79"/>
      <c r="V434" s="305" t="s">
        <v>122</v>
      </c>
      <c r="W434" s="460" t="s">
        <v>222</v>
      </c>
      <c r="X434" s="455"/>
      <c r="Y434" s="455"/>
      <c r="Z434" s="87">
        <f t="shared" si="245"/>
        <v>13817.867784173815</v>
      </c>
      <c r="AA434" s="455"/>
      <c r="AB434" s="455"/>
      <c r="AC434" s="87">
        <f t="shared" si="246"/>
        <v>13817.867784173815</v>
      </c>
      <c r="AD434" s="462"/>
      <c r="AE434" s="461"/>
      <c r="AF434" s="87" t="e">
        <f t="shared" si="247"/>
        <v>#VALUE!</v>
      </c>
      <c r="AG434" s="456"/>
      <c r="AH434" s="457" t="e">
        <f t="shared" si="243"/>
        <v>#VALUE!</v>
      </c>
      <c r="AI434" s="458" t="e">
        <f t="shared" ref="AI434:AI446" si="250">IF(AC434=0,0,AH434/AC434)</f>
        <v>#VALUE!</v>
      </c>
      <c r="AJ434" s="462"/>
      <c r="AK434" s="455"/>
      <c r="AL434" s="87" t="e">
        <f t="shared" si="248"/>
        <v>#VALUE!</v>
      </c>
      <c r="AM434" s="459"/>
      <c r="AN434" s="457" t="e">
        <f t="shared" si="244"/>
        <v>#VALUE!</v>
      </c>
      <c r="AO434" s="214" t="e">
        <f t="shared" si="249"/>
        <v>#VALUE!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8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2952</v>
      </c>
      <c r="M435" s="96">
        <f>M401+M406+M411+M419+M428</f>
        <v>83104.98000000001</v>
      </c>
      <c r="N435" s="96"/>
      <c r="O435" s="96">
        <f t="shared" ref="O435:O437" si="251">O401+O406+O411+O419+O428</f>
        <v>-22333.52616277897</v>
      </c>
      <c r="P435" s="1118"/>
      <c r="Q435" s="1119">
        <f>Q401+Q406+Q411+Q419+Q428</f>
        <v>16785.627079646019</v>
      </c>
      <c r="R435" s="79"/>
      <c r="S435" s="969"/>
      <c r="T435" s="969"/>
      <c r="U435" s="79"/>
      <c r="V435" s="306" t="s">
        <v>123</v>
      </c>
      <c r="W435" s="463" t="s">
        <v>223</v>
      </c>
      <c r="X435" s="445"/>
      <c r="Y435" s="445"/>
      <c r="Z435" s="446">
        <f t="shared" si="245"/>
        <v>79957.312500000015</v>
      </c>
      <c r="AA435" s="445"/>
      <c r="AB435" s="445"/>
      <c r="AC435" s="446">
        <f t="shared" si="246"/>
        <v>79957.312500000015</v>
      </c>
      <c r="AD435" s="465"/>
      <c r="AE435" s="464"/>
      <c r="AF435" s="446" t="e">
        <f t="shared" si="247"/>
        <v>#VALUE!</v>
      </c>
      <c r="AG435" s="447"/>
      <c r="AH435" s="448" t="e">
        <f t="shared" si="243"/>
        <v>#VALUE!</v>
      </c>
      <c r="AI435" s="466" t="e">
        <f t="shared" si="250"/>
        <v>#VALUE!</v>
      </c>
      <c r="AJ435" s="465"/>
      <c r="AK435" s="445"/>
      <c r="AL435" s="446" t="e">
        <f t="shared" si="248"/>
        <v>#VALUE!</v>
      </c>
      <c r="AM435" s="450"/>
      <c r="AN435" s="448" t="e">
        <f t="shared" si="244"/>
        <v>#VALUE!</v>
      </c>
      <c r="AO435" s="451" t="e">
        <f t="shared" si="249"/>
        <v>#VALUE!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8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2953</v>
      </c>
      <c r="M436" s="96">
        <f>M402+M407+M412+M420+M429</f>
        <v>67100.48000000001</v>
      </c>
      <c r="N436" s="96"/>
      <c r="O436" s="96">
        <f t="shared" si="251"/>
        <v>-8463.7827499915984</v>
      </c>
      <c r="P436" s="1118"/>
      <c r="Q436" s="1119">
        <f>Q402+Q407+Q412+Q420+Q429</f>
        <v>4487.788407079649</v>
      </c>
      <c r="R436" s="79"/>
      <c r="S436" s="969"/>
      <c r="T436" s="969"/>
      <c r="U436" s="79"/>
      <c r="V436" s="305" t="s">
        <v>124</v>
      </c>
      <c r="W436" s="460" t="s">
        <v>224</v>
      </c>
      <c r="X436" s="455"/>
      <c r="Y436" s="455"/>
      <c r="Z436" s="87">
        <f t="shared" si="245"/>
        <v>58449.340000000004</v>
      </c>
      <c r="AA436" s="455"/>
      <c r="AB436" s="455"/>
      <c r="AC436" s="87">
        <f t="shared" si="246"/>
        <v>58449.340000000004</v>
      </c>
      <c r="AD436" s="462"/>
      <c r="AE436" s="461"/>
      <c r="AF436" s="87" t="e">
        <f t="shared" si="247"/>
        <v>#VALUE!</v>
      </c>
      <c r="AG436" s="456"/>
      <c r="AH436" s="457" t="e">
        <f t="shared" si="243"/>
        <v>#VALUE!</v>
      </c>
      <c r="AI436" s="458" t="e">
        <f t="shared" si="250"/>
        <v>#VALUE!</v>
      </c>
      <c r="AJ436" s="462"/>
      <c r="AK436" s="455"/>
      <c r="AL436" s="87" t="e">
        <f t="shared" si="248"/>
        <v>#VALUE!</v>
      </c>
      <c r="AM436" s="459"/>
      <c r="AN436" s="457" t="e">
        <f t="shared" si="244"/>
        <v>#VALUE!</v>
      </c>
      <c r="AO436" s="214" t="e">
        <f t="shared" si="249"/>
        <v>#VALUE!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8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37921.850000000006</v>
      </c>
      <c r="N437" s="96"/>
      <c r="O437" s="96">
        <f t="shared" si="251"/>
        <v>20348.765639536839</v>
      </c>
      <c r="P437" s="1118"/>
      <c r="Q437" s="1119">
        <f t="shared" ref="Q437" si="252">Q403+Q408+Q413+Q421+Q430</f>
        <v>-21273.415486725666</v>
      </c>
      <c r="R437" s="79"/>
      <c r="S437" s="969"/>
      <c r="T437" s="969"/>
      <c r="U437" s="79"/>
      <c r="V437" s="305" t="s">
        <v>125</v>
      </c>
      <c r="W437" s="460" t="s">
        <v>225</v>
      </c>
      <c r="X437" s="455"/>
      <c r="Y437" s="455"/>
      <c r="Z437" s="87">
        <f t="shared" si="245"/>
        <v>14967.157499999999</v>
      </c>
      <c r="AA437" s="455"/>
      <c r="AB437" s="455"/>
      <c r="AC437" s="87">
        <f t="shared" si="246"/>
        <v>14967.157499999999</v>
      </c>
      <c r="AD437" s="462"/>
      <c r="AE437" s="461"/>
      <c r="AF437" s="87" t="e">
        <f t="shared" si="247"/>
        <v>#VALUE!</v>
      </c>
      <c r="AG437" s="456"/>
      <c r="AH437" s="457" t="e">
        <f t="shared" si="243"/>
        <v>#VALUE!</v>
      </c>
      <c r="AI437" s="458" t="e">
        <f t="shared" si="250"/>
        <v>#VALUE!</v>
      </c>
      <c r="AJ437" s="462"/>
      <c r="AK437" s="455"/>
      <c r="AL437" s="87" t="e">
        <f t="shared" si="248"/>
        <v>#VALUE!</v>
      </c>
      <c r="AM437" s="459"/>
      <c r="AN437" s="457" t="e">
        <f t="shared" si="244"/>
        <v>#VALUE!</v>
      </c>
      <c r="AO437" s="214" t="e">
        <f t="shared" si="249"/>
        <v>#VALUE!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8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-10448.543273233729</v>
      </c>
      <c r="P438" s="1118"/>
      <c r="Q438" s="1112">
        <f>SUM(Q435:Q437)</f>
        <v>0</v>
      </c>
      <c r="R438" s="79"/>
      <c r="S438" s="969"/>
      <c r="T438" s="969"/>
      <c r="U438" s="79"/>
      <c r="V438" s="305" t="s">
        <v>126</v>
      </c>
      <c r="W438" s="460" t="s">
        <v>226</v>
      </c>
      <c r="X438" s="455"/>
      <c r="Y438" s="455"/>
      <c r="Z438" s="87">
        <f t="shared" si="245"/>
        <v>72216.190600000002</v>
      </c>
      <c r="AA438" s="455"/>
      <c r="AB438" s="455"/>
      <c r="AC438" s="87">
        <f t="shared" si="246"/>
        <v>72216.190600000002</v>
      </c>
      <c r="AD438" s="462"/>
      <c r="AE438" s="461"/>
      <c r="AF438" s="87" t="e">
        <f t="shared" si="247"/>
        <v>#VALUE!</v>
      </c>
      <c r="AG438" s="456"/>
      <c r="AH438" s="457" t="e">
        <f t="shared" si="243"/>
        <v>#VALUE!</v>
      </c>
      <c r="AI438" s="458" t="e">
        <f t="shared" si="250"/>
        <v>#VALUE!</v>
      </c>
      <c r="AJ438" s="462"/>
      <c r="AK438" s="455"/>
      <c r="AL438" s="87" t="e">
        <f t="shared" si="248"/>
        <v>#VALUE!</v>
      </c>
      <c r="AM438" s="459"/>
      <c r="AN438" s="457" t="e">
        <f t="shared" si="244"/>
        <v>#VALUE!</v>
      </c>
      <c r="AO438" s="214" t="e">
        <f t="shared" si="249"/>
        <v>#VALUE!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9"/>
      <c r="M439" s="1116">
        <f>SUM(M435:M438)</f>
        <v>188127.31000000003</v>
      </c>
      <c r="N439" s="1113">
        <f>M439/$M$439</f>
        <v>1</v>
      </c>
      <c r="O439" s="1115"/>
      <c r="P439" s="1118"/>
      <c r="Q439" s="79"/>
      <c r="R439" s="79"/>
      <c r="S439" s="969"/>
      <c r="T439" s="969"/>
      <c r="U439" s="79"/>
      <c r="V439" s="689" t="s">
        <v>1996</v>
      </c>
      <c r="W439" s="690"/>
      <c r="X439" s="691"/>
      <c r="Y439" s="691"/>
      <c r="Z439" s="692">
        <f t="shared" si="245"/>
        <v>0</v>
      </c>
      <c r="AA439" s="691"/>
      <c r="AB439" s="691"/>
      <c r="AC439" s="692">
        <f t="shared" si="246"/>
        <v>0</v>
      </c>
      <c r="AD439" s="693"/>
      <c r="AE439" s="694"/>
      <c r="AF439" s="692">
        <f t="shared" si="247"/>
        <v>0</v>
      </c>
      <c r="AG439" s="695"/>
      <c r="AH439" s="696">
        <f t="shared" ref="AH439" si="253">AF439-AC439</f>
        <v>0</v>
      </c>
      <c r="AI439" s="697">
        <f t="shared" ref="AI439" si="254">IF(AC439=0,0,AH439/AC439)</f>
        <v>0</v>
      </c>
      <c r="AJ439" s="693"/>
      <c r="AK439" s="691"/>
      <c r="AL439" s="692">
        <f t="shared" si="248"/>
        <v>0</v>
      </c>
      <c r="AM439" s="698"/>
      <c r="AN439" s="696">
        <f t="shared" ref="AN439" si="255">AF439-AL439</f>
        <v>0</v>
      </c>
      <c r="AO439" s="699">
        <f t="shared" ref="AO439" si="256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8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5"/>
        <v>2964.71981782071</v>
      </c>
      <c r="AA440" s="455"/>
      <c r="AB440" s="461"/>
      <c r="AC440" s="87">
        <f t="shared" si="246"/>
        <v>2964.71981782071</v>
      </c>
      <c r="AD440" s="462"/>
      <c r="AE440" s="461"/>
      <c r="AF440" s="87" t="e">
        <f t="shared" si="247"/>
        <v>#VALUE!</v>
      </c>
      <c r="AG440" s="456"/>
      <c r="AH440" s="457" t="e">
        <f t="shared" si="243"/>
        <v>#VALUE!</v>
      </c>
      <c r="AI440" s="458" t="e">
        <f t="shared" si="250"/>
        <v>#VALUE!</v>
      </c>
      <c r="AJ440" s="462"/>
      <c r="AK440" s="455"/>
      <c r="AL440" s="87" t="e">
        <f t="shared" si="248"/>
        <v>#VALUE!</v>
      </c>
      <c r="AM440" s="459"/>
      <c r="AN440" s="457" t="e">
        <f t="shared" si="244"/>
        <v>#VALUE!</v>
      </c>
      <c r="AO440" s="214" t="e">
        <f t="shared" si="249"/>
        <v>#VALUE!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8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5"/>
        <v>4545</v>
      </c>
      <c r="AA441" s="455"/>
      <c r="AB441" s="455"/>
      <c r="AC441" s="87">
        <f t="shared" si="246"/>
        <v>4545</v>
      </c>
      <c r="AD441" s="462"/>
      <c r="AE441" s="461"/>
      <c r="AF441" s="87" t="e">
        <f t="shared" si="247"/>
        <v>#VALUE!</v>
      </c>
      <c r="AG441" s="456"/>
      <c r="AH441" s="457" t="e">
        <f t="shared" si="243"/>
        <v>#VALUE!</v>
      </c>
      <c r="AI441" s="97" t="e">
        <f t="shared" si="250"/>
        <v>#VALUE!</v>
      </c>
      <c r="AJ441" s="462"/>
      <c r="AK441" s="455"/>
      <c r="AL441" s="87" t="e">
        <f t="shared" si="248"/>
        <v>#VALUE!</v>
      </c>
      <c r="AM441" s="459"/>
      <c r="AN441" s="457" t="e">
        <f t="shared" si="244"/>
        <v>#VALUE!</v>
      </c>
      <c r="AO441" s="214" t="e">
        <f t="shared" si="249"/>
        <v>#VALUE!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8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5"/>
        <v>6540.0000000000009</v>
      </c>
      <c r="AA442" s="455"/>
      <c r="AB442" s="455"/>
      <c r="AC442" s="87">
        <f t="shared" si="246"/>
        <v>6540.0000000000009</v>
      </c>
      <c r="AD442" s="462"/>
      <c r="AE442" s="461"/>
      <c r="AF442" s="87" t="e">
        <f t="shared" si="247"/>
        <v>#VALUE!</v>
      </c>
      <c r="AG442" s="456"/>
      <c r="AH442" s="457" t="e">
        <f t="shared" si="243"/>
        <v>#VALUE!</v>
      </c>
      <c r="AI442" s="458" t="e">
        <f t="shared" si="250"/>
        <v>#VALUE!</v>
      </c>
      <c r="AJ442" s="462"/>
      <c r="AK442" s="455"/>
      <c r="AL442" s="87" t="e">
        <f t="shared" si="248"/>
        <v>#VALUE!</v>
      </c>
      <c r="AM442" s="459"/>
      <c r="AN442" s="457" t="e">
        <f t="shared" si="244"/>
        <v>#VALUE!</v>
      </c>
      <c r="AO442" s="214" t="e">
        <f t="shared" si="249"/>
        <v>#VALUE!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8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5"/>
        <v>5847.3</v>
      </c>
      <c r="AA443" s="455"/>
      <c r="AB443" s="455"/>
      <c r="AC443" s="87">
        <f t="shared" si="246"/>
        <v>5847.3</v>
      </c>
      <c r="AD443" s="462"/>
      <c r="AE443" s="461"/>
      <c r="AF443" s="87" t="e">
        <f t="shared" si="247"/>
        <v>#VALUE!</v>
      </c>
      <c r="AG443" s="456"/>
      <c r="AH443" s="457" t="e">
        <f t="shared" si="243"/>
        <v>#VALUE!</v>
      </c>
      <c r="AI443" s="97" t="e">
        <f t="shared" si="250"/>
        <v>#VALUE!</v>
      </c>
      <c r="AJ443" s="462"/>
      <c r="AK443" s="455"/>
      <c r="AL443" s="87" t="e">
        <f t="shared" si="248"/>
        <v>#VALUE!</v>
      </c>
      <c r="AM443" s="459"/>
      <c r="AN443" s="457" t="e">
        <f t="shared" si="244"/>
        <v>#VALUE!</v>
      </c>
      <c r="AO443" s="214" t="e">
        <f t="shared" si="249"/>
        <v>#VALUE!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8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5"/>
        <v>2595</v>
      </c>
      <c r="AA444" s="455"/>
      <c r="AB444" s="455"/>
      <c r="AC444" s="87">
        <f t="shared" si="246"/>
        <v>2595</v>
      </c>
      <c r="AD444" s="462"/>
      <c r="AE444" s="461"/>
      <c r="AF444" s="87" t="e">
        <f t="shared" si="247"/>
        <v>#VALUE!</v>
      </c>
      <c r="AG444" s="456"/>
      <c r="AH444" s="457" t="e">
        <f t="shared" si="243"/>
        <v>#VALUE!</v>
      </c>
      <c r="AI444" s="458" t="e">
        <f t="shared" si="250"/>
        <v>#VALUE!</v>
      </c>
      <c r="AJ444" s="462"/>
      <c r="AK444" s="455"/>
      <c r="AL444" s="87" t="e">
        <f t="shared" si="248"/>
        <v>#VALUE!</v>
      </c>
      <c r="AM444" s="459"/>
      <c r="AN444" s="457" t="e">
        <f t="shared" si="244"/>
        <v>#VALUE!</v>
      </c>
      <c r="AO444" s="214" t="e">
        <f t="shared" si="249"/>
        <v>#VALUE!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8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5"/>
        <v>11673</v>
      </c>
      <c r="AA445" s="455"/>
      <c r="AB445" s="461"/>
      <c r="AC445" s="87">
        <f t="shared" si="246"/>
        <v>11673</v>
      </c>
      <c r="AD445" s="462"/>
      <c r="AE445" s="461"/>
      <c r="AF445" s="87" t="e">
        <f t="shared" si="247"/>
        <v>#VALUE!</v>
      </c>
      <c r="AG445" s="456"/>
      <c r="AH445" s="457" t="e">
        <f t="shared" si="243"/>
        <v>#VALUE!</v>
      </c>
      <c r="AI445" s="97" t="e">
        <f t="shared" si="250"/>
        <v>#VALUE!</v>
      </c>
      <c r="AJ445" s="462"/>
      <c r="AK445" s="455"/>
      <c r="AL445" s="87" t="e">
        <f t="shared" si="248"/>
        <v>#VALUE!</v>
      </c>
      <c r="AM445" s="459"/>
      <c r="AN445" s="457" t="e">
        <f t="shared" si="244"/>
        <v>#VALUE!</v>
      </c>
      <c r="AO445" s="214" t="e">
        <f t="shared" si="249"/>
        <v>#VALUE!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8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5"/>
        <v>9565.7500000000018</v>
      </c>
      <c r="AA446" s="455"/>
      <c r="AB446" s="461"/>
      <c r="AC446" s="87">
        <f t="shared" si="246"/>
        <v>9565.7500000000018</v>
      </c>
      <c r="AD446" s="462"/>
      <c r="AE446" s="461"/>
      <c r="AF446" s="87" t="e">
        <f t="shared" si="247"/>
        <v>#VALUE!</v>
      </c>
      <c r="AG446" s="456"/>
      <c r="AH446" s="457" t="e">
        <f t="shared" si="243"/>
        <v>#VALUE!</v>
      </c>
      <c r="AI446" s="458" t="e">
        <f t="shared" si="250"/>
        <v>#VALUE!</v>
      </c>
      <c r="AJ446" s="462"/>
      <c r="AK446" s="455"/>
      <c r="AL446" s="87" t="e">
        <f t="shared" si="248"/>
        <v>#VALUE!</v>
      </c>
      <c r="AM446" s="459"/>
      <c r="AN446" s="457" t="e">
        <f t="shared" si="244"/>
        <v>#VALUE!</v>
      </c>
      <c r="AO446" s="214" t="e">
        <f t="shared" si="249"/>
        <v>#VALUE!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8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5"/>
        <v>18661.673043282113</v>
      </c>
      <c r="AA447" s="455"/>
      <c r="AB447" s="461"/>
      <c r="AC447" s="87">
        <f t="shared" si="246"/>
        <v>18661.673043282113</v>
      </c>
      <c r="AD447" s="462"/>
      <c r="AE447" s="461"/>
      <c r="AF447" s="446">
        <f>SUMIFS(BV_Data_An_Cour!$P:$P,BV_Data_An_Cour!$V:$V,$V447)</f>
        <v>16245.33</v>
      </c>
      <c r="AG447" s="456"/>
      <c r="AH447" s="457">
        <f t="shared" ref="AH447:AH450" si="257">AF447-AC447</f>
        <v>-2416.3430432821133</v>
      </c>
      <c r="AI447" s="458">
        <f t="shared" ref="AI447:AI450" si="258">IF(AC447=0,0,AH447/AC447)</f>
        <v>-0.12948158708374521</v>
      </c>
      <c r="AJ447" s="462"/>
      <c r="AK447" s="455"/>
      <c r="AL447" s="87" t="e">
        <f t="shared" si="248"/>
        <v>#VALUE!</v>
      </c>
      <c r="AM447" s="459"/>
      <c r="AN447" s="457" t="e">
        <f t="shared" ref="AN447:AN450" si="259">AF447-AL447</f>
        <v>#VALUE!</v>
      </c>
      <c r="AO447" s="214" t="e">
        <f t="shared" ref="AO447:AO450" si="260">IF(AL447=0,0,AN447/AL447)</f>
        <v>#VALUE!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8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5"/>
        <v>0</v>
      </c>
      <c r="AA448" s="455"/>
      <c r="AB448" s="461"/>
      <c r="AC448" s="87">
        <f t="shared" si="246"/>
        <v>0</v>
      </c>
      <c r="AD448" s="462"/>
      <c r="AE448" s="461"/>
      <c r="AF448" s="87" t="e">
        <f t="shared" si="247"/>
        <v>#VALUE!</v>
      </c>
      <c r="AG448" s="456"/>
      <c r="AH448" s="457" t="e">
        <f t="shared" si="257"/>
        <v>#VALUE!</v>
      </c>
      <c r="AI448" s="458">
        <f t="shared" si="258"/>
        <v>0</v>
      </c>
      <c r="AJ448" s="462"/>
      <c r="AK448" s="455"/>
      <c r="AL448" s="87" t="e">
        <f t="shared" si="248"/>
        <v>#VALUE!</v>
      </c>
      <c r="AM448" s="459"/>
      <c r="AN448" s="457" t="e">
        <f t="shared" si="259"/>
        <v>#VALUE!</v>
      </c>
      <c r="AO448" s="214" t="e">
        <f t="shared" si="260"/>
        <v>#VALUE!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8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5"/>
        <v>0</v>
      </c>
      <c r="AA449" s="455"/>
      <c r="AB449" s="461"/>
      <c r="AC449" s="87">
        <f t="shared" si="246"/>
        <v>0</v>
      </c>
      <c r="AD449" s="462"/>
      <c r="AE449" s="461"/>
      <c r="AF449" s="87" t="e">
        <f t="shared" si="247"/>
        <v>#VALUE!</v>
      </c>
      <c r="AG449" s="456"/>
      <c r="AH449" s="457" t="e">
        <f t="shared" si="257"/>
        <v>#VALUE!</v>
      </c>
      <c r="AI449" s="458">
        <f t="shared" si="258"/>
        <v>0</v>
      </c>
      <c r="AJ449" s="462"/>
      <c r="AK449" s="455"/>
      <c r="AL449" s="87" t="e">
        <f t="shared" si="248"/>
        <v>#VALUE!</v>
      </c>
      <c r="AM449" s="459"/>
      <c r="AN449" s="457" t="e">
        <f t="shared" si="259"/>
        <v>#VALUE!</v>
      </c>
      <c r="AO449" s="214" t="e">
        <f t="shared" si="260"/>
        <v>#VALUE!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8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5"/>
        <v>0</v>
      </c>
      <c r="AA450" s="455"/>
      <c r="AB450" s="461"/>
      <c r="AC450" s="87">
        <f t="shared" si="246"/>
        <v>0</v>
      </c>
      <c r="AD450" s="462"/>
      <c r="AE450" s="461"/>
      <c r="AF450" s="87" t="e">
        <f t="shared" si="247"/>
        <v>#VALUE!</v>
      </c>
      <c r="AG450" s="456"/>
      <c r="AH450" s="457" t="e">
        <f t="shared" si="257"/>
        <v>#VALUE!</v>
      </c>
      <c r="AI450" s="458">
        <f t="shared" si="258"/>
        <v>0</v>
      </c>
      <c r="AJ450" s="462"/>
      <c r="AK450" s="455"/>
      <c r="AL450" s="87" t="e">
        <f t="shared" si="248"/>
        <v>#VALUE!</v>
      </c>
      <c r="AM450" s="459"/>
      <c r="AN450" s="457" t="e">
        <f t="shared" si="259"/>
        <v>#VALUE!</v>
      </c>
      <c r="AO450" s="214" t="e">
        <f t="shared" si="260"/>
        <v>#VALUE!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8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0.26628384921913723</v>
      </c>
      <c r="Y451" s="88"/>
      <c r="Z451" s="90">
        <f>+SUM(Z433:Z450)</f>
        <v>334445.81124527665</v>
      </c>
      <c r="AA451" s="89">
        <f>AC451/+AC406</f>
        <v>0.25312158391428891</v>
      </c>
      <c r="AB451" s="88"/>
      <c r="AC451" s="90">
        <f>+SUM(AC433:AC450)</f>
        <v>334445.81124527665</v>
      </c>
      <c r="AD451" s="91" t="e">
        <f>AF451/AF406</f>
        <v>#VALUE!</v>
      </c>
      <c r="AE451" s="88"/>
      <c r="AF451" s="90" t="e">
        <f>+SUM(AF433:AF450)</f>
        <v>#VALUE!</v>
      </c>
      <c r="AG451" s="99"/>
      <c r="AH451" s="555" t="e">
        <f>+SUM(AH433:AH450)</f>
        <v>#VALUE!</v>
      </c>
      <c r="AI451" s="89" t="e">
        <f>AH451/AC451</f>
        <v>#VALUE!</v>
      </c>
      <c r="AJ451" s="91" t="e">
        <f>IF($AL$406=0,0,AL451/$AL$406)</f>
        <v>#VALUE!</v>
      </c>
      <c r="AK451" s="89"/>
      <c r="AL451" s="90" t="e">
        <f>+SUM(AL433:AL450)</f>
        <v>#VALUE!</v>
      </c>
      <c r="AM451" s="100"/>
      <c r="AN451" s="93" t="e">
        <f>+SUM(AN433:AN450)</f>
        <v>#VALUE!</v>
      </c>
      <c r="AO451" s="637" t="e">
        <f>IF(AL451=0,0,AN451/AL451)</f>
        <v>#VALUE!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8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78000</v>
      </c>
      <c r="AA452" s="455"/>
      <c r="AB452" s="461"/>
      <c r="AC452" s="87">
        <f>+SUMPRODUCT(('Budget révisé'!$A$8:$A$496=$A452)*('Budget révisé'!$C$3:$AO$3=AC$2),'Budget révisé'!$C$8:$AO$496)</f>
        <v>78000</v>
      </c>
      <c r="AD452" s="462"/>
      <c r="AE452" s="461"/>
      <c r="AF452" s="87">
        <f>SUMIFS(BV_Data_An_Cour!$P:$P,BV_Data_An_Cour!$V:$V,$V452)</f>
        <v>78000</v>
      </c>
      <c r="AG452" s="456"/>
      <c r="AH452" s="457">
        <f t="shared" ref="AH452:AH460" si="261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78000.26999999999</v>
      </c>
      <c r="AM452" s="459"/>
      <c r="AN452" s="457">
        <f t="shared" ref="AN452:AN460" si="262">AF452-AL452</f>
        <v>-0.26999999998952262</v>
      </c>
      <c r="AO452" s="214">
        <f t="shared" ref="AO452:AO460" si="263">IF(AL452=0,0,AN452/AL452)</f>
        <v>-3.4615264791970934E-6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8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14430</v>
      </c>
      <c r="AA453" s="455"/>
      <c r="AB453" s="461"/>
      <c r="AC453" s="87">
        <f>+SUMPRODUCT(('Budget révisé'!$A$8:$A$496=$A453)*('Budget révisé'!$C$3:$AO$3=AC$2),'Budget révisé'!$C$8:$AO$496)</f>
        <v>14430</v>
      </c>
      <c r="AD453" s="462"/>
      <c r="AE453" s="461"/>
      <c r="AF453" s="87">
        <f>SUMIFS(BV_Data_An_Cour!$P:$P,BV_Data_An_Cour!$V:$V,$V453)</f>
        <v>14430.000000000002</v>
      </c>
      <c r="AG453" s="456"/>
      <c r="AH453" s="457">
        <f t="shared" si="261"/>
        <v>0</v>
      </c>
      <c r="AI453" s="458">
        <f t="shared" ref="AI453:AI460" si="264">IF(AC453=0,0,AH453/AC453)</f>
        <v>0</v>
      </c>
      <c r="AJ453" s="462"/>
      <c r="AK453" s="455"/>
      <c r="AL453" s="87">
        <f>SUMIFS(BV_Data_An_Prec!$P:$P,BV_Data_An_Prec!$V:$V,$V453)</f>
        <v>14100</v>
      </c>
      <c r="AM453" s="459"/>
      <c r="AN453" s="457">
        <f t="shared" si="262"/>
        <v>330.00000000000182</v>
      </c>
      <c r="AO453" s="214">
        <f t="shared" si="263"/>
        <v>2.3404255319149064E-2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8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9600</v>
      </c>
      <c r="AA454" s="445"/>
      <c r="AB454" s="464"/>
      <c r="AC454" s="446">
        <f>+SUMPRODUCT(('Budget révisé'!$A$8:$A$496=$A454)*('Budget révisé'!$C$3:$AO$3=AC$2),'Budget révisé'!$C$8:$AO$496)</f>
        <v>9600</v>
      </c>
      <c r="AD454" s="465"/>
      <c r="AE454" s="464"/>
      <c r="AF454" s="446">
        <f>SUMIFS(BV_Data_An_Cour!$P:$P,BV_Data_An_Cour!$V:$V,$V454)</f>
        <v>9600</v>
      </c>
      <c r="AG454" s="447"/>
      <c r="AH454" s="448">
        <f t="shared" si="261"/>
        <v>0</v>
      </c>
      <c r="AI454" s="466">
        <f t="shared" si="264"/>
        <v>0</v>
      </c>
      <c r="AJ454" s="465"/>
      <c r="AK454" s="445"/>
      <c r="AL454" s="446">
        <f>SUMIFS(BV_Data_An_Prec!$P:$P,BV_Data_An_Prec!$V:$V,$V454)</f>
        <v>9450</v>
      </c>
      <c r="AM454" s="450"/>
      <c r="AN454" s="448">
        <f t="shared" si="262"/>
        <v>150</v>
      </c>
      <c r="AO454" s="451">
        <f t="shared" si="263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8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61"/>
        <v>0</v>
      </c>
      <c r="AI455" s="458">
        <f t="shared" si="264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62"/>
        <v>0</v>
      </c>
      <c r="AO455" s="214">
        <f t="shared" si="263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8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11124.250000000002</v>
      </c>
      <c r="AA456" s="445"/>
      <c r="AB456" s="464"/>
      <c r="AC456" s="446">
        <f>+SUMPRODUCT(('Budget révisé'!$A$8:$A$496=$A456)*('Budget révisé'!$C$3:$AO$3=AC$2),'Budget révisé'!$C$8:$AO$496)</f>
        <v>11124.250000000002</v>
      </c>
      <c r="AD456" s="465"/>
      <c r="AE456" s="464"/>
      <c r="AF456" s="446">
        <f>SUMIF(BV_Data_An_Cour!$V:$V,Print_AAD!$V456,BV_Data_An_Cour!$P:$P)</f>
        <v>11124.33</v>
      </c>
      <c r="AG456" s="447"/>
      <c r="AH456" s="448">
        <f t="shared" si="261"/>
        <v>7.9999999998108251E-2</v>
      </c>
      <c r="AI456" s="466">
        <f t="shared" si="264"/>
        <v>7.191496055743824E-6</v>
      </c>
      <c r="AJ456" s="465"/>
      <c r="AK456" s="445"/>
      <c r="AL456" s="446">
        <f>SUMIF(BV_Data_An_Prec!$V:$V,Print_AAD!$V456,BV_Data_An_Prec!$P:$P)</f>
        <v>4500</v>
      </c>
      <c r="AM456" s="450"/>
      <c r="AN456" s="448">
        <f t="shared" si="262"/>
        <v>6624.33</v>
      </c>
      <c r="AO456" s="451">
        <f t="shared" si="263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8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11430</v>
      </c>
      <c r="AA457" s="476"/>
      <c r="AB457" s="477"/>
      <c r="AC457" s="87">
        <f>+SUMPRODUCT(('Budget révisé'!$A$8:$A$496=$A457)*('Budget révisé'!$C$3:$AO$3=AC$2),'Budget révisé'!$C$8:$AO$496)</f>
        <v>11430</v>
      </c>
      <c r="AD457" s="462"/>
      <c r="AE457" s="461"/>
      <c r="AF457" s="87">
        <f>SUMIFS(BV_Data_An_Cour!$P:$P,BV_Data_An_Cour!$V:$V,$V457)</f>
        <v>12433.36</v>
      </c>
      <c r="AG457" s="456"/>
      <c r="AH457" s="457">
        <f t="shared" si="261"/>
        <v>1003.3600000000006</v>
      </c>
      <c r="AI457" s="458">
        <f t="shared" si="264"/>
        <v>8.7783027121609847E-2</v>
      </c>
      <c r="AJ457" s="462"/>
      <c r="AK457" s="455"/>
      <c r="AL457" s="87">
        <f>SUMIFS(BV_Data_An_Prec!$P:$P,BV_Data_An_Prec!$V:$V,$V457)</f>
        <v>11010</v>
      </c>
      <c r="AM457" s="459"/>
      <c r="AN457" s="457">
        <f t="shared" si="262"/>
        <v>1423.3600000000006</v>
      </c>
      <c r="AO457" s="214">
        <f t="shared" si="263"/>
        <v>0.12927883742052684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8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18651.500000000004</v>
      </c>
      <c r="AA458" s="455"/>
      <c r="AB458" s="461"/>
      <c r="AC458" s="87">
        <f>+SUMPRODUCT(('Budget révisé'!$A$8:$A$496=$A458)*('Budget révisé'!$C$3:$AO$3=AC$2),'Budget révisé'!$C$8:$AO$496)</f>
        <v>18651.500000000004</v>
      </c>
      <c r="AD458" s="462"/>
      <c r="AE458" s="461"/>
      <c r="AF458" s="87">
        <f>SUMIFS(BV_Data_An_Cour!$P:$P,BV_Data_An_Cour!$V:$V,$V458)</f>
        <v>18651.29</v>
      </c>
      <c r="AG458" s="456"/>
      <c r="AH458" s="457">
        <f t="shared" si="261"/>
        <v>-0.21000000000276486</v>
      </c>
      <c r="AI458" s="458">
        <f t="shared" si="264"/>
        <v>-1.1259148057945195E-5</v>
      </c>
      <c r="AJ458" s="462"/>
      <c r="AK458" s="455"/>
      <c r="AL458" s="87">
        <f>SUMIFS(BV_Data_An_Prec!$P:$P,BV_Data_An_Prec!$V:$V,$V458)</f>
        <v>24075</v>
      </c>
      <c r="AM458" s="459"/>
      <c r="AN458" s="457">
        <f t="shared" si="262"/>
        <v>-5423.7099999999991</v>
      </c>
      <c r="AO458" s="214">
        <f t="shared" si="263"/>
        <v>-0.22528390446521285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8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3000</v>
      </c>
      <c r="AA459" s="445"/>
      <c r="AB459" s="464"/>
      <c r="AC459" s="446">
        <f>+SUMPRODUCT(('Budget révisé'!$A$8:$A$496=$A459)*('Budget révisé'!$C$3:$AO$3=AC$2),'Budget révisé'!$C$8:$AO$496)</f>
        <v>3000</v>
      </c>
      <c r="AD459" s="465"/>
      <c r="AE459" s="464"/>
      <c r="AF459" s="446">
        <f>SUMIFS(BV_Data_An_Cour!$P:$P,BV_Data_An_Cour!$V:$V,$V459)</f>
        <v>3032.12</v>
      </c>
      <c r="AG459" s="447"/>
      <c r="AH459" s="448">
        <f t="shared" si="261"/>
        <v>32.119999999999891</v>
      </c>
      <c r="AI459" s="466">
        <f t="shared" si="264"/>
        <v>1.070666666666663E-2</v>
      </c>
      <c r="AJ459" s="465"/>
      <c r="AK459" s="445"/>
      <c r="AL459" s="446">
        <f>SUMIFS(BV_Data_An_Prec!$P:$P,BV_Data_An_Prec!$V:$V,$V459)</f>
        <v>2652</v>
      </c>
      <c r="AM459" s="450"/>
      <c r="AN459" s="448">
        <f t="shared" si="262"/>
        <v>380.11999999999989</v>
      </c>
      <c r="AO459" s="451">
        <f t="shared" si="263"/>
        <v>0.14333333333333328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8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2700</v>
      </c>
      <c r="AA460" s="455"/>
      <c r="AB460" s="461"/>
      <c r="AC460" s="87">
        <f>+SUMPRODUCT(('Budget révisé'!$A$8:$A$496=$A460)*('Budget révisé'!$C$3:$AO$3=AC$2),'Budget révisé'!$C$8:$AO$496)</f>
        <v>2700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61"/>
        <v>-2700</v>
      </c>
      <c r="AI460" s="478">
        <f t="shared" si="264"/>
        <v>-1</v>
      </c>
      <c r="AJ460" s="455"/>
      <c r="AK460" s="455"/>
      <c r="AL460" s="87">
        <f>SUMIFS(BV_Data_An_Prec!$P:$P,BV_Data_An_Prec!$V:$V,$V460)</f>
        <v>2700</v>
      </c>
      <c r="AM460" s="459"/>
      <c r="AN460" s="457">
        <f t="shared" si="262"/>
        <v>-2700</v>
      </c>
      <c r="AO460" s="214">
        <f t="shared" si="263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8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8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8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8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8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0.11858179550424619</v>
      </c>
      <c r="Y465" s="88"/>
      <c r="Z465" s="90">
        <f>SUM(Z452:Z464)</f>
        <v>148935.75</v>
      </c>
      <c r="AA465" s="89">
        <f>AC465/+AC406</f>
        <v>0.1127203620852494</v>
      </c>
      <c r="AB465" s="88"/>
      <c r="AC465" s="90">
        <f>SUM(AC452:AC464)</f>
        <v>148935.75</v>
      </c>
      <c r="AD465" s="91" t="e">
        <f>AF465/AF406</f>
        <v>#VALUE!</v>
      </c>
      <c r="AE465" s="88"/>
      <c r="AF465" s="90">
        <f>SUM(AF452:AF464)</f>
        <v>147271.1</v>
      </c>
      <c r="AG465" s="99"/>
      <c r="AH465" s="557">
        <f>SUM(AH452:AH464)</f>
        <v>-1664.6500000000042</v>
      </c>
      <c r="AI465" s="89">
        <f>IF(AC465=0,0,AH465/AC465)</f>
        <v>-1.1176967249300481E-2</v>
      </c>
      <c r="AJ465" s="91" t="e">
        <f>IF($AL$406=0,0,AL465/$AL$406)</f>
        <v>#VALUE!</v>
      </c>
      <c r="AK465" s="89"/>
      <c r="AL465" s="90">
        <f>SUM(AL452:AL464)</f>
        <v>146487.26999999999</v>
      </c>
      <c r="AM465" s="100"/>
      <c r="AN465" s="93">
        <f>SUM(AN452:AN464)</f>
        <v>783.83000000001357</v>
      </c>
      <c r="AO465" s="637">
        <f>IF(AL465=0,0,AN465/AL465)</f>
        <v>5.3508403836047573E-3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8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65">AF466-AC466</f>
        <v>0</v>
      </c>
      <c r="AI466" s="458"/>
      <c r="AJ466" s="462"/>
      <c r="AK466" s="455"/>
      <c r="AL466" s="105"/>
      <c r="AM466" s="479"/>
      <c r="AN466" s="457">
        <f t="shared" ref="AN466:AN472" si="266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8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1.2502986011414106</v>
      </c>
      <c r="Y467" s="88"/>
      <c r="Z467" s="90">
        <f>Z418+Z432+Z451+Z465</f>
        <v>1570343.5682779728</v>
      </c>
      <c r="AA467" s="89">
        <f>AC467/+AC406</f>
        <v>1.1895304061791661</v>
      </c>
      <c r="AB467" s="88"/>
      <c r="AC467" s="90">
        <f>AC418+AC432+AC451+AC465</f>
        <v>1571708.9611379309</v>
      </c>
      <c r="AD467" s="91" t="e">
        <f>AF467/AF406</f>
        <v>#VALUE!</v>
      </c>
      <c r="AE467" s="88"/>
      <c r="AF467" s="90" t="e">
        <f>AF418+AF432+AF451+AF465</f>
        <v>#VALUE!</v>
      </c>
      <c r="AG467" s="99"/>
      <c r="AH467" s="93" t="e">
        <f t="shared" si="265"/>
        <v>#VALUE!</v>
      </c>
      <c r="AI467" s="89" t="e">
        <f>AH467/AC467</f>
        <v>#VALUE!</v>
      </c>
      <c r="AJ467" s="91" t="e">
        <f>IF($AL$406=0,0,AL467/$AL$406)</f>
        <v>#VALUE!</v>
      </c>
      <c r="AK467" s="89"/>
      <c r="AL467" s="90" t="e">
        <f>AL418+AL432+AL451+AL465</f>
        <v>#VALUE!</v>
      </c>
      <c r="AM467" s="100"/>
      <c r="AN467" s="93" t="e">
        <f t="shared" si="266"/>
        <v>#VALUE!</v>
      </c>
      <c r="AO467" s="453" t="e">
        <f>IF(AL467=0,0,AN467/AL467)</f>
        <v>#VALUE!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8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138908.82</v>
      </c>
      <c r="AG468" s="251"/>
      <c r="AH468" s="482">
        <f t="shared" si="265"/>
        <v>138908.82</v>
      </c>
      <c r="AI468" s="483" t="e">
        <f t="shared" ref="AI468:AI472" si="267">IF(AH468=0,0,AH468/AC468)</f>
        <v>#DIV/0!</v>
      </c>
      <c r="AJ468" s="252"/>
      <c r="AK468" s="249"/>
      <c r="AL468" s="484">
        <f>-SUMIFS(BV_Data_An_Prec!$P:$P,BV_Data_An_Prec!$V:$V,$V468)</f>
        <v>141107.5</v>
      </c>
      <c r="AM468" s="253"/>
      <c r="AN468" s="482">
        <f t="shared" si="266"/>
        <v>-2198.679999999993</v>
      </c>
      <c r="AO468" s="261">
        <f>IF(AL468=0,0,AN468/AL468)</f>
        <v>-1.5581595592013131E-2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8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8">+SUMIF($C:$C,$V469,F:F)</f>
        <v>145551.13500000001</v>
      </c>
      <c r="AA469" s="255"/>
      <c r="AB469" s="247"/>
      <c r="AC469" s="254">
        <f t="shared" ref="AC469:AC479" si="269">+SUMIF($C:$C,$V469,I:I)</f>
        <v>147852.33871541501</v>
      </c>
      <c r="AD469" s="258"/>
      <c r="AE469" s="247"/>
      <c r="AF469" s="254">
        <f t="shared" ref="AF469:AF479" si="270">+SUMIF($C:$C,$V469,L:L)</f>
        <v>229570</v>
      </c>
      <c r="AG469" s="256"/>
      <c r="AH469" s="482">
        <f t="shared" si="265"/>
        <v>81717.661284584989</v>
      </c>
      <c r="AI469" s="257">
        <f>IF(AC469=0,0,AH469/AC469)</f>
        <v>0.55269779290995513</v>
      </c>
      <c r="AJ469" s="258"/>
      <c r="AK469" s="255"/>
      <c r="AL469" s="259">
        <f t="shared" ref="AL469:AL479" si="271">+SUMIF($C:$C,$V469,Q:Q)</f>
        <v>240979.1</v>
      </c>
      <c r="AM469" s="260"/>
      <c r="AN469" s="482">
        <f t="shared" si="266"/>
        <v>-11409.100000000006</v>
      </c>
      <c r="AO469" s="261">
        <f>IF(AL469=0,0,AN469/AL469)</f>
        <v>-4.7344769733142854E-2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8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8"/>
        <v>90715.275000000023</v>
      </c>
      <c r="AA470" s="255"/>
      <c r="AB470" s="247"/>
      <c r="AC470" s="254">
        <f t="shared" si="269"/>
        <v>21787.551410622465</v>
      </c>
      <c r="AD470" s="258"/>
      <c r="AE470" s="247"/>
      <c r="AF470" s="254">
        <f t="shared" si="270"/>
        <v>65776.52</v>
      </c>
      <c r="AG470" s="256"/>
      <c r="AH470" s="482">
        <f t="shared" si="265"/>
        <v>43988.968589377539</v>
      </c>
      <c r="AI470" s="257">
        <f t="shared" si="267"/>
        <v>2.0189955153900785</v>
      </c>
      <c r="AJ470" s="258"/>
      <c r="AK470" s="255"/>
      <c r="AL470" s="259">
        <f t="shared" si="271"/>
        <v>26080</v>
      </c>
      <c r="AM470" s="260"/>
      <c r="AN470" s="482">
        <f t="shared" si="266"/>
        <v>39696.520000000004</v>
      </c>
      <c r="AO470" s="261">
        <f t="shared" ref="AO470:AO472" si="272">IF(AL470=0,0,AN470/AL470)</f>
        <v>1.522105828220859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8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8"/>
        <v>0</v>
      </c>
      <c r="AA471" s="255"/>
      <c r="AB471" s="247"/>
      <c r="AC471" s="254">
        <f t="shared" si="269"/>
        <v>0</v>
      </c>
      <c r="AD471" s="258"/>
      <c r="AE471" s="247"/>
      <c r="AF471" s="254">
        <f t="shared" si="270"/>
        <v>0</v>
      </c>
      <c r="AG471" s="256"/>
      <c r="AH471" s="482">
        <f t="shared" si="265"/>
        <v>0</v>
      </c>
      <c r="AI471" s="257">
        <f t="shared" si="267"/>
        <v>0</v>
      </c>
      <c r="AJ471" s="258"/>
      <c r="AK471" s="255"/>
      <c r="AL471" s="259">
        <f t="shared" si="271"/>
        <v>0</v>
      </c>
      <c r="AM471" s="260"/>
      <c r="AN471" s="482">
        <f t="shared" si="266"/>
        <v>0</v>
      </c>
      <c r="AO471" s="261">
        <f t="shared" si="272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8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8"/>
        <v>0</v>
      </c>
      <c r="AA472" s="255"/>
      <c r="AB472" s="247"/>
      <c r="AC472" s="254">
        <f t="shared" si="269"/>
        <v>0</v>
      </c>
      <c r="AD472" s="258"/>
      <c r="AE472" s="247"/>
      <c r="AF472" s="254">
        <f t="shared" si="270"/>
        <v>0</v>
      </c>
      <c r="AG472" s="256"/>
      <c r="AH472" s="482">
        <f t="shared" si="265"/>
        <v>0</v>
      </c>
      <c r="AI472" s="257">
        <f t="shared" si="267"/>
        <v>0</v>
      </c>
      <c r="AJ472" s="258"/>
      <c r="AK472" s="255"/>
      <c r="AL472" s="259">
        <f t="shared" si="271"/>
        <v>0</v>
      </c>
      <c r="AM472" s="260"/>
      <c r="AN472" s="482">
        <f t="shared" si="266"/>
        <v>0</v>
      </c>
      <c r="AO472" s="261">
        <f t="shared" si="27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8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8"/>
        <v>8500</v>
      </c>
      <c r="AA473" s="255"/>
      <c r="AB473" s="247"/>
      <c r="AC473" s="254">
        <f t="shared" si="269"/>
        <v>8500</v>
      </c>
      <c r="AD473" s="258"/>
      <c r="AE473" s="247"/>
      <c r="AF473" s="254">
        <f t="shared" si="270"/>
        <v>0</v>
      </c>
      <c r="AG473" s="256"/>
      <c r="AH473" s="482">
        <f t="shared" ref="AH473:AH478" si="273">AF473-AC473</f>
        <v>-8500</v>
      </c>
      <c r="AI473" s="257">
        <f t="shared" ref="AI473:AI478" si="274">IF(AH473=0,0,AH473/AC473)</f>
        <v>-1</v>
      </c>
      <c r="AJ473" s="258"/>
      <c r="AK473" s="255"/>
      <c r="AL473" s="259">
        <f t="shared" si="271"/>
        <v>0</v>
      </c>
      <c r="AM473" s="260"/>
      <c r="AN473" s="482">
        <f t="shared" ref="AN473:AN475" si="275">AF473-AL473</f>
        <v>0</v>
      </c>
      <c r="AO473" s="261">
        <f t="shared" ref="AO473:AO475" si="276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8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8"/>
        <v>0</v>
      </c>
      <c r="AA474" s="255"/>
      <c r="AB474" s="247"/>
      <c r="AC474" s="254">
        <f t="shared" si="269"/>
        <v>0</v>
      </c>
      <c r="AD474" s="258"/>
      <c r="AE474" s="247"/>
      <c r="AF474" s="254">
        <f t="shared" si="270"/>
        <v>0</v>
      </c>
      <c r="AG474" s="256"/>
      <c r="AH474" s="482">
        <f t="shared" si="273"/>
        <v>0</v>
      </c>
      <c r="AI474" s="257">
        <f t="shared" si="274"/>
        <v>0</v>
      </c>
      <c r="AJ474" s="258"/>
      <c r="AK474" s="255"/>
      <c r="AL474" s="259">
        <f t="shared" si="271"/>
        <v>0</v>
      </c>
      <c r="AM474" s="260"/>
      <c r="AN474" s="482">
        <f t="shared" si="275"/>
        <v>0</v>
      </c>
      <c r="AO474" s="261">
        <f t="shared" si="276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8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8"/>
        <v>0</v>
      </c>
      <c r="AA475" s="255"/>
      <c r="AB475" s="247"/>
      <c r="AC475" s="254">
        <f t="shared" si="269"/>
        <v>0</v>
      </c>
      <c r="AD475" s="258"/>
      <c r="AE475" s="247"/>
      <c r="AF475" s="254">
        <f t="shared" si="270"/>
        <v>0</v>
      </c>
      <c r="AG475" s="256"/>
      <c r="AH475" s="482">
        <f t="shared" si="273"/>
        <v>0</v>
      </c>
      <c r="AI475" s="257">
        <f t="shared" si="274"/>
        <v>0</v>
      </c>
      <c r="AJ475" s="258"/>
      <c r="AK475" s="255"/>
      <c r="AL475" s="259">
        <f t="shared" si="271"/>
        <v>0</v>
      </c>
      <c r="AM475" s="260"/>
      <c r="AN475" s="482">
        <f t="shared" si="275"/>
        <v>0</v>
      </c>
      <c r="AO475" s="261">
        <f t="shared" si="276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8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8"/>
        <v>0</v>
      </c>
      <c r="AA476" s="255"/>
      <c r="AB476" s="247"/>
      <c r="AC476" s="254">
        <f t="shared" si="269"/>
        <v>0</v>
      </c>
      <c r="AD476" s="258"/>
      <c r="AE476" s="247"/>
      <c r="AF476" s="254" t="e">
        <f t="shared" si="270"/>
        <v>#VALUE!</v>
      </c>
      <c r="AG476" s="256"/>
      <c r="AH476" s="482" t="e">
        <f t="shared" si="273"/>
        <v>#VALUE!</v>
      </c>
      <c r="AI476" s="257" t="e">
        <f t="shared" si="274"/>
        <v>#VALUE!</v>
      </c>
      <c r="AJ476" s="258"/>
      <c r="AK476" s="255"/>
      <c r="AL476" s="259" t="e">
        <f t="shared" si="271"/>
        <v>#VALUE!</v>
      </c>
      <c r="AM476" s="260"/>
      <c r="AN476" s="482" t="e">
        <f t="shared" ref="AN476:AN479" si="277">AF476-AL476</f>
        <v>#VALUE!</v>
      </c>
      <c r="AO476" s="261" t="e">
        <f t="shared" ref="AO476:AO479" si="278">IF(AL476=0,0,AN476/AL476)</f>
        <v>#VALUE!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8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8"/>
        <v>0</v>
      </c>
      <c r="AA477" s="255"/>
      <c r="AB477" s="247"/>
      <c r="AC477" s="254">
        <f t="shared" si="269"/>
        <v>0</v>
      </c>
      <c r="AD477" s="258"/>
      <c r="AE477" s="247"/>
      <c r="AF477" s="254" t="e">
        <f t="shared" si="270"/>
        <v>#VALUE!</v>
      </c>
      <c r="AG477" s="256"/>
      <c r="AH477" s="482" t="e">
        <f t="shared" si="273"/>
        <v>#VALUE!</v>
      </c>
      <c r="AI477" s="257" t="e">
        <f t="shared" si="274"/>
        <v>#VALUE!</v>
      </c>
      <c r="AJ477" s="258"/>
      <c r="AK477" s="255"/>
      <c r="AL477" s="259" t="e">
        <f t="shared" si="271"/>
        <v>#VALUE!</v>
      </c>
      <c r="AM477" s="260"/>
      <c r="AN477" s="482" t="e">
        <f t="shared" si="277"/>
        <v>#VALUE!</v>
      </c>
      <c r="AO477" s="261" t="e">
        <f t="shared" si="278"/>
        <v>#VALUE!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8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8"/>
        <v>0</v>
      </c>
      <c r="AA478" s="255"/>
      <c r="AB478" s="247"/>
      <c r="AC478" s="254">
        <f t="shared" si="269"/>
        <v>0</v>
      </c>
      <c r="AD478" s="258"/>
      <c r="AE478" s="247"/>
      <c r="AF478" s="254" t="e">
        <f t="shared" si="270"/>
        <v>#VALUE!</v>
      </c>
      <c r="AG478" s="256"/>
      <c r="AH478" s="482" t="e">
        <f t="shared" si="273"/>
        <v>#VALUE!</v>
      </c>
      <c r="AI478" s="257" t="e">
        <f t="shared" si="274"/>
        <v>#VALUE!</v>
      </c>
      <c r="AJ478" s="258"/>
      <c r="AK478" s="255"/>
      <c r="AL478" s="259" t="e">
        <f t="shared" si="271"/>
        <v>#VALUE!</v>
      </c>
      <c r="AM478" s="260"/>
      <c r="AN478" s="482" t="e">
        <f t="shared" si="277"/>
        <v>#VALUE!</v>
      </c>
      <c r="AO478" s="261" t="e">
        <f t="shared" si="278"/>
        <v>#VALUE!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8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8"/>
        <v>74498.223694371234</v>
      </c>
      <c r="AA479" s="255"/>
      <c r="AB479" s="247"/>
      <c r="AC479" s="254">
        <f t="shared" si="269"/>
        <v>74498.223694371249</v>
      </c>
      <c r="AD479" s="258"/>
      <c r="AE479" s="247"/>
      <c r="AF479" s="254">
        <f t="shared" si="270"/>
        <v>72714.7</v>
      </c>
      <c r="AG479" s="256"/>
      <c r="AH479" s="482">
        <f t="shared" ref="AH479:AH480" si="279">AF479-AC479</f>
        <v>-1783.5236943712516</v>
      </c>
      <c r="AI479" s="257">
        <f>IF(AH479=0,0,AH479/AC479)</f>
        <v>-2.3940486174383869E-2</v>
      </c>
      <c r="AJ479" s="258"/>
      <c r="AK479" s="255"/>
      <c r="AL479" s="259">
        <f t="shared" si="271"/>
        <v>82700.25</v>
      </c>
      <c r="AM479" s="260"/>
      <c r="AN479" s="482">
        <f t="shared" si="277"/>
        <v>-9985.5500000000029</v>
      </c>
      <c r="AO479" s="261">
        <f t="shared" si="278"/>
        <v>-0.12074389134252923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8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0.25419668215646007</v>
      </c>
      <c r="Y480" s="103"/>
      <c r="Z480" s="90">
        <f>SUM(Z468:Z479)</f>
        <v>319264.63369437127</v>
      </c>
      <c r="AA480" s="89">
        <f>AC480/+AC406</f>
        <v>0.19120634009209286</v>
      </c>
      <c r="AB480" s="103"/>
      <c r="AC480" s="90">
        <f>SUM(AC468:AC479)</f>
        <v>252638.1138204087</v>
      </c>
      <c r="AD480" s="89" t="e">
        <f>AF480/+AF406</f>
        <v>#VALUE!</v>
      </c>
      <c r="AE480" s="103"/>
      <c r="AF480" s="90" t="e">
        <f>SUM(AF468:AF479)</f>
        <v>#VALUE!</v>
      </c>
      <c r="AG480" s="99"/>
      <c r="AH480" s="93" t="e">
        <f t="shared" si="279"/>
        <v>#VALUE!</v>
      </c>
      <c r="AI480" s="89" t="e">
        <f>AH480/AC480</f>
        <v>#VALUE!</v>
      </c>
      <c r="AJ480" s="109"/>
      <c r="AK480" s="110"/>
      <c r="AL480" s="90" t="e">
        <f>SUM(AL468:AL479)</f>
        <v>#VALUE!</v>
      </c>
      <c r="AM480" s="111"/>
      <c r="AN480" s="93" t="e">
        <f t="shared" ref="AN480:AN482" si="280">AF480-AL480</f>
        <v>#VALUE!</v>
      </c>
      <c r="AO480" s="637" t="e">
        <f>IF(AL480=0,0,AN480/AL480)</f>
        <v>#VALUE!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8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80"/>
        <v>0</v>
      </c>
      <c r="AO481" s="486">
        <f t="shared" ref="AO481" si="281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8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6.9084522714263103E-4</v>
      </c>
      <c r="Z482" s="491">
        <f>Z406-Z467+Z480</f>
        <v>4895.8916254256037</v>
      </c>
      <c r="AA482" s="489" t="s">
        <v>258</v>
      </c>
      <c r="AB482" s="490">
        <f>AC482/AC405</f>
        <v>3.1246576153309526E-4</v>
      </c>
      <c r="AC482" s="491">
        <f>AC406-AC467+AC480</f>
        <v>2214.3867323936429</v>
      </c>
      <c r="AD482" s="489" t="s">
        <v>258</v>
      </c>
      <c r="AE482" s="490" t="e">
        <f>AF482/AF405</f>
        <v>#VALUE!</v>
      </c>
      <c r="AF482" s="217" t="e">
        <f>AF406-AF467+AF480</f>
        <v>#VALUE!</v>
      </c>
      <c r="AG482" s="492"/>
      <c r="AH482" s="492" t="e">
        <f>AF482-AC482</f>
        <v>#VALUE!</v>
      </c>
      <c r="AI482" s="546" t="e">
        <f>AH482/AC482</f>
        <v>#VALUE!</v>
      </c>
      <c r="AJ482" s="493" t="s">
        <v>258</v>
      </c>
      <c r="AK482" s="490" t="e">
        <f>IF($AL$405=0,0,AL482/$AL$405)</f>
        <v>#VALUE!</v>
      </c>
      <c r="AL482" s="217" t="e">
        <f>AL406-AL467+AL480</f>
        <v>#VALUE!</v>
      </c>
      <c r="AM482" s="218"/>
      <c r="AN482" s="217" t="e">
        <f t="shared" si="280"/>
        <v>#VALUE!</v>
      </c>
      <c r="AO482" s="494" t="e">
        <f>IF(AL482=0,0,AN482/AL482)</f>
        <v>#VALUE!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8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82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82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82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82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82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6.9084522714263103E-4</v>
      </c>
      <c r="Z488" s="499">
        <f>Z482</f>
        <v>4895.8916254256037</v>
      </c>
      <c r="AA488" s="497" t="s">
        <v>258</v>
      </c>
      <c r="AB488" s="498">
        <f>AC488/AC405</f>
        <v>3.1246576153309526E-4</v>
      </c>
      <c r="AC488" s="499">
        <f>AC482</f>
        <v>2214.3867323936429</v>
      </c>
      <c r="AD488" s="497" t="s">
        <v>258</v>
      </c>
      <c r="AE488" s="498" t="e">
        <f>AF488/AF405</f>
        <v>#VALUE!</v>
      </c>
      <c r="AF488" s="499" t="e">
        <f>AF482</f>
        <v>#VALUE!</v>
      </c>
      <c r="AG488" s="500"/>
      <c r="AH488" s="492" t="e">
        <f>AF488-AC488</f>
        <v>#VALUE!</v>
      </c>
      <c r="AI488" s="546" t="e">
        <f>AH488/AC488</f>
        <v>#VALUE!</v>
      </c>
      <c r="AJ488" s="497" t="s">
        <v>258</v>
      </c>
      <c r="AK488" s="498" t="e">
        <f>IF($AL$405=0,0,AL488/$AL$405)</f>
        <v>#VALUE!</v>
      </c>
      <c r="AL488" s="501" t="e">
        <f>AL482</f>
        <v>#VALUE!</v>
      </c>
      <c r="AM488" s="502"/>
      <c r="AN488" s="503" t="e">
        <f>AF488-AL488</f>
        <v>#VALUE!</v>
      </c>
      <c r="AO488" s="504" t="e">
        <f>IF(AL488=0,0,AN488/AL488)</f>
        <v>#VALUE!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82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82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27501</v>
      </c>
      <c r="AA490" s="455"/>
      <c r="AB490" s="461"/>
      <c r="AC490" s="87">
        <f>+SUMPRODUCT(('Budget révisé'!$A$8:$A$496=$A490)*('Budget révisé'!$C$3:$AO$3=AC$2),'Budget révisé'!$C$8:$AO$496)</f>
        <v>27501</v>
      </c>
      <c r="AD490" s="455"/>
      <c r="AE490" s="461"/>
      <c r="AF490" s="87">
        <f>SUMIFS(BV_Data_An_Cour!$P:$P,BV_Data_An_Cour!$V:$V,$V490)</f>
        <v>27501</v>
      </c>
      <c r="AG490" s="455"/>
      <c r="AH490" s="457">
        <f t="shared" ref="AH490:AH491" si="283">AF490-AC490</f>
        <v>0</v>
      </c>
      <c r="AI490" s="97">
        <f>IF(AC490=0,0,AH490/AC490)</f>
        <v>0</v>
      </c>
      <c r="AJ490" s="455"/>
      <c r="AK490" s="455"/>
      <c r="AL490" s="87">
        <f>SUMIFS(BV_Data_An_Prec!$P:$P,BV_Data_An_Prec!$V:$V,$V490)</f>
        <v>27000</v>
      </c>
      <c r="AM490" s="459"/>
      <c r="AN490" s="457">
        <f t="shared" ref="AN490:AN491" si="284">AF490-AL490</f>
        <v>501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82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1368.75</v>
      </c>
      <c r="AA491" s="439"/>
      <c r="AB491" s="439"/>
      <c r="AC491" s="87">
        <f>+SUMPRODUCT(('Budget révisé'!$A$8:$A$496=$A491)*('Budget révisé'!$C$3:$AO$3=AC$2),'Budget révisé'!$C$8:$AO$496)</f>
        <v>1368.75</v>
      </c>
      <c r="AD491" s="439"/>
      <c r="AE491" s="178"/>
      <c r="AF491" s="254">
        <f>SUMIFS(BV_Data_An_Cour!$P:$P,BV_Data_An_Cour!$V:$V,$V491)</f>
        <v>-3716.23</v>
      </c>
      <c r="AG491" s="439"/>
      <c r="AH491" s="457">
        <f t="shared" si="283"/>
        <v>-5084.9799999999996</v>
      </c>
      <c r="AI491" s="97">
        <f t="shared" ref="AI491" si="285">IF(AC491=0,0,AH491/AC491)</f>
        <v>-3.7150538812785383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84"/>
        <v>-3716.23</v>
      </c>
      <c r="AO491" s="214">
        <f t="shared" ref="AO491" si="286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82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1754.3886089679449</v>
      </c>
      <c r="AA492" s="439"/>
      <c r="AB492" s="439"/>
      <c r="AC492" s="87">
        <f>+SUMPRODUCT(('Budget révisé'!$A$8:$A$496=$A492)*('Budget révisé'!$C$3:$AO$3=AC$2),'Budget révisé'!$C$8:$AO$496)</f>
        <v>1754.3886089679449</v>
      </c>
      <c r="AD492" s="439"/>
      <c r="AE492" s="178"/>
      <c r="AF492" s="87">
        <f>SUMIFS(BV_Data_An_Cour!$P:$P,BV_Data_An_Cour!$V:$V,$V492)</f>
        <v>1711.77</v>
      </c>
      <c r="AG492" s="439"/>
      <c r="AH492" s="457">
        <f t="shared" ref="AH492:AH496" si="287">AF492-AC492</f>
        <v>-42.618608967944965</v>
      </c>
      <c r="AI492" s="97">
        <f t="shared" ref="AI492:AI496" si="288">IF(AC492=0,0,AH492/AC492)</f>
        <v>-2.4292570500110713E-2</v>
      </c>
      <c r="AJ492" s="439"/>
      <c r="AK492" s="439"/>
      <c r="AL492" s="87">
        <f>SUMIFS(BV_Data_An_Prec!$P:$P,BV_Data_An_Prec!$V:$V,$V492)</f>
        <v>12949.42</v>
      </c>
      <c r="AM492" s="508"/>
      <c r="AN492" s="457">
        <f t="shared" ref="AN492:AN496" si="289">AF492-AL492</f>
        <v>-11237.65</v>
      </c>
      <c r="AO492" s="214">
        <f t="shared" ref="AO492:AO496" si="290">IF(AL492=0,0,AN492/AL492)</f>
        <v>-0.86781106798605645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82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7"/>
        <v>0</v>
      </c>
      <c r="AI493" s="97">
        <f t="shared" si="288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89"/>
        <v>0</v>
      </c>
      <c r="AO493" s="214">
        <f t="shared" si="29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82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7"/>
        <v>0</v>
      </c>
      <c r="AI494" s="97">
        <f t="shared" si="288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89"/>
        <v>0</v>
      </c>
      <c r="AO494" s="214">
        <f t="shared" si="29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82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7"/>
        <v>0</v>
      </c>
      <c r="AI495" s="97">
        <f t="shared" si="288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89"/>
        <v>0</v>
      </c>
      <c r="AO495" s="214">
        <f t="shared" si="29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82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7"/>
        <v>0</v>
      </c>
      <c r="AI496" s="97">
        <f t="shared" si="288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89"/>
        <v>0</v>
      </c>
      <c r="AO496" s="214">
        <f t="shared" si="290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82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-3.6304391500459107E-3</v>
      </c>
      <c r="Z497" s="491">
        <f>Z488-Z490-Z491-Z492-Z496</f>
        <v>-25728.24698354234</v>
      </c>
      <c r="AA497" s="489" t="s">
        <v>258</v>
      </c>
      <c r="AB497" s="490">
        <f>AC497/AC405</f>
        <v>-4.0088186156554467E-3</v>
      </c>
      <c r="AC497" s="491">
        <f>AC488-AC490-AC491-AC492-AC496</f>
        <v>-28409.751876574301</v>
      </c>
      <c r="AD497" s="489" t="s">
        <v>258</v>
      </c>
      <c r="AE497" s="490" t="e">
        <f>AF497/AF405</f>
        <v>#VALUE!</v>
      </c>
      <c r="AF497" s="217" t="e">
        <f>AF488-AF490-AF491-AF492-AF496</f>
        <v>#VALUE!</v>
      </c>
      <c r="AG497" s="492"/>
      <c r="AH497" s="492" t="e">
        <f>AF497-AC497</f>
        <v>#VALUE!</v>
      </c>
      <c r="AI497" s="546" t="e">
        <f>AH497/AC497</f>
        <v>#VALUE!</v>
      </c>
      <c r="AJ497" s="493" t="s">
        <v>258</v>
      </c>
      <c r="AK497" s="490" t="e">
        <f>IF($AL$405=0,0,AL497/$AL$405)</f>
        <v>#VALUE!</v>
      </c>
      <c r="AL497" s="217" t="e">
        <f>AL488-AL490-AL491-AL492-AL496</f>
        <v>#VALUE!</v>
      </c>
      <c r="AM497" s="218"/>
      <c r="AN497" s="217" t="e">
        <f>AF497-AL497</f>
        <v>#VALUE!</v>
      </c>
      <c r="AO497" s="509" t="e">
        <f>IF(AL497=0,0,AN497/AL497)</f>
        <v>#VALUE!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91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>
        <v>392317.55</v>
      </c>
      <c r="AG499" s="79"/>
      <c r="AH499" s="79"/>
      <c r="AI499" s="79"/>
      <c r="AJ499" s="79"/>
      <c r="AK499" s="79"/>
      <c r="AL499" s="79">
        <v>-36733.17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1034" t="e">
        <f>+AF497-AF499</f>
        <v>#VALUE!</v>
      </c>
      <c r="AG500" s="79"/>
      <c r="AH500" s="79"/>
      <c r="AI500" s="79"/>
      <c r="AJ500" s="79"/>
      <c r="AK500" s="79"/>
      <c r="AL500" s="1034" t="e">
        <f>+AL497-AL499</f>
        <v>#VALUE!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 J352:K352 J72:L72 H72 I121:L121 H152:L152 H348:L348 H242:L242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3" priority="339" stopIfTrue="1">
      <formula>"esterreur(reference)"</formula>
    </cfRule>
  </conditionalFormatting>
  <conditionalFormatting sqref="M95:M96">
    <cfRule type="expression" dxfId="342" priority="340" stopIfTrue="1">
      <formula>"esterreur(reference)"</formula>
    </cfRule>
  </conditionalFormatting>
  <conditionalFormatting sqref="H275:H280 J275:K280">
    <cfRule type="expression" dxfId="341" priority="341" stopIfTrue="1">
      <formula>"esterreur(reference)"</formula>
    </cfRule>
  </conditionalFormatting>
  <conditionalFormatting sqref="H219:H224 J219:K224">
    <cfRule type="expression" dxfId="340" priority="342" stopIfTrue="1">
      <formula>"esterreur(reference)"</formula>
    </cfRule>
  </conditionalFormatting>
  <conditionalFormatting sqref="H141:H147 J141:K147">
    <cfRule type="expression" dxfId="339" priority="343" stopIfTrue="1">
      <formula>"esterreur(reference)"</formula>
    </cfRule>
  </conditionalFormatting>
  <conditionalFormatting sqref="H137:H139 J137:K139">
    <cfRule type="expression" dxfId="338" priority="344" stopIfTrue="1">
      <formula>"esterreur(reference)"</formula>
    </cfRule>
  </conditionalFormatting>
  <conditionalFormatting sqref="H140 J140:K140">
    <cfRule type="expression" dxfId="337" priority="345" stopIfTrue="1">
      <formula>"esterreur(reference)"</formula>
    </cfRule>
  </conditionalFormatting>
  <conditionalFormatting sqref="L82">
    <cfRule type="expression" dxfId="336" priority="319" stopIfTrue="1">
      <formula>"esterreur(reference)"</formula>
    </cfRule>
  </conditionalFormatting>
  <conditionalFormatting sqref="M311">
    <cfRule type="expression" dxfId="335" priority="346" stopIfTrue="1">
      <formula>"esterreur(reference)"</formula>
    </cfRule>
  </conditionalFormatting>
  <conditionalFormatting sqref="R311">
    <cfRule type="expression" dxfId="334" priority="347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3" priority="348" operator="greaterThan">
      <formula>0</formula>
    </cfRule>
  </conditionalFormatting>
  <conditionalFormatting sqref="AH468:AI479">
    <cfRule type="cellIs" dxfId="332" priority="349" operator="lessThan">
      <formula>0</formula>
    </cfRule>
  </conditionalFormatting>
  <conditionalFormatting sqref="AH491:AH496">
    <cfRule type="cellIs" dxfId="331" priority="350" operator="greaterThan">
      <formula>0</formula>
    </cfRule>
  </conditionalFormatting>
  <conditionalFormatting sqref="J281:K283">
    <cfRule type="expression" dxfId="330" priority="351" stopIfTrue="1">
      <formula>"esterreur(reference)"</formula>
    </cfRule>
  </conditionalFormatting>
  <conditionalFormatting sqref="H316:L316">
    <cfRule type="expression" dxfId="329" priority="358" stopIfTrue="1">
      <formula>"esterreur(reference)"</formula>
    </cfRule>
  </conditionalFormatting>
  <conditionalFormatting sqref="H196:L196">
    <cfRule type="expression" dxfId="328" priority="359" stopIfTrue="1">
      <formula>"esterreur(reference)"</formula>
    </cfRule>
  </conditionalFormatting>
  <conditionalFormatting sqref="H55:H56 J55:K56 H71 J71:K71">
    <cfRule type="expression" dxfId="327" priority="360" stopIfTrue="1">
      <formula>"esterreur(reference)"</formula>
    </cfRule>
  </conditionalFormatting>
  <conditionalFormatting sqref="J61:K70 H61:H70">
    <cfRule type="expression" dxfId="326" priority="361" stopIfTrue="1">
      <formula>"esterreur(reference)"</formula>
    </cfRule>
  </conditionalFormatting>
  <conditionalFormatting sqref="H57:H59 J57:K59">
    <cfRule type="expression" dxfId="325" priority="362" stopIfTrue="1">
      <formula>"esterreur(reference)"</formula>
    </cfRule>
  </conditionalFormatting>
  <conditionalFormatting sqref="H60 J60:K60">
    <cfRule type="expression" dxfId="324" priority="363" stopIfTrue="1">
      <formula>"esterreur(reference)"</formula>
    </cfRule>
  </conditionalFormatting>
  <conditionalFormatting sqref="L19 L21:L23">
    <cfRule type="expression" dxfId="323" priority="337" stopIfTrue="1">
      <formula>"esterreur(reference)"</formula>
    </cfRule>
  </conditionalFormatting>
  <conditionalFormatting sqref="K98">
    <cfRule type="expression" dxfId="322" priority="364" stopIfTrue="1">
      <formula>"esterreur(reference)"</formula>
    </cfRule>
  </conditionalFormatting>
  <conditionalFormatting sqref="L331:L347">
    <cfRule type="expression" dxfId="321" priority="232" stopIfTrue="1">
      <formula>"esterreur(reference)"</formula>
    </cfRule>
  </conditionalFormatting>
  <conditionalFormatting sqref="L16:L17">
    <cfRule type="expression" dxfId="320" priority="338" stopIfTrue="1">
      <formula>"esterreur(reference)"</formula>
    </cfRule>
  </conditionalFormatting>
  <conditionalFormatting sqref="L20">
    <cfRule type="expression" dxfId="319" priority="336" stopIfTrue="1">
      <formula>"esterreur(reference)"</formula>
    </cfRule>
  </conditionalFormatting>
  <conditionalFormatting sqref="L325">
    <cfRule type="expression" dxfId="318" priority="236" stopIfTrue="1">
      <formula>"esterreur(reference)"</formula>
    </cfRule>
  </conditionalFormatting>
  <conditionalFormatting sqref="L326">
    <cfRule type="expression" dxfId="317" priority="235" stopIfTrue="1">
      <formula>"esterreur(reference)"</formula>
    </cfRule>
  </conditionalFormatting>
  <conditionalFormatting sqref="L327">
    <cfRule type="expression" dxfId="316" priority="234" stopIfTrue="1">
      <formula>"esterreur(reference)"</formula>
    </cfRule>
  </conditionalFormatting>
  <conditionalFormatting sqref="L328">
    <cfRule type="expression" dxfId="315" priority="233" stopIfTrue="1">
      <formula>"esterreur(reference)"</formula>
    </cfRule>
  </conditionalFormatting>
  <conditionalFormatting sqref="L42">
    <cfRule type="expression" dxfId="314" priority="335" stopIfTrue="1">
      <formula>"esterreur(reference)"</formula>
    </cfRule>
  </conditionalFormatting>
  <conditionalFormatting sqref="L43">
    <cfRule type="expression" dxfId="313" priority="334" stopIfTrue="1">
      <formula>"esterreur(reference)"</formula>
    </cfRule>
  </conditionalFormatting>
  <conditionalFormatting sqref="L44">
    <cfRule type="expression" dxfId="312" priority="333" stopIfTrue="1">
      <formula>"esterreur(reference)"</formula>
    </cfRule>
  </conditionalFormatting>
  <conditionalFormatting sqref="L45:L48">
    <cfRule type="expression" dxfId="311" priority="332" stopIfTrue="1">
      <formula>"esterreur(reference)"</formula>
    </cfRule>
  </conditionalFormatting>
  <conditionalFormatting sqref="L55">
    <cfRule type="expression" dxfId="310" priority="331" stopIfTrue="1">
      <formula>"esterreur(reference)"</formula>
    </cfRule>
  </conditionalFormatting>
  <conditionalFormatting sqref="L56">
    <cfRule type="expression" dxfId="309" priority="330" stopIfTrue="1">
      <formula>"esterreur(reference)"</formula>
    </cfRule>
  </conditionalFormatting>
  <conditionalFormatting sqref="L271">
    <cfRule type="expression" dxfId="308" priority="247" stopIfTrue="1">
      <formula>"esterreur(reference)"</formula>
    </cfRule>
  </conditionalFormatting>
  <conditionalFormatting sqref="L58">
    <cfRule type="expression" dxfId="307" priority="329" stopIfTrue="1">
      <formula>"esterreur(reference)"</formula>
    </cfRule>
  </conditionalFormatting>
  <conditionalFormatting sqref="L61">
    <cfRule type="expression" dxfId="306" priority="328" stopIfTrue="1">
      <formula>"esterreur(reference)"</formula>
    </cfRule>
  </conditionalFormatting>
  <conditionalFormatting sqref="L274">
    <cfRule type="expression" dxfId="305" priority="245" stopIfTrue="1">
      <formula>"esterreur(reference)"</formula>
    </cfRule>
  </conditionalFormatting>
  <conditionalFormatting sqref="L63">
    <cfRule type="expression" dxfId="304" priority="327" stopIfTrue="1">
      <formula>"esterreur(reference)"</formula>
    </cfRule>
  </conditionalFormatting>
  <conditionalFormatting sqref="L62">
    <cfRule type="expression" dxfId="303" priority="326" stopIfTrue="1">
      <formula>"esterreur(reference)"</formula>
    </cfRule>
  </conditionalFormatting>
  <conditionalFormatting sqref="L64">
    <cfRule type="expression" dxfId="302" priority="325" stopIfTrue="1">
      <formula>"esterreur(reference)"</formula>
    </cfRule>
  </conditionalFormatting>
  <conditionalFormatting sqref="L65">
    <cfRule type="expression" dxfId="301" priority="324" stopIfTrue="1">
      <formula>"esterreur(reference)"</formula>
    </cfRule>
  </conditionalFormatting>
  <conditionalFormatting sqref="L69 L66:L67">
    <cfRule type="expression" dxfId="300" priority="323" stopIfTrue="1">
      <formula>"esterreur(reference)"</formula>
    </cfRule>
  </conditionalFormatting>
  <conditionalFormatting sqref="L70">
    <cfRule type="expression" dxfId="299" priority="322" stopIfTrue="1">
      <formula>"esterreur(reference)"</formula>
    </cfRule>
  </conditionalFormatting>
  <conditionalFormatting sqref="L76:L77">
    <cfRule type="expression" dxfId="298" priority="321" stopIfTrue="1">
      <formula>"esterreur(reference)"</formula>
    </cfRule>
  </conditionalFormatting>
  <conditionalFormatting sqref="L78:L81">
    <cfRule type="expression" dxfId="297" priority="320" stopIfTrue="1">
      <formula>"esterreur(reference)"</formula>
    </cfRule>
  </conditionalFormatting>
  <conditionalFormatting sqref="L57">
    <cfRule type="expression" dxfId="296" priority="318" stopIfTrue="1">
      <formula>"esterreur(reference)"</formula>
    </cfRule>
  </conditionalFormatting>
  <conditionalFormatting sqref="L94:L95">
    <cfRule type="expression" dxfId="295" priority="317" stopIfTrue="1">
      <formula>"esterreur(reference)"</formula>
    </cfRule>
  </conditionalFormatting>
  <conditionalFormatting sqref="L98">
    <cfRule type="expression" dxfId="294" priority="316" stopIfTrue="1">
      <formula>"esterreur(reference)"</formula>
    </cfRule>
  </conditionalFormatting>
  <conditionalFormatting sqref="L99">
    <cfRule type="expression" dxfId="293" priority="315" stopIfTrue="1">
      <formula>"esterreur(reference)"</formula>
    </cfRule>
  </conditionalFormatting>
  <conditionalFormatting sqref="L101">
    <cfRule type="expression" dxfId="292" priority="314" stopIfTrue="1">
      <formula>"esterreur(reference)"</formula>
    </cfRule>
  </conditionalFormatting>
  <conditionalFormatting sqref="L102">
    <cfRule type="expression" dxfId="291" priority="313" stopIfTrue="1">
      <formula>"esterreur(reference)"</formula>
    </cfRule>
  </conditionalFormatting>
  <conditionalFormatting sqref="L103">
    <cfRule type="expression" dxfId="290" priority="312" stopIfTrue="1">
      <formula>"esterreur(reference)"</formula>
    </cfRule>
  </conditionalFormatting>
  <conditionalFormatting sqref="L111">
    <cfRule type="expression" dxfId="289" priority="311" stopIfTrue="1">
      <formula>"esterreur(reference)"</formula>
    </cfRule>
  </conditionalFormatting>
  <conditionalFormatting sqref="L112">
    <cfRule type="expression" dxfId="288" priority="310" stopIfTrue="1">
      <formula>"esterreur(reference)"</formula>
    </cfRule>
  </conditionalFormatting>
  <conditionalFormatting sqref="L207">
    <cfRule type="expression" dxfId="287" priority="270" stopIfTrue="1">
      <formula>"esterreur(reference)"</formula>
    </cfRule>
  </conditionalFormatting>
  <conditionalFormatting sqref="L114">
    <cfRule type="expression" dxfId="286" priority="309" stopIfTrue="1">
      <formula>"esterreur(reference)"</formula>
    </cfRule>
  </conditionalFormatting>
  <conditionalFormatting sqref="L227">
    <cfRule type="expression" dxfId="285" priority="266" stopIfTrue="1">
      <formula>"esterreur(reference)"</formula>
    </cfRule>
  </conditionalFormatting>
  <conditionalFormatting sqref="L116:L119">
    <cfRule type="expression" dxfId="284" priority="308" stopIfTrue="1">
      <formula>"esterreur(reference)"</formula>
    </cfRule>
  </conditionalFormatting>
  <conditionalFormatting sqref="L120">
    <cfRule type="expression" dxfId="283" priority="307" stopIfTrue="1">
      <formula>"esterreur(reference)"</formula>
    </cfRule>
  </conditionalFormatting>
  <conditionalFormatting sqref="L130">
    <cfRule type="expression" dxfId="282" priority="304" stopIfTrue="1">
      <formula>"esterreur(reference)"</formula>
    </cfRule>
  </conditionalFormatting>
  <conditionalFormatting sqref="L124">
    <cfRule type="expression" dxfId="281" priority="306" stopIfTrue="1">
      <formula>"esterreur(reference)"</formula>
    </cfRule>
  </conditionalFormatting>
  <conditionalFormatting sqref="L123">
    <cfRule type="expression" dxfId="280" priority="305" stopIfTrue="1">
      <formula>"esterreur(reference)"</formula>
    </cfRule>
  </conditionalFormatting>
  <conditionalFormatting sqref="L138">
    <cfRule type="expression" dxfId="279" priority="298" stopIfTrue="1">
      <formula>"esterreur(reference)"</formula>
    </cfRule>
  </conditionalFormatting>
  <conditionalFormatting sqref="L131">
    <cfRule type="expression" dxfId="278" priority="303" stopIfTrue="1">
      <formula>"esterreur(reference)"</formula>
    </cfRule>
  </conditionalFormatting>
  <conditionalFormatting sqref="L132">
    <cfRule type="expression" dxfId="277" priority="302" stopIfTrue="1">
      <formula>"esterreur(reference)"</formula>
    </cfRule>
  </conditionalFormatting>
  <conditionalFormatting sqref="L133">
    <cfRule type="expression" dxfId="276" priority="301" stopIfTrue="1">
      <formula>"esterreur(reference)"</formula>
    </cfRule>
  </conditionalFormatting>
  <conditionalFormatting sqref="L139">
    <cfRule type="expression" dxfId="275" priority="297" stopIfTrue="1">
      <formula>"esterreur(reference)"</formula>
    </cfRule>
  </conditionalFormatting>
  <conditionalFormatting sqref="L136">
    <cfRule type="expression" dxfId="274" priority="300" stopIfTrue="1">
      <formula>"esterreur(reference)"</formula>
    </cfRule>
  </conditionalFormatting>
  <conditionalFormatting sqref="L137">
    <cfRule type="expression" dxfId="273" priority="299" stopIfTrue="1">
      <formula>"esterreur(reference)"</formula>
    </cfRule>
  </conditionalFormatting>
  <conditionalFormatting sqref="L140">
    <cfRule type="expression" dxfId="272" priority="296" stopIfTrue="1">
      <formula>"esterreur(reference)"</formula>
    </cfRule>
  </conditionalFormatting>
  <conditionalFormatting sqref="L141">
    <cfRule type="expression" dxfId="271" priority="295" stopIfTrue="1">
      <formula>"esterreur(reference)"</formula>
    </cfRule>
  </conditionalFormatting>
  <conditionalFormatting sqref="L142">
    <cfRule type="expression" dxfId="270" priority="294" stopIfTrue="1">
      <formula>"esterreur(reference)"</formula>
    </cfRule>
  </conditionalFormatting>
  <conditionalFormatting sqref="L143">
    <cfRule type="expression" dxfId="269" priority="293" stopIfTrue="1">
      <formula>"esterreur(reference)"</formula>
    </cfRule>
  </conditionalFormatting>
  <conditionalFormatting sqref="L144">
    <cfRule type="expression" dxfId="268" priority="292" stopIfTrue="1">
      <formula>"esterreur(reference)"</formula>
    </cfRule>
  </conditionalFormatting>
  <conditionalFormatting sqref="L145">
    <cfRule type="expression" dxfId="267" priority="291" stopIfTrue="1">
      <formula>"esterreur(reference)"</formula>
    </cfRule>
  </conditionalFormatting>
  <conditionalFormatting sqref="L146">
    <cfRule type="expression" dxfId="266" priority="290" stopIfTrue="1">
      <formula>"esterreur(reference)"</formula>
    </cfRule>
  </conditionalFormatting>
  <conditionalFormatting sqref="L147">
    <cfRule type="expression" dxfId="265" priority="289" stopIfTrue="1">
      <formula>"esterreur(reference)"</formula>
    </cfRule>
  </conditionalFormatting>
  <conditionalFormatting sqref="L155">
    <cfRule type="expression" dxfId="264" priority="288" stopIfTrue="1">
      <formula>"esterreur(reference)"</formula>
    </cfRule>
  </conditionalFormatting>
  <conditionalFormatting sqref="L157">
    <cfRule type="expression" dxfId="263" priority="286" stopIfTrue="1">
      <formula>"esterreur(reference)"</formula>
    </cfRule>
  </conditionalFormatting>
  <conditionalFormatting sqref="L156">
    <cfRule type="expression" dxfId="262" priority="287" stopIfTrue="1">
      <formula>"esterreur(reference)"</formula>
    </cfRule>
  </conditionalFormatting>
  <conditionalFormatting sqref="L115">
    <cfRule type="expression" dxfId="261" priority="285" stopIfTrue="1">
      <formula>"esterreur(reference)"</formula>
    </cfRule>
  </conditionalFormatting>
  <conditionalFormatting sqref="L113">
    <cfRule type="expression" dxfId="260" priority="284" stopIfTrue="1">
      <formula>"esterreur(reference)"</formula>
    </cfRule>
  </conditionalFormatting>
  <conditionalFormatting sqref="L171">
    <cfRule type="expression" dxfId="259" priority="283" stopIfTrue="1">
      <formula>"esterreur(reference)"</formula>
    </cfRule>
  </conditionalFormatting>
  <conditionalFormatting sqref="L174">
    <cfRule type="expression" dxfId="258" priority="282" stopIfTrue="1">
      <formula>"esterreur(reference)"</formula>
    </cfRule>
  </conditionalFormatting>
  <conditionalFormatting sqref="L177">
    <cfRule type="expression" dxfId="257" priority="281" stopIfTrue="1">
      <formula>"esterreur(reference)"</formula>
    </cfRule>
  </conditionalFormatting>
  <conditionalFormatting sqref="L183">
    <cfRule type="expression" dxfId="256" priority="280" stopIfTrue="1">
      <formula>"esterreur(reference)"</formula>
    </cfRule>
  </conditionalFormatting>
  <conditionalFormatting sqref="L187">
    <cfRule type="expression" dxfId="255" priority="279" stopIfTrue="1">
      <formula>"esterreur(reference)"</formula>
    </cfRule>
  </conditionalFormatting>
  <conditionalFormatting sqref="L197">
    <cfRule type="expression" dxfId="254" priority="278" stopIfTrue="1">
      <formula>"esterreur(reference)"</formula>
    </cfRule>
  </conditionalFormatting>
  <conditionalFormatting sqref="L199">
    <cfRule type="expression" dxfId="253" priority="277" stopIfTrue="1">
      <formula>"esterreur(reference)"</formula>
    </cfRule>
  </conditionalFormatting>
  <conditionalFormatting sqref="L198">
    <cfRule type="expression" dxfId="252" priority="276" stopIfTrue="1">
      <formula>"esterreur(reference)"</formula>
    </cfRule>
  </conditionalFormatting>
  <conditionalFormatting sqref="L200">
    <cfRule type="expression" dxfId="251" priority="275" stopIfTrue="1">
      <formula>"esterreur(reference)"</formula>
    </cfRule>
  </conditionalFormatting>
  <conditionalFormatting sqref="L201">
    <cfRule type="expression" dxfId="250" priority="274" stopIfTrue="1">
      <formula>"esterreur(reference)"</formula>
    </cfRule>
  </conditionalFormatting>
  <conditionalFormatting sqref="L202:L204">
    <cfRule type="expression" dxfId="249" priority="273" stopIfTrue="1">
      <formula>"esterreur(reference)"</formula>
    </cfRule>
  </conditionalFormatting>
  <conditionalFormatting sqref="L206">
    <cfRule type="expression" dxfId="248" priority="271" stopIfTrue="1">
      <formula>"esterreur(reference)"</formula>
    </cfRule>
  </conditionalFormatting>
  <conditionalFormatting sqref="L205">
    <cfRule type="expression" dxfId="247" priority="272" stopIfTrue="1">
      <formula>"esterreur(reference)"</formula>
    </cfRule>
  </conditionalFormatting>
  <conditionalFormatting sqref="L208">
    <cfRule type="expression" dxfId="246" priority="269" stopIfTrue="1">
      <formula>"esterreur(reference)"</formula>
    </cfRule>
  </conditionalFormatting>
  <conditionalFormatting sqref="L211:L224">
    <cfRule type="expression" dxfId="245" priority="268" stopIfTrue="1">
      <formula>"esterreur(reference)"</formula>
    </cfRule>
  </conditionalFormatting>
  <conditionalFormatting sqref="L225:L226">
    <cfRule type="expression" dxfId="244" priority="267" stopIfTrue="1">
      <formula>"esterreur(reference)"</formula>
    </cfRule>
  </conditionalFormatting>
  <conditionalFormatting sqref="L180">
    <cfRule type="expression" dxfId="243" priority="265" stopIfTrue="1">
      <formula>"esterreur(reference)"</formula>
    </cfRule>
  </conditionalFormatting>
  <conditionalFormatting sqref="L243">
    <cfRule type="expression" dxfId="242" priority="264" stopIfTrue="1">
      <formula>"esterreur(reference)"</formula>
    </cfRule>
  </conditionalFormatting>
  <conditionalFormatting sqref="L246">
    <cfRule type="expression" dxfId="241" priority="263" stopIfTrue="1">
      <formula>"esterreur(reference)"</formula>
    </cfRule>
  </conditionalFormatting>
  <conditionalFormatting sqref="L253">
    <cfRule type="expression" dxfId="240" priority="262" stopIfTrue="1">
      <formula>"esterreur(reference)"</formula>
    </cfRule>
  </conditionalFormatting>
  <conditionalFormatting sqref="L254">
    <cfRule type="expression" dxfId="239" priority="261" stopIfTrue="1">
      <formula>"esterreur(reference)"</formula>
    </cfRule>
  </conditionalFormatting>
  <conditionalFormatting sqref="L255">
    <cfRule type="expression" dxfId="238" priority="260" stopIfTrue="1">
      <formula>"esterreur(reference)"</formula>
    </cfRule>
  </conditionalFormatting>
  <conditionalFormatting sqref="L256">
    <cfRule type="expression" dxfId="237" priority="259" stopIfTrue="1">
      <formula>"esterreur(reference)"</formula>
    </cfRule>
  </conditionalFormatting>
  <conditionalFormatting sqref="L257">
    <cfRule type="expression" dxfId="236" priority="258" stopIfTrue="1">
      <formula>"esterreur(reference)"</formula>
    </cfRule>
  </conditionalFormatting>
  <conditionalFormatting sqref="L258">
    <cfRule type="expression" dxfId="235" priority="257" stopIfTrue="1">
      <formula>"esterreur(reference)"</formula>
    </cfRule>
  </conditionalFormatting>
  <conditionalFormatting sqref="L259">
    <cfRule type="expression" dxfId="234" priority="256" stopIfTrue="1">
      <formula>"esterreur(reference)"</formula>
    </cfRule>
  </conditionalFormatting>
  <conditionalFormatting sqref="L260">
    <cfRule type="expression" dxfId="233" priority="255" stopIfTrue="1">
      <formula>"esterreur(reference)"</formula>
    </cfRule>
  </conditionalFormatting>
  <conditionalFormatting sqref="L261">
    <cfRule type="expression" dxfId="232" priority="254" stopIfTrue="1">
      <formula>"esterreur(reference)"</formula>
    </cfRule>
  </conditionalFormatting>
  <conditionalFormatting sqref="L262">
    <cfRule type="expression" dxfId="231" priority="253" stopIfTrue="1">
      <formula>"esterreur(reference)"</formula>
    </cfRule>
  </conditionalFormatting>
  <conditionalFormatting sqref="L263:L264">
    <cfRule type="expression" dxfId="230" priority="252" stopIfTrue="1">
      <formula>"esterreur(reference)"</formula>
    </cfRule>
  </conditionalFormatting>
  <conditionalFormatting sqref="L268">
    <cfRule type="expression" dxfId="229" priority="250" stopIfTrue="1">
      <formula>"esterreur(reference)"</formula>
    </cfRule>
  </conditionalFormatting>
  <conditionalFormatting sqref="L267">
    <cfRule type="expression" dxfId="228" priority="251" stopIfTrue="1">
      <formula>"esterreur(reference)"</formula>
    </cfRule>
  </conditionalFormatting>
  <conditionalFormatting sqref="L269">
    <cfRule type="expression" dxfId="227" priority="249" stopIfTrue="1">
      <formula>"esterreur(reference)"</formula>
    </cfRule>
  </conditionalFormatting>
  <conditionalFormatting sqref="L270">
    <cfRule type="expression" dxfId="226" priority="248" stopIfTrue="1">
      <formula>"esterreur(reference)"</formula>
    </cfRule>
  </conditionalFormatting>
  <conditionalFormatting sqref="L272:L273">
    <cfRule type="expression" dxfId="225" priority="246" stopIfTrue="1">
      <formula>"esterreur(reference)"</formula>
    </cfRule>
  </conditionalFormatting>
  <conditionalFormatting sqref="L294:L300">
    <cfRule type="expression" dxfId="224" priority="244" stopIfTrue="1">
      <formula>"esterreur(reference)"</formula>
    </cfRule>
  </conditionalFormatting>
  <conditionalFormatting sqref="L301">
    <cfRule type="expression" dxfId="223" priority="243" stopIfTrue="1">
      <formula>"esterreur(reference)"</formula>
    </cfRule>
  </conditionalFormatting>
  <conditionalFormatting sqref="L302">
    <cfRule type="expression" dxfId="222" priority="242" stopIfTrue="1">
      <formula>"esterreur(reference)"</formula>
    </cfRule>
  </conditionalFormatting>
  <conditionalFormatting sqref="L306">
    <cfRule type="expression" dxfId="221" priority="241" stopIfTrue="1">
      <formula>"esterreur(reference)"</formula>
    </cfRule>
  </conditionalFormatting>
  <conditionalFormatting sqref="L307">
    <cfRule type="expression" dxfId="220" priority="240" stopIfTrue="1">
      <formula>"esterreur(reference)"</formula>
    </cfRule>
  </conditionalFormatting>
  <conditionalFormatting sqref="L311">
    <cfRule type="expression" dxfId="219" priority="239" stopIfTrue="1">
      <formula>"esterreur(reference)"</formula>
    </cfRule>
  </conditionalFormatting>
  <conditionalFormatting sqref="L317">
    <cfRule type="expression" dxfId="218" priority="238" stopIfTrue="1">
      <formula>"esterreur(reference)"</formula>
    </cfRule>
  </conditionalFormatting>
  <conditionalFormatting sqref="L318">
    <cfRule type="expression" dxfId="217" priority="237" stopIfTrue="1">
      <formula>"esterreur(reference)"</formula>
    </cfRule>
  </conditionalFormatting>
  <conditionalFormatting sqref="K5">
    <cfRule type="expression" dxfId="216" priority="231" stopIfTrue="1">
      <formula>"esterreur(reference)"</formula>
    </cfRule>
  </conditionalFormatting>
  <conditionalFormatting sqref="L5">
    <cfRule type="expression" dxfId="215" priority="230" stopIfTrue="1">
      <formula>"esterreur(reference)"</formula>
    </cfRule>
  </conditionalFormatting>
  <conditionalFormatting sqref="K182">
    <cfRule type="expression" dxfId="214" priority="229" stopIfTrue="1">
      <formula>"esterreur(reference)"</formula>
    </cfRule>
  </conditionalFormatting>
  <conditionalFormatting sqref="L93">
    <cfRule type="expression" dxfId="213" priority="228" stopIfTrue="1">
      <formula>"esterreur(reference)"</formula>
    </cfRule>
  </conditionalFormatting>
  <conditionalFormatting sqref="K171">
    <cfRule type="expression" dxfId="212" priority="227" stopIfTrue="1">
      <formula>"esterreur(reference)"</formula>
    </cfRule>
  </conditionalFormatting>
  <conditionalFormatting sqref="K174">
    <cfRule type="expression" dxfId="211" priority="226" stopIfTrue="1">
      <formula>"esterreur(reference)"</formula>
    </cfRule>
  </conditionalFormatting>
  <conditionalFormatting sqref="K177">
    <cfRule type="expression" dxfId="210" priority="225" stopIfTrue="1">
      <formula>"esterreur(reference)"</formula>
    </cfRule>
  </conditionalFormatting>
  <conditionalFormatting sqref="K180">
    <cfRule type="expression" dxfId="209" priority="224" stopIfTrue="1">
      <formula>"esterreur(reference)"</formula>
    </cfRule>
  </conditionalFormatting>
  <conditionalFormatting sqref="K240">
    <cfRule type="expression" dxfId="208" priority="223" stopIfTrue="1">
      <formula>"esterreur(reference)"</formula>
    </cfRule>
  </conditionalFormatting>
  <conditionalFormatting sqref="K243">
    <cfRule type="expression" dxfId="207" priority="222" stopIfTrue="1">
      <formula>"esterreur(reference)"</formula>
    </cfRule>
  </conditionalFormatting>
  <conditionalFormatting sqref="K246">
    <cfRule type="expression" dxfId="206" priority="221" stopIfTrue="1">
      <formula>"esterreur(reference)"</formula>
    </cfRule>
  </conditionalFormatting>
  <conditionalFormatting sqref="J306:J307">
    <cfRule type="expression" dxfId="205" priority="220" stopIfTrue="1">
      <formula>"esterreur(reference)"</formula>
    </cfRule>
  </conditionalFormatting>
  <conditionalFormatting sqref="K187">
    <cfRule type="expression" dxfId="204" priority="219" stopIfTrue="1">
      <formula>"esterreur(reference)"</formula>
    </cfRule>
  </conditionalFormatting>
  <conditionalFormatting sqref="K190">
    <cfRule type="expression" dxfId="203" priority="218" stopIfTrue="1">
      <formula>"esterreur(reference)"</formula>
    </cfRule>
  </conditionalFormatting>
  <conditionalFormatting sqref="J311">
    <cfRule type="expression" dxfId="202" priority="217" stopIfTrue="1">
      <formula>"esterreur(reference)"</formula>
    </cfRule>
  </conditionalFormatting>
  <conditionalFormatting sqref="K93">
    <cfRule type="expression" dxfId="201" priority="214" stopIfTrue="1">
      <formula>"esterreur(reference)"</formula>
    </cfRule>
  </conditionalFormatting>
  <conditionalFormatting sqref="L240">
    <cfRule type="expression" dxfId="200" priority="213" stopIfTrue="1">
      <formula>"esterreur(reference)"</formula>
    </cfRule>
  </conditionalFormatting>
  <conditionalFormatting sqref="K239">
    <cfRule type="expression" dxfId="199" priority="212" stopIfTrue="1">
      <formula>"esterreur(reference)"</formula>
    </cfRule>
  </conditionalFormatting>
  <conditionalFormatting sqref="L239">
    <cfRule type="expression" dxfId="198" priority="211" stopIfTrue="1">
      <formula>"esterreur(reference)"</formula>
    </cfRule>
  </conditionalFormatting>
  <conditionalFormatting sqref="F183">
    <cfRule type="expression" dxfId="197" priority="210" stopIfTrue="1">
      <formula>"esterreur(reference)"</formula>
    </cfRule>
  </conditionalFormatting>
  <conditionalFormatting sqref="S185">
    <cfRule type="expression" dxfId="196" priority="207" stopIfTrue="1">
      <formula>"esterreur(reference)"</formula>
    </cfRule>
  </conditionalFormatting>
  <conditionalFormatting sqref="K286">
    <cfRule type="expression" dxfId="195" priority="206" stopIfTrue="1">
      <formula>"esterreur(reference)"</formula>
    </cfRule>
  </conditionalFormatting>
  <conditionalFormatting sqref="AO408:AO413">
    <cfRule type="cellIs" dxfId="194" priority="205" operator="greaterThan">
      <formula>0</formula>
    </cfRule>
  </conditionalFormatting>
  <conditionalFormatting sqref="L71">
    <cfRule type="expression" dxfId="193" priority="204" stopIfTrue="1">
      <formula>"esterreur(reference)"</formula>
    </cfRule>
  </conditionalFormatting>
  <conditionalFormatting sqref="L210">
    <cfRule type="expression" dxfId="192" priority="201" stopIfTrue="1">
      <formula>"esterreur(reference)"</formula>
    </cfRule>
  </conditionalFormatting>
  <conditionalFormatting sqref="L122">
    <cfRule type="expression" dxfId="191" priority="203" stopIfTrue="1">
      <formula>"esterreur(reference)"</formula>
    </cfRule>
  </conditionalFormatting>
  <conditionalFormatting sqref="L266">
    <cfRule type="expression" dxfId="190" priority="200" stopIfTrue="1">
      <formula>"esterreur(reference)"</formula>
    </cfRule>
  </conditionalFormatting>
  <conditionalFormatting sqref="L135">
    <cfRule type="expression" dxfId="189" priority="202" stopIfTrue="1">
      <formula>"esterreur(reference)"</formula>
    </cfRule>
  </conditionalFormatting>
  <conditionalFormatting sqref="L330">
    <cfRule type="expression" dxfId="188" priority="199" stopIfTrue="1">
      <formula>"esterreur(reference)"</formula>
    </cfRule>
  </conditionalFormatting>
  <conditionalFormatting sqref="L75">
    <cfRule type="expression" dxfId="187" priority="198" stopIfTrue="1">
      <formula>"esterreur(reference)"</formula>
    </cfRule>
  </conditionalFormatting>
  <conditionalFormatting sqref="L60">
    <cfRule type="expression" dxfId="186" priority="196" stopIfTrue="1">
      <formula>"esterreur(reference)"</formula>
    </cfRule>
  </conditionalFormatting>
  <conditionalFormatting sqref="L59">
    <cfRule type="expression" dxfId="185" priority="197" stopIfTrue="1">
      <formula>"esterreur(reference)"</formula>
    </cfRule>
  </conditionalFormatting>
  <conditionalFormatting sqref="F5">
    <cfRule type="expression" dxfId="184" priority="195" stopIfTrue="1">
      <formula>"esterreur(reference)"</formula>
    </cfRule>
  </conditionalFormatting>
  <conditionalFormatting sqref="O25:Q30 Q18 O83:Q85 O41:Q41 O72:Q72 Q24 O13:O14 O16 O18:O24 O49:Q54 Q6:Q14 O31:P40 O42:P48">
    <cfRule type="expression" dxfId="183" priority="190" stopIfTrue="1">
      <formula>"esterreur(reference)"</formula>
    </cfRule>
  </conditionalFormatting>
  <conditionalFormatting sqref="P5">
    <cfRule type="expression" dxfId="182" priority="167" stopIfTrue="1">
      <formula>"esterreur(reference)"</formula>
    </cfRule>
  </conditionalFormatting>
  <conditionalFormatting sqref="Q32">
    <cfRule type="expression" dxfId="181" priority="185" stopIfTrue="1">
      <formula>"esterreur(reference)"</formula>
    </cfRule>
  </conditionalFormatting>
  <conditionalFormatting sqref="Q35">
    <cfRule type="expression" dxfId="180" priority="184" stopIfTrue="1">
      <formula>"esterreur(reference)"</formula>
    </cfRule>
  </conditionalFormatting>
  <conditionalFormatting sqref="O55:P56 O71:P71">
    <cfRule type="expression" dxfId="179" priority="191" stopIfTrue="1">
      <formula>"esterreur(reference)"</formula>
    </cfRule>
  </conditionalFormatting>
  <conditionalFormatting sqref="O61:P70">
    <cfRule type="expression" dxfId="178" priority="192" stopIfTrue="1">
      <formula>"esterreur(reference)"</formula>
    </cfRule>
  </conditionalFormatting>
  <conditionalFormatting sqref="O57:P59">
    <cfRule type="expression" dxfId="177" priority="193" stopIfTrue="1">
      <formula>"esterreur(reference)"</formula>
    </cfRule>
  </conditionalFormatting>
  <conditionalFormatting sqref="O60:P60">
    <cfRule type="expression" dxfId="176" priority="194" stopIfTrue="1">
      <formula>"esterreur(reference)"</formula>
    </cfRule>
  </conditionalFormatting>
  <conditionalFormatting sqref="Q19 Q21:Q23">
    <cfRule type="expression" dxfId="175" priority="188" stopIfTrue="1">
      <formula>"esterreur(reference)"</formula>
    </cfRule>
  </conditionalFormatting>
  <conditionalFormatting sqref="Q16:Q17">
    <cfRule type="expression" dxfId="174" priority="189" stopIfTrue="1">
      <formula>"esterreur(reference)"</formula>
    </cfRule>
  </conditionalFormatting>
  <conditionalFormatting sqref="Q20">
    <cfRule type="expression" dxfId="173" priority="187" stopIfTrue="1">
      <formula>"esterreur(reference)"</formula>
    </cfRule>
  </conditionalFormatting>
  <conditionalFormatting sqref="Q31 Q33:Q34">
    <cfRule type="expression" dxfId="172" priority="186" stopIfTrue="1">
      <formula>"esterreur(reference)"</formula>
    </cfRule>
  </conditionalFormatting>
  <conditionalFormatting sqref="Q42">
    <cfRule type="expression" dxfId="171" priority="183" stopIfTrue="1">
      <formula>"esterreur(reference)"</formula>
    </cfRule>
  </conditionalFormatting>
  <conditionalFormatting sqref="Q43">
    <cfRule type="expression" dxfId="170" priority="182" stopIfTrue="1">
      <formula>"esterreur(reference)"</formula>
    </cfRule>
  </conditionalFormatting>
  <conditionalFormatting sqref="Q44">
    <cfRule type="expression" dxfId="169" priority="181" stopIfTrue="1">
      <formula>"esterreur(reference)"</formula>
    </cfRule>
  </conditionalFormatting>
  <conditionalFormatting sqref="Q45:Q48">
    <cfRule type="expression" dxfId="168" priority="180" stopIfTrue="1">
      <formula>"esterreur(reference)"</formula>
    </cfRule>
  </conditionalFormatting>
  <conditionalFormatting sqref="Q55">
    <cfRule type="expression" dxfId="167" priority="179" stopIfTrue="1">
      <formula>"esterreur(reference)"</formula>
    </cfRule>
  </conditionalFormatting>
  <conditionalFormatting sqref="Q56">
    <cfRule type="expression" dxfId="166" priority="178" stopIfTrue="1">
      <formula>"esterreur(reference)"</formula>
    </cfRule>
  </conditionalFormatting>
  <conditionalFormatting sqref="Q58">
    <cfRule type="expression" dxfId="165" priority="177" stopIfTrue="1">
      <formula>"esterreur(reference)"</formula>
    </cfRule>
  </conditionalFormatting>
  <conditionalFormatting sqref="Q61">
    <cfRule type="expression" dxfId="164" priority="176" stopIfTrue="1">
      <formula>"esterreur(reference)"</formula>
    </cfRule>
  </conditionalFormatting>
  <conditionalFormatting sqref="Q63">
    <cfRule type="expression" dxfId="163" priority="175" stopIfTrue="1">
      <formula>"esterreur(reference)"</formula>
    </cfRule>
  </conditionalFormatting>
  <conditionalFormatting sqref="Q62">
    <cfRule type="expression" dxfId="162" priority="174" stopIfTrue="1">
      <formula>"esterreur(reference)"</formula>
    </cfRule>
  </conditionalFormatting>
  <conditionalFormatting sqref="Q64">
    <cfRule type="expression" dxfId="161" priority="173" stopIfTrue="1">
      <formula>"esterreur(reference)"</formula>
    </cfRule>
  </conditionalFormatting>
  <conditionalFormatting sqref="Q65">
    <cfRule type="expression" dxfId="160" priority="172" stopIfTrue="1">
      <formula>"esterreur(reference)"</formula>
    </cfRule>
  </conditionalFormatting>
  <conditionalFormatting sqref="Q66:Q69">
    <cfRule type="expression" dxfId="159" priority="171" stopIfTrue="1">
      <formula>"esterreur(reference)"</formula>
    </cfRule>
  </conditionalFormatting>
  <conditionalFormatting sqref="Q70">
    <cfRule type="expression" dxfId="158" priority="170" stopIfTrue="1">
      <formula>"esterreur(reference)"</formula>
    </cfRule>
  </conditionalFormatting>
  <conditionalFormatting sqref="Q75:Q82">
    <cfRule type="expression" dxfId="157" priority="169" stopIfTrue="1">
      <formula>"esterreur(reference)"</formula>
    </cfRule>
  </conditionalFormatting>
  <conditionalFormatting sqref="Q57">
    <cfRule type="expression" dxfId="156" priority="168" stopIfTrue="1">
      <formula>"esterreur(reference)"</formula>
    </cfRule>
  </conditionalFormatting>
  <conditionalFormatting sqref="Q5">
    <cfRule type="expression" dxfId="155" priority="166" stopIfTrue="1">
      <formula>"esterreur(reference)"</formula>
    </cfRule>
  </conditionalFormatting>
  <conditionalFormatting sqref="Q71">
    <cfRule type="expression" dxfId="154" priority="165" stopIfTrue="1">
      <formula>"esterreur(reference)"</formula>
    </cfRule>
  </conditionalFormatting>
  <conditionalFormatting sqref="Q60">
    <cfRule type="expression" dxfId="153" priority="163" stopIfTrue="1">
      <formula>"esterreur(reference)"</formula>
    </cfRule>
  </conditionalFormatting>
  <conditionalFormatting sqref="P98">
    <cfRule type="expression" dxfId="152" priority="162" stopIfTrue="1">
      <formula>"esterreur(reference)"</formula>
    </cfRule>
  </conditionalFormatting>
  <conditionalFormatting sqref="Q59">
    <cfRule type="expression" dxfId="151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0" priority="158" stopIfTrue="1">
      <formula>"esterreur(reference)"</formula>
    </cfRule>
  </conditionalFormatting>
  <conditionalFormatting sqref="O141:P147">
    <cfRule type="expression" dxfId="149" priority="159" stopIfTrue="1">
      <formula>"esterreur(reference)"</formula>
    </cfRule>
  </conditionalFormatting>
  <conditionalFormatting sqref="O137:P139">
    <cfRule type="expression" dxfId="148" priority="160" stopIfTrue="1">
      <formula>"esterreur(reference)"</formula>
    </cfRule>
  </conditionalFormatting>
  <conditionalFormatting sqref="O140:P140">
    <cfRule type="expression" dxfId="147" priority="161" stopIfTrue="1">
      <formula>"esterreur(reference)"</formula>
    </cfRule>
  </conditionalFormatting>
  <conditionalFormatting sqref="Q94:Q95">
    <cfRule type="expression" dxfId="146" priority="157" stopIfTrue="1">
      <formula>"esterreur(reference)"</formula>
    </cfRule>
  </conditionalFormatting>
  <conditionalFormatting sqref="Q98">
    <cfRule type="expression" dxfId="145" priority="156" stopIfTrue="1">
      <formula>"esterreur(reference)"</formula>
    </cfRule>
  </conditionalFormatting>
  <conditionalFormatting sqref="Q99">
    <cfRule type="expression" dxfId="144" priority="155" stopIfTrue="1">
      <formula>"esterreur(reference)"</formula>
    </cfRule>
  </conditionalFormatting>
  <conditionalFormatting sqref="Q101">
    <cfRule type="expression" dxfId="143" priority="154" stopIfTrue="1">
      <formula>"esterreur(reference)"</formula>
    </cfRule>
  </conditionalFormatting>
  <conditionalFormatting sqref="Q102">
    <cfRule type="expression" dxfId="142" priority="153" stopIfTrue="1">
      <formula>"esterreur(reference)"</formula>
    </cfRule>
  </conditionalFormatting>
  <conditionalFormatting sqref="Q103">
    <cfRule type="expression" dxfId="141" priority="152" stopIfTrue="1">
      <formula>"esterreur(reference)"</formula>
    </cfRule>
  </conditionalFormatting>
  <conditionalFormatting sqref="Q111">
    <cfRule type="expression" dxfId="140" priority="151" stopIfTrue="1">
      <formula>"esterreur(reference)"</formula>
    </cfRule>
  </conditionalFormatting>
  <conditionalFormatting sqref="Q112">
    <cfRule type="expression" dxfId="139" priority="150" stopIfTrue="1">
      <formula>"esterreur(reference)"</formula>
    </cfRule>
  </conditionalFormatting>
  <conditionalFormatting sqref="Q114">
    <cfRule type="expression" dxfId="138" priority="149" stopIfTrue="1">
      <formula>"esterreur(reference)"</formula>
    </cfRule>
  </conditionalFormatting>
  <conditionalFormatting sqref="Q116:Q119">
    <cfRule type="expression" dxfId="137" priority="148" stopIfTrue="1">
      <formula>"esterreur(reference)"</formula>
    </cfRule>
  </conditionalFormatting>
  <conditionalFormatting sqref="Q120">
    <cfRule type="expression" dxfId="136" priority="147" stopIfTrue="1">
      <formula>"esterreur(reference)"</formula>
    </cfRule>
  </conditionalFormatting>
  <conditionalFormatting sqref="Q130">
    <cfRule type="expression" dxfId="135" priority="144" stopIfTrue="1">
      <formula>"esterreur(reference)"</formula>
    </cfRule>
  </conditionalFormatting>
  <conditionalFormatting sqref="Q124">
    <cfRule type="expression" dxfId="134" priority="146" stopIfTrue="1">
      <formula>"esterreur(reference)"</formula>
    </cfRule>
  </conditionalFormatting>
  <conditionalFormatting sqref="Q123">
    <cfRule type="expression" dxfId="133" priority="145" stopIfTrue="1">
      <formula>"esterreur(reference)"</formula>
    </cfRule>
  </conditionalFormatting>
  <conditionalFormatting sqref="Q139">
    <cfRule type="expression" dxfId="132" priority="137" stopIfTrue="1">
      <formula>"esterreur(reference)"</formula>
    </cfRule>
  </conditionalFormatting>
  <conditionalFormatting sqref="Q131">
    <cfRule type="expression" dxfId="131" priority="143" stopIfTrue="1">
      <formula>"esterreur(reference)"</formula>
    </cfRule>
  </conditionalFormatting>
  <conditionalFormatting sqref="Q132">
    <cfRule type="expression" dxfId="130" priority="142" stopIfTrue="1">
      <formula>"esterreur(reference)"</formula>
    </cfRule>
  </conditionalFormatting>
  <conditionalFormatting sqref="Q133">
    <cfRule type="expression" dxfId="129" priority="141" stopIfTrue="1">
      <formula>"esterreur(reference)"</formula>
    </cfRule>
  </conditionalFormatting>
  <conditionalFormatting sqref="Q141">
    <cfRule type="expression" dxfId="128" priority="135" stopIfTrue="1">
      <formula>"esterreur(reference)"</formula>
    </cfRule>
  </conditionalFormatting>
  <conditionalFormatting sqref="Q136">
    <cfRule type="expression" dxfId="127" priority="140" stopIfTrue="1">
      <formula>"esterreur(reference)"</formula>
    </cfRule>
  </conditionalFormatting>
  <conditionalFormatting sqref="Q137">
    <cfRule type="expression" dxfId="126" priority="139" stopIfTrue="1">
      <formula>"esterreur(reference)"</formula>
    </cfRule>
  </conditionalFormatting>
  <conditionalFormatting sqref="Q138">
    <cfRule type="expression" dxfId="125" priority="138" stopIfTrue="1">
      <formula>"esterreur(reference)"</formula>
    </cfRule>
  </conditionalFormatting>
  <conditionalFormatting sqref="Q143">
    <cfRule type="expression" dxfId="124" priority="133" stopIfTrue="1">
      <formula>"esterreur(reference)"</formula>
    </cfRule>
  </conditionalFormatting>
  <conditionalFormatting sqref="Q140">
    <cfRule type="expression" dxfId="123" priority="136" stopIfTrue="1">
      <formula>"esterreur(reference)"</formula>
    </cfRule>
  </conditionalFormatting>
  <conditionalFormatting sqref="Q142">
    <cfRule type="expression" dxfId="122" priority="134" stopIfTrue="1">
      <formula>"esterreur(reference)"</formula>
    </cfRule>
  </conditionalFormatting>
  <conditionalFormatting sqref="Q144">
    <cfRule type="expression" dxfId="121" priority="132" stopIfTrue="1">
      <formula>"esterreur(reference)"</formula>
    </cfRule>
  </conditionalFormatting>
  <conditionalFormatting sqref="Q145">
    <cfRule type="expression" dxfId="120" priority="131" stopIfTrue="1">
      <formula>"esterreur(reference)"</formula>
    </cfRule>
  </conditionalFormatting>
  <conditionalFormatting sqref="Q146">
    <cfRule type="expression" dxfId="119" priority="130" stopIfTrue="1">
      <formula>"esterreur(reference)"</formula>
    </cfRule>
  </conditionalFormatting>
  <conditionalFormatting sqref="Q147">
    <cfRule type="expression" dxfId="118" priority="129" stopIfTrue="1">
      <formula>"esterreur(reference)"</formula>
    </cfRule>
  </conditionalFormatting>
  <conditionalFormatting sqref="Q113">
    <cfRule type="expression" dxfId="117" priority="126" stopIfTrue="1">
      <formula>"esterreur(reference)"</formula>
    </cfRule>
  </conditionalFormatting>
  <conditionalFormatting sqref="Q155:Q161">
    <cfRule type="expression" dxfId="116" priority="128" stopIfTrue="1">
      <formula>"esterreur(reference)"</formula>
    </cfRule>
  </conditionalFormatting>
  <conditionalFormatting sqref="Q93">
    <cfRule type="expression" dxfId="115" priority="125" stopIfTrue="1">
      <formula>"esterreur(reference)"</formula>
    </cfRule>
  </conditionalFormatting>
  <conditionalFormatting sqref="Q115">
    <cfRule type="expression" dxfId="114" priority="127" stopIfTrue="1">
      <formula>"esterreur(reference)"</formula>
    </cfRule>
  </conditionalFormatting>
  <conditionalFormatting sqref="P93">
    <cfRule type="expression" dxfId="113" priority="124" stopIfTrue="1">
      <formula>"esterreur(reference)"</formula>
    </cfRule>
  </conditionalFormatting>
  <conditionalFormatting sqref="Q122">
    <cfRule type="expression" dxfId="112" priority="123" stopIfTrue="1">
      <formula>"esterreur(reference)"</formula>
    </cfRule>
  </conditionalFormatting>
  <conditionalFormatting sqref="Q135">
    <cfRule type="expression" dxfId="111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0" priority="119" stopIfTrue="1">
      <formula>"esterreur(reference)"</formula>
    </cfRule>
  </conditionalFormatting>
  <conditionalFormatting sqref="O219:P224">
    <cfRule type="expression" dxfId="109" priority="120" stopIfTrue="1">
      <formula>"esterreur(reference)"</formula>
    </cfRule>
  </conditionalFormatting>
  <conditionalFormatting sqref="O196:Q196">
    <cfRule type="expression" dxfId="108" priority="121" stopIfTrue="1">
      <formula>"esterreur(reference)"</formula>
    </cfRule>
  </conditionalFormatting>
  <conditionalFormatting sqref="Q207">
    <cfRule type="expression" dxfId="107" priority="105" stopIfTrue="1">
      <formula>"esterreur(reference)"</formula>
    </cfRule>
  </conditionalFormatting>
  <conditionalFormatting sqref="Q227">
    <cfRule type="expression" dxfId="106" priority="101" stopIfTrue="1">
      <formula>"esterreur(reference)"</formula>
    </cfRule>
  </conditionalFormatting>
  <conditionalFormatting sqref="Q171">
    <cfRule type="expression" dxfId="105" priority="118" stopIfTrue="1">
      <formula>"esterreur(reference)"</formula>
    </cfRule>
  </conditionalFormatting>
  <conditionalFormatting sqref="Q174">
    <cfRule type="expression" dxfId="104" priority="117" stopIfTrue="1">
      <formula>"esterreur(reference)"</formula>
    </cfRule>
  </conditionalFormatting>
  <conditionalFormatting sqref="Q177">
    <cfRule type="expression" dxfId="103" priority="116" stopIfTrue="1">
      <formula>"esterreur(reference)"</formula>
    </cfRule>
  </conditionalFormatting>
  <conditionalFormatting sqref="Q183">
    <cfRule type="expression" dxfId="102" priority="115" stopIfTrue="1">
      <formula>"esterreur(reference)"</formula>
    </cfRule>
  </conditionalFormatting>
  <conditionalFormatting sqref="Q187">
    <cfRule type="expression" dxfId="101" priority="114" stopIfTrue="1">
      <formula>"esterreur(reference)"</formula>
    </cfRule>
  </conditionalFormatting>
  <conditionalFormatting sqref="Q197">
    <cfRule type="expression" dxfId="100" priority="113" stopIfTrue="1">
      <formula>"esterreur(reference)"</formula>
    </cfRule>
  </conditionalFormatting>
  <conditionalFormatting sqref="Q199">
    <cfRule type="expression" dxfId="99" priority="112" stopIfTrue="1">
      <formula>"esterreur(reference)"</formula>
    </cfRule>
  </conditionalFormatting>
  <conditionalFormatting sqref="Q198">
    <cfRule type="expression" dxfId="98" priority="111" stopIfTrue="1">
      <formula>"esterreur(reference)"</formula>
    </cfRule>
  </conditionalFormatting>
  <conditionalFormatting sqref="Q200">
    <cfRule type="expression" dxfId="97" priority="110" stopIfTrue="1">
      <formula>"esterreur(reference)"</formula>
    </cfRule>
  </conditionalFormatting>
  <conditionalFormatting sqref="Q201">
    <cfRule type="expression" dxfId="96" priority="109" stopIfTrue="1">
      <formula>"esterreur(reference)"</formula>
    </cfRule>
  </conditionalFormatting>
  <conditionalFormatting sqref="Q202:Q204">
    <cfRule type="expression" dxfId="95" priority="108" stopIfTrue="1">
      <formula>"esterreur(reference)"</formula>
    </cfRule>
  </conditionalFormatting>
  <conditionalFormatting sqref="Q206">
    <cfRule type="expression" dxfId="94" priority="106" stopIfTrue="1">
      <formula>"esterreur(reference)"</formula>
    </cfRule>
  </conditionalFormatting>
  <conditionalFormatting sqref="Q205">
    <cfRule type="expression" dxfId="93" priority="107" stopIfTrue="1">
      <formula>"esterreur(reference)"</formula>
    </cfRule>
  </conditionalFormatting>
  <conditionalFormatting sqref="Q208">
    <cfRule type="expression" dxfId="92" priority="104" stopIfTrue="1">
      <formula>"esterreur(reference)"</formula>
    </cfRule>
  </conditionalFormatting>
  <conditionalFormatting sqref="Q211:Q224">
    <cfRule type="expression" dxfId="91" priority="103" stopIfTrue="1">
      <formula>"esterreur(reference)"</formula>
    </cfRule>
  </conditionalFormatting>
  <conditionalFormatting sqref="Q225:Q226">
    <cfRule type="expression" dxfId="90" priority="102" stopIfTrue="1">
      <formula>"esterreur(reference)"</formula>
    </cfRule>
  </conditionalFormatting>
  <conditionalFormatting sqref="Q180">
    <cfRule type="expression" dxfId="89" priority="100" stopIfTrue="1">
      <formula>"esterreur(reference)"</formula>
    </cfRule>
  </conditionalFormatting>
  <conditionalFormatting sqref="P182">
    <cfRule type="expression" dxfId="88" priority="99" stopIfTrue="1">
      <formula>"esterreur(reference)"</formula>
    </cfRule>
  </conditionalFormatting>
  <conditionalFormatting sqref="P171">
    <cfRule type="expression" dxfId="87" priority="98" stopIfTrue="1">
      <formula>"esterreur(reference)"</formula>
    </cfRule>
  </conditionalFormatting>
  <conditionalFormatting sqref="P174">
    <cfRule type="expression" dxfId="86" priority="97" stopIfTrue="1">
      <formula>"esterreur(reference)"</formula>
    </cfRule>
  </conditionalFormatting>
  <conditionalFormatting sqref="P177">
    <cfRule type="expression" dxfId="85" priority="96" stopIfTrue="1">
      <formula>"esterreur(reference)"</formula>
    </cfRule>
  </conditionalFormatting>
  <conditionalFormatting sqref="P180">
    <cfRule type="expression" dxfId="84" priority="95" stopIfTrue="1">
      <formula>"esterreur(reference)"</formula>
    </cfRule>
  </conditionalFormatting>
  <conditionalFormatting sqref="P187">
    <cfRule type="expression" dxfId="83" priority="94" stopIfTrue="1">
      <formula>"esterreur(reference)"</formula>
    </cfRule>
  </conditionalFormatting>
  <conditionalFormatting sqref="P190">
    <cfRule type="expression" dxfId="82" priority="93" stopIfTrue="1">
      <formula>"esterreur(reference)"</formula>
    </cfRule>
  </conditionalFormatting>
  <conditionalFormatting sqref="Q210">
    <cfRule type="expression" dxfId="81" priority="92" stopIfTrue="1">
      <formula>"esterreur(reference)"</formula>
    </cfRule>
  </conditionalFormatting>
  <conditionalFormatting sqref="O287:Q287 O288:P288 O242:Q242 O251:Q252 O284:Q284 Q275:Q283 O253:P274">
    <cfRule type="expression" dxfId="80" priority="89" stopIfTrue="1">
      <formula>"esterreur(reference)"</formula>
    </cfRule>
  </conditionalFormatting>
  <conditionalFormatting sqref="O275:P280">
    <cfRule type="expression" dxfId="79" priority="90" stopIfTrue="1">
      <formula>"esterreur(reference)"</formula>
    </cfRule>
  </conditionalFormatting>
  <conditionalFormatting sqref="O281:P283">
    <cfRule type="expression" dxfId="78" priority="91" stopIfTrue="1">
      <formula>"esterreur(reference)"</formula>
    </cfRule>
  </conditionalFormatting>
  <conditionalFormatting sqref="Q271">
    <cfRule type="expression" dxfId="77" priority="71" stopIfTrue="1">
      <formula>"esterreur(reference)"</formula>
    </cfRule>
  </conditionalFormatting>
  <conditionalFormatting sqref="Q274">
    <cfRule type="expression" dxfId="76" priority="69" stopIfTrue="1">
      <formula>"esterreur(reference)"</formula>
    </cfRule>
  </conditionalFormatting>
  <conditionalFormatting sqref="Q243">
    <cfRule type="expression" dxfId="75" priority="88" stopIfTrue="1">
      <formula>"esterreur(reference)"</formula>
    </cfRule>
  </conditionalFormatting>
  <conditionalFormatting sqref="Q246">
    <cfRule type="expression" dxfId="74" priority="87" stopIfTrue="1">
      <formula>"esterreur(reference)"</formula>
    </cfRule>
  </conditionalFormatting>
  <conditionalFormatting sqref="Q253">
    <cfRule type="expression" dxfId="73" priority="86" stopIfTrue="1">
      <formula>"esterreur(reference)"</formula>
    </cfRule>
  </conditionalFormatting>
  <conditionalFormatting sqref="Q254">
    <cfRule type="expression" dxfId="72" priority="85" stopIfTrue="1">
      <formula>"esterreur(reference)"</formula>
    </cfRule>
  </conditionalFormatting>
  <conditionalFormatting sqref="Q255">
    <cfRule type="expression" dxfId="71" priority="84" stopIfTrue="1">
      <formula>"esterreur(reference)"</formula>
    </cfRule>
  </conditionalFormatting>
  <conditionalFormatting sqref="Q256">
    <cfRule type="expression" dxfId="70" priority="83" stopIfTrue="1">
      <formula>"esterreur(reference)"</formula>
    </cfRule>
  </conditionalFormatting>
  <conditionalFormatting sqref="Q257">
    <cfRule type="expression" dxfId="69" priority="82" stopIfTrue="1">
      <formula>"esterreur(reference)"</formula>
    </cfRule>
  </conditionalFormatting>
  <conditionalFormatting sqref="Q258">
    <cfRule type="expression" dxfId="68" priority="81" stopIfTrue="1">
      <formula>"esterreur(reference)"</formula>
    </cfRule>
  </conditionalFormatting>
  <conditionalFormatting sqref="Q259">
    <cfRule type="expression" dxfId="67" priority="80" stopIfTrue="1">
      <formula>"esterreur(reference)"</formula>
    </cfRule>
  </conditionalFormatting>
  <conditionalFormatting sqref="Q260">
    <cfRule type="expression" dxfId="66" priority="79" stopIfTrue="1">
      <formula>"esterreur(reference)"</formula>
    </cfRule>
  </conditionalFormatting>
  <conditionalFormatting sqref="Q261">
    <cfRule type="expression" dxfId="65" priority="78" stopIfTrue="1">
      <formula>"esterreur(reference)"</formula>
    </cfRule>
  </conditionalFormatting>
  <conditionalFormatting sqref="Q262">
    <cfRule type="expression" dxfId="64" priority="77" stopIfTrue="1">
      <formula>"esterreur(reference)"</formula>
    </cfRule>
  </conditionalFormatting>
  <conditionalFormatting sqref="Q263:Q264">
    <cfRule type="expression" dxfId="63" priority="76" stopIfTrue="1">
      <formula>"esterreur(reference)"</formula>
    </cfRule>
  </conditionalFormatting>
  <conditionalFormatting sqref="Q268">
    <cfRule type="expression" dxfId="62" priority="74" stopIfTrue="1">
      <formula>"esterreur(reference)"</formula>
    </cfRule>
  </conditionalFormatting>
  <conditionalFormatting sqref="Q267">
    <cfRule type="expression" dxfId="61" priority="75" stopIfTrue="1">
      <formula>"esterreur(reference)"</formula>
    </cfRule>
  </conditionalFormatting>
  <conditionalFormatting sqref="Q269">
    <cfRule type="expression" dxfId="60" priority="73" stopIfTrue="1">
      <formula>"esterreur(reference)"</formula>
    </cfRule>
  </conditionalFormatting>
  <conditionalFormatting sqref="Q270">
    <cfRule type="expression" dxfId="59" priority="72" stopIfTrue="1">
      <formula>"esterreur(reference)"</formula>
    </cfRule>
  </conditionalFormatting>
  <conditionalFormatting sqref="Q272:Q273">
    <cfRule type="expression" dxfId="58" priority="70" stopIfTrue="1">
      <formula>"esterreur(reference)"</formula>
    </cfRule>
  </conditionalFormatting>
  <conditionalFormatting sqref="P240">
    <cfRule type="expression" dxfId="57" priority="68" stopIfTrue="1">
      <formula>"esterreur(reference)"</formula>
    </cfRule>
  </conditionalFormatting>
  <conditionalFormatting sqref="P243">
    <cfRule type="expression" dxfId="56" priority="67" stopIfTrue="1">
      <formula>"esterreur(reference)"</formula>
    </cfRule>
  </conditionalFormatting>
  <conditionalFormatting sqref="P246">
    <cfRule type="expression" dxfId="55" priority="66" stopIfTrue="1">
      <formula>"esterreur(reference)"</formula>
    </cfRule>
  </conditionalFormatting>
  <conditionalFormatting sqref="Q240">
    <cfRule type="expression" dxfId="54" priority="65" stopIfTrue="1">
      <formula>"esterreur(reference)"</formula>
    </cfRule>
  </conditionalFormatting>
  <conditionalFormatting sqref="P286">
    <cfRule type="expression" dxfId="53" priority="64" stopIfTrue="1">
      <formula>"esterreur(reference)"</formula>
    </cfRule>
  </conditionalFormatting>
  <conditionalFormatting sqref="Q266">
    <cfRule type="expression" dxfId="52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1" priority="61" stopIfTrue="1">
      <formula>"esterreur(reference)"</formula>
    </cfRule>
  </conditionalFormatting>
  <conditionalFormatting sqref="O316:Q316">
    <cfRule type="expression" dxfId="50" priority="62" stopIfTrue="1">
      <formula>"esterreur(reference)"</formula>
    </cfRule>
  </conditionalFormatting>
  <conditionalFormatting sqref="Q331:Q347">
    <cfRule type="expression" dxfId="49" priority="48" stopIfTrue="1">
      <formula>"esterreur(reference)"</formula>
    </cfRule>
  </conditionalFormatting>
  <conditionalFormatting sqref="Q325">
    <cfRule type="expression" dxfId="48" priority="52" stopIfTrue="1">
      <formula>"esterreur(reference)"</formula>
    </cfRule>
  </conditionalFormatting>
  <conditionalFormatting sqref="Q326">
    <cfRule type="expression" dxfId="47" priority="51" stopIfTrue="1">
      <formula>"esterreur(reference)"</formula>
    </cfRule>
  </conditionalFormatting>
  <conditionalFormatting sqref="Q327">
    <cfRule type="expression" dxfId="46" priority="50" stopIfTrue="1">
      <formula>"esterreur(reference)"</formula>
    </cfRule>
  </conditionalFormatting>
  <conditionalFormatting sqref="Q328">
    <cfRule type="expression" dxfId="45" priority="49" stopIfTrue="1">
      <formula>"esterreur(reference)"</formula>
    </cfRule>
  </conditionalFormatting>
  <conditionalFormatting sqref="Q294:Q300">
    <cfRule type="expression" dxfId="44" priority="60" stopIfTrue="1">
      <formula>"esterreur(reference)"</formula>
    </cfRule>
  </conditionalFormatting>
  <conditionalFormatting sqref="Q301">
    <cfRule type="expression" dxfId="43" priority="59" stopIfTrue="1">
      <formula>"esterreur(reference)"</formula>
    </cfRule>
  </conditionalFormatting>
  <conditionalFormatting sqref="Q302">
    <cfRule type="expression" dxfId="42" priority="58" stopIfTrue="1">
      <formula>"esterreur(reference)"</formula>
    </cfRule>
  </conditionalFormatting>
  <conditionalFormatting sqref="Q306">
    <cfRule type="expression" dxfId="41" priority="57" stopIfTrue="1">
      <formula>"esterreur(reference)"</formula>
    </cfRule>
  </conditionalFormatting>
  <conditionalFormatting sqref="Q307">
    <cfRule type="expression" dxfId="40" priority="56" stopIfTrue="1">
      <formula>"esterreur(reference)"</formula>
    </cfRule>
  </conditionalFormatting>
  <conditionalFormatting sqref="Q311">
    <cfRule type="expression" dxfId="39" priority="55" stopIfTrue="1">
      <formula>"esterreur(reference)"</formula>
    </cfRule>
  </conditionalFormatting>
  <conditionalFormatting sqref="Q317">
    <cfRule type="expression" dxfId="38" priority="54" stopIfTrue="1">
      <formula>"esterreur(reference)"</formula>
    </cfRule>
  </conditionalFormatting>
  <conditionalFormatting sqref="Q318">
    <cfRule type="expression" dxfId="37" priority="53" stopIfTrue="1">
      <formula>"esterreur(reference)"</formula>
    </cfRule>
  </conditionalFormatting>
  <conditionalFormatting sqref="O306:O307">
    <cfRule type="expression" dxfId="36" priority="47" stopIfTrue="1">
      <formula>"esterreur(reference)"</formula>
    </cfRule>
  </conditionalFormatting>
  <conditionalFormatting sqref="O311">
    <cfRule type="expression" dxfId="35" priority="46" stopIfTrue="1">
      <formula>"esterreur(reference)"</formula>
    </cfRule>
  </conditionalFormatting>
  <conditionalFormatting sqref="Q330">
    <cfRule type="expression" dxfId="34" priority="45" stopIfTrue="1">
      <formula>"esterreur(reference)"</formula>
    </cfRule>
  </conditionalFormatting>
  <conditionalFormatting sqref="Q36:Q40">
    <cfRule type="expression" dxfId="33" priority="34" stopIfTrue="1">
      <formula>"esterreur(reference)"</formula>
    </cfRule>
  </conditionalFormatting>
  <conditionalFormatting sqref="L68">
    <cfRule type="expression" dxfId="32" priority="33" stopIfTrue="1">
      <formula>"esterreur(reference)"</formula>
    </cfRule>
  </conditionalFormatting>
  <conditionalFormatting sqref="Q149:Q151">
    <cfRule type="expression" dxfId="31" priority="25" stopIfTrue="1">
      <formula>"esterreur(reference)"</formula>
    </cfRule>
  </conditionalFormatting>
  <conditionalFormatting sqref="H148 J148:K148">
    <cfRule type="expression" dxfId="30" priority="32" stopIfTrue="1">
      <formula>"esterreur(reference)"</formula>
    </cfRule>
  </conditionalFormatting>
  <conditionalFormatting sqref="L148">
    <cfRule type="expression" dxfId="29" priority="31" stopIfTrue="1">
      <formula>"esterreur(reference)"</formula>
    </cfRule>
  </conditionalFormatting>
  <conditionalFormatting sqref="O148:P148">
    <cfRule type="expression" dxfId="28" priority="30" stopIfTrue="1">
      <formula>"esterreur(reference)"</formula>
    </cfRule>
  </conditionalFormatting>
  <conditionalFormatting sqref="Q148">
    <cfRule type="expression" dxfId="27" priority="29" stopIfTrue="1">
      <formula>"esterreur(reference)"</formula>
    </cfRule>
  </conditionalFormatting>
  <conditionalFormatting sqref="H149:H151 J149:K151">
    <cfRule type="expression" dxfId="26" priority="28" stopIfTrue="1">
      <formula>"esterreur(reference)"</formula>
    </cfRule>
  </conditionalFormatting>
  <conditionalFormatting sqref="L149:L151">
    <cfRule type="expression" dxfId="25" priority="27" stopIfTrue="1">
      <formula>"esterreur(reference)"</formula>
    </cfRule>
  </conditionalFormatting>
  <conditionalFormatting sqref="O149:P151">
    <cfRule type="expression" dxfId="24" priority="26" stopIfTrue="1">
      <formula>"esterreur(reference)"</formula>
    </cfRule>
  </conditionalFormatting>
  <conditionalFormatting sqref="L158:L161">
    <cfRule type="expression" dxfId="23" priority="24" stopIfTrue="1">
      <formula>"esterreur(reference)"</formula>
    </cfRule>
  </conditionalFormatting>
  <conditionalFormatting sqref="AG414:AI417">
    <cfRule type="cellIs" dxfId="22" priority="23" operator="greaterThan">
      <formula>0</formula>
    </cfRule>
  </conditionalFormatting>
  <conditionalFormatting sqref="AO414:AO417">
    <cfRule type="cellIs" dxfId="21" priority="22" operator="greaterThan">
      <formula>0</formula>
    </cfRule>
  </conditionalFormatting>
  <conditionalFormatting sqref="H353:H354 J353:K354 J399:K399 H399 H363:L363 H364:H375 J364:K375">
    <cfRule type="expression" dxfId="20" priority="15" stopIfTrue="1">
      <formula>"esterreur(reference)"</formula>
    </cfRule>
  </conditionalFormatting>
  <conditionalFormatting sqref="K356 J356:J357 H356:I356 L355:L356 H358:L358">
    <cfRule type="expression" dxfId="19" priority="16" stopIfTrue="1">
      <formula>"esterreur(reference)"</formula>
    </cfRule>
  </conditionalFormatting>
  <conditionalFormatting sqref="H396">
    <cfRule type="expression" dxfId="18" priority="17" stopIfTrue="1">
      <formula>"esterreur(reference)"</formula>
    </cfRule>
  </conditionalFormatting>
  <conditionalFormatting sqref="I376:L376 H377:H392 J377:K392">
    <cfRule type="expression" dxfId="17" priority="18" stopIfTrue="1">
      <formula>"esterreur(reference)"</formula>
    </cfRule>
  </conditionalFormatting>
  <conditionalFormatting sqref="H397:L398 I396:L396 H395:L395 H393:H394 J393:K393">
    <cfRule type="expression" dxfId="16" priority="19" stopIfTrue="1">
      <formula>"esterreur(reference)"</formula>
    </cfRule>
  </conditionalFormatting>
  <conditionalFormatting sqref="H360:L362 H359 K359">
    <cfRule type="expression" dxfId="15" priority="20" stopIfTrue="1">
      <formula>"esterreur(reference)"</formula>
    </cfRule>
  </conditionalFormatting>
  <conditionalFormatting sqref="K394">
    <cfRule type="expression" dxfId="14" priority="21" stopIfTrue="1">
      <formula>"esterreur(reference)"</formula>
    </cfRule>
  </conditionalFormatting>
  <conditionalFormatting sqref="L364:L375">
    <cfRule type="expression" dxfId="13" priority="14" stopIfTrue="1">
      <formula>"esterreur(reference)"</formula>
    </cfRule>
  </conditionalFormatting>
  <conditionalFormatting sqref="L377:L393">
    <cfRule type="expression" dxfId="12" priority="13" stopIfTrue="1">
      <formula>"esterreur(reference)"</formula>
    </cfRule>
  </conditionalFormatting>
  <conditionalFormatting sqref="J359">
    <cfRule type="expression" dxfId="11" priority="12" stopIfTrue="1">
      <formula>"esterreur(reference)"</formula>
    </cfRule>
  </conditionalFormatting>
  <conditionalFormatting sqref="L359">
    <cfRule type="expression" dxfId="10" priority="11" stopIfTrue="1">
      <formula>"esterreur(reference)"</formula>
    </cfRule>
  </conditionalFormatting>
  <conditionalFormatting sqref="O363:Q363 O364:P375">
    <cfRule type="expression" dxfId="9" priority="5" stopIfTrue="1">
      <formula>"esterreur(reference)"</formula>
    </cfRule>
  </conditionalFormatting>
  <conditionalFormatting sqref="O358:Q358">
    <cfRule type="expression" dxfId="8" priority="6" stopIfTrue="1">
      <formula>"esterreur(reference)"</formula>
    </cfRule>
  </conditionalFormatting>
  <conditionalFormatting sqref="O376:Q376 O377:P392">
    <cfRule type="expression" dxfId="7" priority="7" stopIfTrue="1">
      <formula>"esterreur(reference)"</formula>
    </cfRule>
  </conditionalFormatting>
  <conditionalFormatting sqref="O395:Q398 O393:P393">
    <cfRule type="expression" dxfId="6" priority="8" stopIfTrue="1">
      <formula>"esterreur(reference)"</formula>
    </cfRule>
  </conditionalFormatting>
  <conditionalFormatting sqref="O360:Q362 P359">
    <cfRule type="expression" dxfId="5" priority="9" stopIfTrue="1">
      <formula>"esterreur(reference)"</formula>
    </cfRule>
  </conditionalFormatting>
  <conditionalFormatting sqref="P394">
    <cfRule type="expression" dxfId="4" priority="10" stopIfTrue="1">
      <formula>"esterreur(reference)"</formula>
    </cfRule>
  </conditionalFormatting>
  <conditionalFormatting sqref="Q364:Q375">
    <cfRule type="expression" dxfId="3" priority="4" stopIfTrue="1">
      <formula>"esterreur(reference)"</formula>
    </cfRule>
  </conditionalFormatting>
  <conditionalFormatting sqref="Q377:Q393">
    <cfRule type="expression" dxfId="2" priority="3" stopIfTrue="1">
      <formula>"esterreur(reference)"</formula>
    </cfRule>
  </conditionalFormatting>
  <conditionalFormatting sqref="O359">
    <cfRule type="expression" dxfId="1" priority="2" stopIfTrue="1">
      <formula>"esterreur(reference)"</formula>
    </cfRule>
  </conditionalFormatting>
  <conditionalFormatting sqref="Q359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9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438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578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4" t="s">
        <v>2205</v>
      </c>
      <c r="B2" s="1014" t="s">
        <v>2206</v>
      </c>
      <c r="C2" s="1015"/>
      <c r="D2" s="1015"/>
      <c r="E2" s="1015"/>
      <c r="F2" s="1014" t="s">
        <v>1</v>
      </c>
      <c r="G2" s="1014" t="s">
        <v>2207</v>
      </c>
      <c r="H2" s="1015"/>
      <c r="I2" s="1016">
        <v>32869</v>
      </c>
      <c r="J2" s="1016">
        <v>0</v>
      </c>
      <c r="K2" s="1016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55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014" t="s">
        <v>2208</v>
      </c>
      <c r="B3" s="1014" t="s">
        <v>2209</v>
      </c>
      <c r="C3" s="1015"/>
      <c r="D3" s="1015"/>
      <c r="E3" s="1015"/>
      <c r="F3" s="1014" t="s">
        <v>1</v>
      </c>
      <c r="G3" s="1014" t="s">
        <v>2207</v>
      </c>
      <c r="H3" s="1015"/>
      <c r="I3" s="1016">
        <v>112899</v>
      </c>
      <c r="J3" s="1016">
        <v>0</v>
      </c>
      <c r="K3" s="1016">
        <v>112899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112899</v>
      </c>
      <c r="O3" s="155">
        <f>+IF(OR($Q3=Parametres!$G$2,$Q3=Parametres!$G$3),J3,D3)</f>
        <v>0</v>
      </c>
      <c r="P3" s="155">
        <f>+IF(OR($Q3=Parametres!$G$2,$Q3=Parametres!$G$3),K3,E3)</f>
        <v>112899</v>
      </c>
      <c r="Q3" s="154" t="str">
        <f t="shared" si="2"/>
        <v>1-Mémo</v>
      </c>
      <c r="R3" s="153" t="str">
        <f t="shared" si="3"/>
        <v>1</v>
      </c>
      <c r="S3" s="154">
        <f t="shared" si="4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4" t="s">
        <v>2228</v>
      </c>
      <c r="B4" s="1014" t="s">
        <v>2229</v>
      </c>
      <c r="C4" s="1015"/>
      <c r="D4" s="1015"/>
      <c r="E4" s="1015"/>
      <c r="F4" s="1014" t="s">
        <v>1</v>
      </c>
      <c r="G4" s="1014" t="s">
        <v>2230</v>
      </c>
      <c r="H4" s="1015"/>
      <c r="I4" s="1016">
        <v>1.03</v>
      </c>
      <c r="J4" s="1016">
        <v>0</v>
      </c>
      <c r="K4" s="1016">
        <v>1.03</v>
      </c>
      <c r="L4" s="153" t="str">
        <f t="shared" si="0"/>
        <v>229</v>
      </c>
      <c r="M4" s="154" t="str">
        <f t="shared" si="1"/>
        <v>CUMUL. VIS. CARR. VW</v>
      </c>
      <c r="N4" s="155">
        <f>+IF(OR($Q4=Parametres!$G$2,$Q4=Parametres!$G$3),I4,C4)</f>
        <v>1.03</v>
      </c>
      <c r="O4" s="155">
        <f>+IF(OR($Q4=Parametres!$G$2,$Q4=Parametres!$G$3),J4,D4)</f>
        <v>0</v>
      </c>
      <c r="P4" s="155">
        <f>+IF(OR($Q4=Parametres!$G$2,$Q4=Parametres!$G$3),K4,E4)</f>
        <v>1.03</v>
      </c>
      <c r="Q4" s="154" t="str">
        <f t="shared" si="2"/>
        <v>1-Mémo</v>
      </c>
      <c r="R4" s="153" t="str">
        <f t="shared" si="3"/>
        <v>23</v>
      </c>
      <c r="S4" s="154">
        <f t="shared" si="4"/>
        <v>0</v>
      </c>
      <c r="T4" s="156" t="str">
        <f>+VLOOKUP($L4,Data_Validation!$A:$D,1,0)</f>
        <v>229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4" t="s">
        <v>2231</v>
      </c>
      <c r="B5" s="1014" t="s">
        <v>2232</v>
      </c>
      <c r="C5" s="1015"/>
      <c r="D5" s="1015"/>
      <c r="E5" s="1015"/>
      <c r="F5" s="1014" t="s">
        <v>1</v>
      </c>
      <c r="G5" s="1014" t="s">
        <v>2230</v>
      </c>
      <c r="H5" s="1015"/>
      <c r="I5" s="1016">
        <v>13.56</v>
      </c>
      <c r="J5" s="1016">
        <v>0</v>
      </c>
      <c r="K5" s="1016">
        <v>13.56</v>
      </c>
      <c r="L5" s="153" t="str">
        <f t="shared" si="0"/>
        <v>230</v>
      </c>
      <c r="M5" s="154" t="str">
        <f t="shared" si="1"/>
        <v>CUMUL. VIS. VEH. SERV. VW</v>
      </c>
      <c r="N5" s="155">
        <f>+IF(OR($Q5=Parametres!$G$2,$Q5=Parametres!$G$3),I5,C5)</f>
        <v>13.56</v>
      </c>
      <c r="O5" s="155">
        <f>+IF(OR($Q5=Parametres!$G$2,$Q5=Parametres!$G$3),J5,D5)</f>
        <v>0</v>
      </c>
      <c r="P5" s="155">
        <f>+IF(OR($Q5=Parametres!$G$2,$Q5=Parametres!$G$3),K5,E5)</f>
        <v>13.56</v>
      </c>
      <c r="Q5" s="154" t="str">
        <f t="shared" si="2"/>
        <v>1-Mémo</v>
      </c>
      <c r="R5" s="153" t="str">
        <f t="shared" si="3"/>
        <v>23</v>
      </c>
      <c r="S5" s="154">
        <f t="shared" si="4"/>
        <v>0</v>
      </c>
      <c r="T5" s="156" t="str">
        <f>+VLOOKUP($L5,Data_Validation!$A:$D,1,0)</f>
        <v>230</v>
      </c>
      <c r="U5" s="156">
        <f>+VLOOKUP($L5,Data_Validation!$A:$D,3,0)</f>
        <v>0</v>
      </c>
      <c r="V5" s="156">
        <f>+VLOOKUP($L5,Data_Validation!$A:$D,4,0)</f>
        <v>0</v>
      </c>
      <c r="W5" s="156" t="str">
        <f>+VLOOKUP($L5,Data_Validation!$A:$E,5,0)</f>
        <v>$</v>
      </c>
      <c r="X5" s="156">
        <f>+VLOOKUP($L5,Data_Validation!$A:$F,6,0)</f>
        <v>0</v>
      </c>
    </row>
    <row r="6" spans="1:24" ht="15.75" customHeight="1">
      <c r="A6" s="1014" t="s">
        <v>2233</v>
      </c>
      <c r="B6" s="1014" t="s">
        <v>2234</v>
      </c>
      <c r="C6" s="1015"/>
      <c r="D6" s="1015"/>
      <c r="E6" s="1015"/>
      <c r="F6" s="1014" t="s">
        <v>1</v>
      </c>
      <c r="G6" s="1014" t="s">
        <v>2230</v>
      </c>
      <c r="H6" s="1015"/>
      <c r="I6" s="1016">
        <v>22.67</v>
      </c>
      <c r="J6" s="1016">
        <v>0</v>
      </c>
      <c r="K6" s="1016">
        <v>22.67</v>
      </c>
      <c r="L6" s="153" t="str">
        <f t="shared" si="0"/>
        <v>234</v>
      </c>
      <c r="M6" s="154" t="str">
        <f t="shared" si="1"/>
        <v>TOTAL HRES PROD. SERVICE</v>
      </c>
      <c r="N6" s="155">
        <f>+IF(OR($Q6=Parametres!$G$2,$Q6=Parametres!$G$3),I6,C6)</f>
        <v>22.67</v>
      </c>
      <c r="O6" s="155">
        <f>+IF(OR($Q6=Parametres!$G$2,$Q6=Parametres!$G$3),J6,D6)</f>
        <v>0</v>
      </c>
      <c r="P6" s="155">
        <f>+IF(OR($Q6=Parametres!$G$2,$Q6=Parametres!$G$3),K6,E6)</f>
        <v>22.67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234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4" t="s">
        <v>2235</v>
      </c>
      <c r="B7" s="1014" t="s">
        <v>2236</v>
      </c>
      <c r="C7" s="1015"/>
      <c r="D7" s="1015"/>
      <c r="E7" s="1015"/>
      <c r="F7" s="1014" t="s">
        <v>1</v>
      </c>
      <c r="G7" s="1014" t="s">
        <v>2230</v>
      </c>
      <c r="H7" s="1015"/>
      <c r="I7" s="1016">
        <v>22.7</v>
      </c>
      <c r="J7" s="1016">
        <v>0</v>
      </c>
      <c r="K7" s="1016">
        <v>22.7</v>
      </c>
      <c r="L7" s="153" t="str">
        <f t="shared" si="0"/>
        <v>236</v>
      </c>
      <c r="M7" s="154" t="str">
        <f t="shared" si="1"/>
        <v>HEURES VENDU VW - SERVICE</v>
      </c>
      <c r="N7" s="155">
        <f>+IF(OR($Q7=Parametres!$G$2,$Q7=Parametres!$G$3),I7,C7)</f>
        <v>22.7</v>
      </c>
      <c r="O7" s="155">
        <f>+IF(OR($Q7=Parametres!$G$2,$Q7=Parametres!$G$3),J7,D7)</f>
        <v>0</v>
      </c>
      <c r="P7" s="155">
        <f>+IF(OR($Q7=Parametres!$G$2,$Q7=Parametres!$G$3),K7,E7)</f>
        <v>22.7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236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4" t="s">
        <v>2237</v>
      </c>
      <c r="B8" s="1014" t="s">
        <v>2238</v>
      </c>
      <c r="C8" s="1015"/>
      <c r="D8" s="1015"/>
      <c r="E8" s="1015"/>
      <c r="F8" s="1014" t="s">
        <v>1</v>
      </c>
      <c r="G8" s="1014" t="s">
        <v>2230</v>
      </c>
      <c r="H8" s="1015"/>
      <c r="I8" s="1016">
        <v>25.58</v>
      </c>
      <c r="J8" s="1016">
        <v>0</v>
      </c>
      <c r="K8" s="1016">
        <v>25.58</v>
      </c>
      <c r="L8" s="153" t="str">
        <f t="shared" si="0"/>
        <v>238</v>
      </c>
      <c r="M8" s="154" t="str">
        <f t="shared" si="1"/>
        <v>TOT. HEURES DISP. SERVICE</v>
      </c>
      <c r="N8" s="155">
        <f>+IF(OR($Q8=Parametres!$G$2,$Q8=Parametres!$G$3),I8,C8)</f>
        <v>25.58</v>
      </c>
      <c r="O8" s="155">
        <f>+IF(OR($Q8=Parametres!$G$2,$Q8=Parametres!$G$3),J8,D8)</f>
        <v>0</v>
      </c>
      <c r="P8" s="155">
        <f>+IF(OR($Q8=Parametres!$G$2,$Q8=Parametres!$G$3),K8,E8)</f>
        <v>25.58</v>
      </c>
      <c r="Q8" s="154" t="str">
        <f t="shared" si="2"/>
        <v>1-Mémo</v>
      </c>
      <c r="R8" s="153" t="str">
        <f t="shared" si="3"/>
        <v>23</v>
      </c>
      <c r="S8" s="154">
        <f t="shared" si="4"/>
        <v>0</v>
      </c>
      <c r="T8" s="156" t="str">
        <f>+VLOOKUP($L8,Data_Validation!$A:$D,1,0)</f>
        <v>238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4" t="s">
        <v>2239</v>
      </c>
      <c r="B9" s="1014" t="s">
        <v>2240</v>
      </c>
      <c r="C9" s="1015"/>
      <c r="D9" s="1015"/>
      <c r="E9" s="1015"/>
      <c r="F9" s="1014" t="s">
        <v>1</v>
      </c>
      <c r="G9" s="1014" t="s">
        <v>2241</v>
      </c>
      <c r="H9" s="1015"/>
      <c r="I9" s="1016">
        <v>134.94999999999999</v>
      </c>
      <c r="J9" s="1016">
        <v>0</v>
      </c>
      <c r="K9" s="1016">
        <v>134.94999999999999</v>
      </c>
      <c r="L9" s="153" t="str">
        <f t="shared" si="0"/>
        <v>243</v>
      </c>
      <c r="M9" s="154" t="str">
        <f t="shared" si="1"/>
        <v>TAUX M/O CLIENT VW</v>
      </c>
      <c r="N9" s="155">
        <f>+IF(OR($Q9=Parametres!$G$2,$Q9=Parametres!$G$3),I9,C9)</f>
        <v>134.94999999999999</v>
      </c>
      <c r="O9" s="575">
        <f>+IF(OR($Q9=Parametres!$G$2,$Q9=Parametres!$G$3),J9,D9)</f>
        <v>0</v>
      </c>
      <c r="P9" s="155">
        <f>+IF(OR($Q9=Parametres!$G$2,$Q9=Parametres!$G$3),K9,E9)</f>
        <v>134.94999999999999</v>
      </c>
      <c r="Q9" s="154" t="str">
        <f t="shared" si="2"/>
        <v>1-Mémo</v>
      </c>
      <c r="R9" s="153" t="str">
        <f t="shared" si="3"/>
        <v>24</v>
      </c>
      <c r="S9" s="154">
        <f t="shared" si="4"/>
        <v>0</v>
      </c>
      <c r="T9" s="156" t="str">
        <f>+VLOOKUP($L9,Data_Validation!$A:$D,1,0)</f>
        <v>243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4" t="s">
        <v>2242</v>
      </c>
      <c r="B10" s="1014" t="s">
        <v>2243</v>
      </c>
      <c r="C10" s="1015"/>
      <c r="D10" s="1015"/>
      <c r="E10" s="1015"/>
      <c r="F10" s="1014" t="s">
        <v>1</v>
      </c>
      <c r="G10" s="1014" t="s">
        <v>2241</v>
      </c>
      <c r="H10" s="1015"/>
      <c r="I10" s="1016">
        <v>119.44</v>
      </c>
      <c r="J10" s="1016">
        <v>0</v>
      </c>
      <c r="K10" s="1016">
        <v>119.44</v>
      </c>
      <c r="L10" s="153" t="str">
        <f t="shared" si="0"/>
        <v>244</v>
      </c>
      <c r="M10" s="154" t="str">
        <f t="shared" si="1"/>
        <v>TAUX M/O GARANTIE VW</v>
      </c>
      <c r="N10" s="155">
        <f>+IF(OR($Q10=Parametres!$G$2,$Q10=Parametres!$G$3),I10,C10)</f>
        <v>119.44</v>
      </c>
      <c r="O10" s="576">
        <f>+IF(OR($Q10=Parametres!$G$2,$Q10=Parametres!$G$3),J10,D10)</f>
        <v>0</v>
      </c>
      <c r="P10" s="155">
        <f>+IF(OR($Q10=Parametres!$G$2,$Q10=Parametres!$G$3),K10,E10)</f>
        <v>119.44</v>
      </c>
      <c r="Q10" s="154" t="str">
        <f t="shared" si="2"/>
        <v>1-Mémo</v>
      </c>
      <c r="R10" s="153" t="str">
        <f t="shared" si="3"/>
        <v>24</v>
      </c>
      <c r="S10" s="154">
        <f t="shared" si="4"/>
        <v>0</v>
      </c>
      <c r="T10" s="156" t="str">
        <f>+VLOOKUP($L10,Data_Validation!$A:$D,1,0)</f>
        <v>244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4" t="s">
        <v>2244</v>
      </c>
      <c r="B11" s="1014" t="s">
        <v>2245</v>
      </c>
      <c r="C11" s="1015"/>
      <c r="D11" s="1015"/>
      <c r="E11" s="1015"/>
      <c r="F11" s="1014" t="s">
        <v>1</v>
      </c>
      <c r="G11" s="1014" t="s">
        <v>2241</v>
      </c>
      <c r="H11" s="1015"/>
      <c r="I11" s="1016">
        <v>134.94999999999999</v>
      </c>
      <c r="J11" s="1016">
        <v>0</v>
      </c>
      <c r="K11" s="1016">
        <v>134.94999999999999</v>
      </c>
      <c r="L11" s="153" t="str">
        <f t="shared" si="0"/>
        <v>245</v>
      </c>
      <c r="M11" s="154" t="str">
        <f t="shared" si="1"/>
        <v>TAUX M/O INTERNE VW</v>
      </c>
      <c r="N11" s="155">
        <f>+IF(OR($Q11=Parametres!$G$2,$Q11=Parametres!$G$3),I11,C11)</f>
        <v>134.94999999999999</v>
      </c>
      <c r="O11" s="576">
        <f>+IF(OR($Q11=Parametres!$G$2,$Q11=Parametres!$G$3),J11,D11)</f>
        <v>0</v>
      </c>
      <c r="P11" s="155">
        <f>+IF(OR($Q11=Parametres!$G$2,$Q11=Parametres!$G$3),K11,E11)</f>
        <v>134.94999999999999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245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4" t="s">
        <v>2246</v>
      </c>
      <c r="B12" s="1014" t="s">
        <v>2247</v>
      </c>
      <c r="C12" s="1015"/>
      <c r="D12" s="1015"/>
      <c r="E12" s="1015"/>
      <c r="F12" s="1014" t="s">
        <v>1</v>
      </c>
      <c r="G12" s="1014" t="s">
        <v>2241</v>
      </c>
      <c r="H12" s="1015"/>
      <c r="I12" s="1016">
        <v>60</v>
      </c>
      <c r="J12" s="1016">
        <v>0</v>
      </c>
      <c r="K12" s="1016">
        <v>60</v>
      </c>
      <c r="L12" s="153" t="str">
        <f t="shared" si="0"/>
        <v>246</v>
      </c>
      <c r="M12" s="154" t="str">
        <f t="shared" si="1"/>
        <v>TAUX M/O CARR. VW</v>
      </c>
      <c r="N12" s="155">
        <f>+IF(OR($Q12=Parametres!$G$2,$Q12=Parametres!$G$3),I12,C12)</f>
        <v>60</v>
      </c>
      <c r="O12" s="155">
        <f>+IF(OR($Q12=Parametres!$G$2,$Q12=Parametres!$G$3),J12,D12)</f>
        <v>0</v>
      </c>
      <c r="P12" s="155">
        <f>+IF(OR($Q12=Parametres!$G$2,$Q12=Parametres!$G$3),K12,E12)</f>
        <v>60</v>
      </c>
      <c r="Q12" s="154" t="str">
        <f t="shared" si="2"/>
        <v>1-Mémo</v>
      </c>
      <c r="R12" s="153" t="str">
        <f t="shared" si="3"/>
        <v>24</v>
      </c>
      <c r="S12" s="154">
        <f t="shared" si="4"/>
        <v>0</v>
      </c>
      <c r="T12" s="156" t="str">
        <f>+VLOOKUP($L12,Data_Validation!$A:$D,1,0)</f>
        <v>246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4" t="s">
        <v>2248</v>
      </c>
      <c r="B13" s="1014" t="s">
        <v>2249</v>
      </c>
      <c r="C13" s="1015"/>
      <c r="D13" s="1015"/>
      <c r="E13" s="1015"/>
      <c r="F13" s="1014" t="s">
        <v>1</v>
      </c>
      <c r="G13" s="1014" t="s">
        <v>2249</v>
      </c>
      <c r="H13" s="1015"/>
      <c r="I13" s="1016">
        <v>0.08</v>
      </c>
      <c r="J13" s="1016">
        <v>0</v>
      </c>
      <c r="K13" s="1016">
        <v>0.08</v>
      </c>
      <c r="L13" s="153" t="str">
        <f t="shared" si="0"/>
        <v>255</v>
      </c>
      <c r="M13" s="154" t="str">
        <f t="shared" si="1"/>
        <v>BAIES TRAVAIL PRODUCTIVES - SERVICE VW</v>
      </c>
      <c r="N13" s="155">
        <f>+IF(OR($Q13=Parametres!$G$2,$Q13=Parametres!$G$3),I13,C13)</f>
        <v>0.08</v>
      </c>
      <c r="O13" s="155">
        <f>+IF(OR($Q13=Parametres!$G$2,$Q13=Parametres!$G$3),J13,D13)</f>
        <v>0</v>
      </c>
      <c r="P13" s="155">
        <f>+IF(OR($Q13=Parametres!$G$2,$Q13=Parametres!$G$3),K13,E13)</f>
        <v>0.08</v>
      </c>
      <c r="Q13" s="154" t="str">
        <f t="shared" si="2"/>
        <v>1-Mémo</v>
      </c>
      <c r="R13" s="153" t="str">
        <f t="shared" si="3"/>
        <v>255</v>
      </c>
      <c r="S13" s="154">
        <f t="shared" si="4"/>
        <v>0</v>
      </c>
      <c r="T13" s="156" t="str">
        <f>+VLOOKUP($L13,Data_Validation!$A:$D,1,0)</f>
        <v>255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4" t="s">
        <v>2250</v>
      </c>
      <c r="B14" s="1014" t="s">
        <v>2251</v>
      </c>
      <c r="C14" s="1015"/>
      <c r="D14" s="1015"/>
      <c r="E14" s="1015"/>
      <c r="F14" s="1014" t="s">
        <v>1</v>
      </c>
      <c r="G14" s="1014" t="s">
        <v>2251</v>
      </c>
      <c r="H14" s="1015"/>
      <c r="I14" s="1016">
        <v>815.26</v>
      </c>
      <c r="J14" s="1016">
        <v>0</v>
      </c>
      <c r="K14" s="1016">
        <v>815.26</v>
      </c>
      <c r="L14" s="153" t="str">
        <f t="shared" si="0"/>
        <v>257</v>
      </c>
      <c r="M14" s="154" t="str">
        <f t="shared" si="1"/>
        <v>HEURES VENDUES - SERVICE - CLIENT VW</v>
      </c>
      <c r="N14" s="155">
        <f>+IF(OR($Q14=Parametres!$G$2,$Q14=Parametres!$G$3),I14,C14)</f>
        <v>815.26</v>
      </c>
      <c r="O14" s="155">
        <f>+IF(OR($Q14=Parametres!$G$2,$Q14=Parametres!$G$3),J14,D14)</f>
        <v>0</v>
      </c>
      <c r="P14" s="155">
        <f>+IF(OR($Q14=Parametres!$G$2,$Q14=Parametres!$G$3),K14,E14)</f>
        <v>815.26</v>
      </c>
      <c r="Q14" s="154" t="str">
        <f t="shared" si="2"/>
        <v>1-Mémo</v>
      </c>
      <c r="R14" s="153" t="str">
        <f t="shared" si="3"/>
        <v>257</v>
      </c>
      <c r="S14" s="154">
        <f t="shared" si="4"/>
        <v>0</v>
      </c>
      <c r="T14" s="156" t="str">
        <f>+VLOOKUP($L14,Data_Validation!$A:$D,1,0)</f>
        <v>257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4" t="s">
        <v>2252</v>
      </c>
      <c r="B15" s="1014" t="s">
        <v>2253</v>
      </c>
      <c r="C15" s="1015"/>
      <c r="D15" s="1015"/>
      <c r="E15" s="1015"/>
      <c r="F15" s="1014" t="s">
        <v>1</v>
      </c>
      <c r="G15" s="1014" t="s">
        <v>2251</v>
      </c>
      <c r="H15" s="1015"/>
      <c r="I15" s="1016">
        <v>769.1</v>
      </c>
      <c r="J15" s="1016">
        <v>0</v>
      </c>
      <c r="K15" s="1016">
        <v>769.1</v>
      </c>
      <c r="L15" s="153" t="str">
        <f t="shared" si="0"/>
        <v>258</v>
      </c>
      <c r="M15" s="154" t="str">
        <f t="shared" si="1"/>
        <v>HEURES VENDUES - SERVICE - GARANTIE VW</v>
      </c>
      <c r="N15" s="155">
        <f>+IF(OR($Q15=Parametres!$G$2,$Q15=Parametres!$G$3),I15,C15)</f>
        <v>769.1</v>
      </c>
      <c r="O15" s="155">
        <f>+IF(OR($Q15=Parametres!$G$2,$Q15=Parametres!$G$3),J15,D15)</f>
        <v>0</v>
      </c>
      <c r="P15" s="155">
        <f>+IF(OR($Q15=Parametres!$G$2,$Q15=Parametres!$G$3),K15,E15)</f>
        <v>769.1</v>
      </c>
      <c r="Q15" s="154" t="str">
        <f t="shared" si="2"/>
        <v>1-Mémo</v>
      </c>
      <c r="R15" s="153" t="str">
        <f t="shared" si="3"/>
        <v>257</v>
      </c>
      <c r="S15" s="154">
        <f t="shared" si="4"/>
        <v>0</v>
      </c>
      <c r="T15" s="156" t="str">
        <f>+VLOOKUP($L15,Data_Validation!$A:$D,1,0)</f>
        <v>258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4" t="s">
        <v>2254</v>
      </c>
      <c r="B16" s="1014" t="s">
        <v>2255</v>
      </c>
      <c r="C16" s="1015"/>
      <c r="D16" s="1015"/>
      <c r="E16" s="1015"/>
      <c r="F16" s="1014" t="s">
        <v>1</v>
      </c>
      <c r="G16" s="1014" t="s">
        <v>2251</v>
      </c>
      <c r="H16" s="1015"/>
      <c r="I16" s="1016">
        <v>685.62</v>
      </c>
      <c r="J16" s="1016">
        <v>0</v>
      </c>
      <c r="K16" s="1016">
        <v>685.62</v>
      </c>
      <c r="L16" s="153" t="str">
        <f t="shared" si="0"/>
        <v>259</v>
      </c>
      <c r="M16" s="154" t="str">
        <f t="shared" si="1"/>
        <v>HEURES VENDUES - SERVICE - INTERNE VW</v>
      </c>
      <c r="N16" s="155">
        <f>+IF(OR($Q16=Parametres!$G$2,$Q16=Parametres!$G$3),I16,C16)</f>
        <v>685.62</v>
      </c>
      <c r="O16" s="155">
        <f>+IF(OR($Q16=Parametres!$G$2,$Q16=Parametres!$G$3),J16,D16)</f>
        <v>0</v>
      </c>
      <c r="P16" s="155">
        <f>+IF(OR($Q16=Parametres!$G$2,$Q16=Parametres!$G$3),K16,E16)</f>
        <v>685.62</v>
      </c>
      <c r="Q16" s="154" t="str">
        <f t="shared" si="2"/>
        <v>1-Mémo</v>
      </c>
      <c r="R16" s="153" t="str">
        <f t="shared" si="3"/>
        <v>257</v>
      </c>
      <c r="S16" s="154">
        <f t="shared" si="4"/>
        <v>0</v>
      </c>
      <c r="T16" s="156" t="str">
        <f>+VLOOKUP($L16,Data_Validation!$A:$D,1,0)</f>
        <v>259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4" t="s">
        <v>2256</v>
      </c>
      <c r="B17" s="1014" t="s">
        <v>2257</v>
      </c>
      <c r="C17" s="1015"/>
      <c r="D17" s="1015"/>
      <c r="E17" s="1015"/>
      <c r="F17" s="1014" t="s">
        <v>1</v>
      </c>
      <c r="G17" s="1014" t="s">
        <v>2211</v>
      </c>
      <c r="H17" s="1015"/>
      <c r="I17" s="1016">
        <v>-1964.44</v>
      </c>
      <c r="J17" s="1016">
        <v>0</v>
      </c>
      <c r="K17" s="1016">
        <v>-1964.44</v>
      </c>
      <c r="L17" s="153" t="str">
        <f t="shared" si="0"/>
        <v>300</v>
      </c>
      <c r="M17" s="154" t="str">
        <f t="shared" si="1"/>
        <v>REC VEH PASSE DU 30-60</v>
      </c>
      <c r="N17" s="155">
        <f>+IF(OR($Q17=Parametres!$G$2,$Q17=Parametres!$G$3),I17,C17)</f>
        <v>-1964.44</v>
      </c>
      <c r="O17" s="155">
        <f>+IF(OR($Q17=Parametres!$G$2,$Q17=Parametres!$G$3),J17,D17)</f>
        <v>0</v>
      </c>
      <c r="P17" s="155">
        <f>+IF(OR($Q17=Parametres!$G$2,$Q17=Parametres!$G$3),K17,E17)</f>
        <v>-1964.44</v>
      </c>
      <c r="Q17" s="154" t="str">
        <f t="shared" si="2"/>
        <v>1-Mémo</v>
      </c>
      <c r="R17" s="153" t="str">
        <f t="shared" si="3"/>
        <v>30</v>
      </c>
      <c r="S17" s="154">
        <f t="shared" si="4"/>
        <v>0</v>
      </c>
      <c r="T17" s="156" t="str">
        <f>+VLOOKUP($L17,Data_Validation!$A:$D,1,0)</f>
        <v>300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4" t="s">
        <v>2258</v>
      </c>
      <c r="B18" s="1014" t="s">
        <v>2259</v>
      </c>
      <c r="C18" s="1015"/>
      <c r="D18" s="1015"/>
      <c r="E18" s="1015"/>
      <c r="F18" s="1014" t="s">
        <v>1</v>
      </c>
      <c r="G18" s="1014" t="s">
        <v>2211</v>
      </c>
      <c r="H18" s="1015"/>
      <c r="I18" s="1016">
        <v>34141.97</v>
      </c>
      <c r="J18" s="1016">
        <v>0</v>
      </c>
      <c r="K18" s="1016">
        <v>34141.97</v>
      </c>
      <c r="L18" s="153" t="str">
        <f t="shared" si="0"/>
        <v>301</v>
      </c>
      <c r="M18" s="154" t="str">
        <f t="shared" si="1"/>
        <v>CLIENT S P ET A PASSE DU 30-60</v>
      </c>
      <c r="N18" s="155">
        <f>+IF(OR($Q18=Parametres!$G$2,$Q18=Parametres!$G$3),I18,C18)</f>
        <v>34141.97</v>
      </c>
      <c r="O18" s="155">
        <f>+IF(OR($Q18=Parametres!$G$2,$Q18=Parametres!$G$3),J18,D18)</f>
        <v>0</v>
      </c>
      <c r="P18" s="155">
        <f>+IF(OR($Q18=Parametres!$G$2,$Q18=Parametres!$G$3),K18,E18)</f>
        <v>34141.97</v>
      </c>
      <c r="Q18" s="154" t="str">
        <f t="shared" si="2"/>
        <v>1-Mémo</v>
      </c>
      <c r="R18" s="153" t="str">
        <f t="shared" si="3"/>
        <v>30</v>
      </c>
      <c r="S18" s="154">
        <f t="shared" si="4"/>
        <v>0</v>
      </c>
      <c r="T18" s="156" t="str">
        <f>+VLOOKUP($L18,Data_Validation!$A:$D,1,0)</f>
        <v>301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4" t="s">
        <v>2260</v>
      </c>
      <c r="B19" s="1014" t="s">
        <v>2261</v>
      </c>
      <c r="C19" s="1015"/>
      <c r="D19" s="1015"/>
      <c r="E19" s="1015"/>
      <c r="F19" s="1014" t="s">
        <v>1</v>
      </c>
      <c r="G19" s="1014" t="s">
        <v>2211</v>
      </c>
      <c r="H19" s="1015"/>
      <c r="I19" s="1016">
        <v>17975.259999999998</v>
      </c>
      <c r="J19" s="1016">
        <v>0</v>
      </c>
      <c r="K19" s="1016">
        <v>17975.259999999998</v>
      </c>
      <c r="L19" s="153" t="str">
        <f t="shared" si="0"/>
        <v>302</v>
      </c>
      <c r="M19" s="154" t="str">
        <f t="shared" si="1"/>
        <v>RECLAM GARANTIE VW PASSE DU 30-60</v>
      </c>
      <c r="N19" s="155">
        <f>+IF(OR($Q19=Parametres!$G$2,$Q19=Parametres!$G$3),I19,C19)</f>
        <v>17975.259999999998</v>
      </c>
      <c r="O19" s="575">
        <f>+IF(OR($Q19=Parametres!$G$2,$Q19=Parametres!$G$3),J19,D19)</f>
        <v>0</v>
      </c>
      <c r="P19" s="155">
        <f>+IF(OR($Q19=Parametres!$G$2,$Q19=Parametres!$G$3),K19,E19)</f>
        <v>17975.259999999998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302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4" t="s">
        <v>2262</v>
      </c>
      <c r="B20" s="1014" t="s">
        <v>2263</v>
      </c>
      <c r="C20" s="1015"/>
      <c r="D20" s="1015"/>
      <c r="E20" s="1015"/>
      <c r="F20" s="1014" t="s">
        <v>1</v>
      </c>
      <c r="G20" s="1014" t="s">
        <v>2211</v>
      </c>
      <c r="H20" s="1015"/>
      <c r="I20" s="1016">
        <v>15294.65</v>
      </c>
      <c r="J20" s="1016">
        <v>0</v>
      </c>
      <c r="K20" s="1016">
        <v>15294.65</v>
      </c>
      <c r="L20" s="153" t="str">
        <f t="shared" si="0"/>
        <v>307</v>
      </c>
      <c r="M20" s="154" t="str">
        <f t="shared" si="1"/>
        <v>AUTRE REC MANUFACTURIER VW PASSE DU 30-60</v>
      </c>
      <c r="N20" s="155">
        <f>+IF(OR($Q20=Parametres!$G$2,$Q20=Parametres!$G$3),I20,C20)</f>
        <v>15294.65</v>
      </c>
      <c r="O20" s="155">
        <f>+IF(OR($Q20=Parametres!$G$2,$Q20=Parametres!$G$3),J20,D20)</f>
        <v>0</v>
      </c>
      <c r="P20" s="155">
        <f>+IF(OR($Q20=Parametres!$G$2,$Q20=Parametres!$G$3),K20,E20)</f>
        <v>15294.65</v>
      </c>
      <c r="Q20" s="154" t="str">
        <f t="shared" si="2"/>
        <v>1-Mémo</v>
      </c>
      <c r="R20" s="153" t="str">
        <f t="shared" si="3"/>
        <v>30</v>
      </c>
      <c r="S20" s="154">
        <f t="shared" si="4"/>
        <v>0</v>
      </c>
      <c r="T20" s="156" t="str">
        <f>+VLOOKUP($L20,Data_Validation!$A:$D,1,0)</f>
        <v>307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4" t="s">
        <v>2264</v>
      </c>
      <c r="B21" s="1014" t="s">
        <v>2265</v>
      </c>
      <c r="C21" s="1015"/>
      <c r="D21" s="1015"/>
      <c r="E21" s="1015"/>
      <c r="F21" s="1014" t="s">
        <v>1</v>
      </c>
      <c r="G21" s="1014" t="s">
        <v>2266</v>
      </c>
      <c r="H21" s="1015"/>
      <c r="I21" s="1016">
        <v>2704.9</v>
      </c>
      <c r="J21" s="1016">
        <v>0</v>
      </c>
      <c r="K21" s="1016">
        <v>2704.9</v>
      </c>
      <c r="L21" s="153" t="str">
        <f t="shared" si="0"/>
        <v>311</v>
      </c>
      <c r="M21" s="154" t="str">
        <f t="shared" si="1"/>
        <v>CLIENT VEH PLUS DE 60</v>
      </c>
      <c r="N21" s="155">
        <f>+IF(OR($Q21=Parametres!$G$2,$Q21=Parametres!$G$3),I21,C21)</f>
        <v>2704.9</v>
      </c>
      <c r="O21" s="155">
        <f>+IF(OR($Q21=Parametres!$G$2,$Q21=Parametres!$G$3),J21,D21)</f>
        <v>0</v>
      </c>
      <c r="P21" s="155">
        <f>+IF(OR($Q21=Parametres!$G$2,$Q21=Parametres!$G$3),K21,E21)</f>
        <v>2704.9</v>
      </c>
      <c r="Q21" s="154" t="str">
        <f t="shared" si="2"/>
        <v>1-Mémo</v>
      </c>
      <c r="R21" s="153" t="str">
        <f t="shared" si="3"/>
        <v>31</v>
      </c>
      <c r="S21" s="154">
        <f t="shared" si="4"/>
        <v>0</v>
      </c>
      <c r="T21" s="156" t="str">
        <f>+VLOOKUP($L21,Data_Validation!$A:$D,1,0)</f>
        <v>311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4" t="s">
        <v>2267</v>
      </c>
      <c r="B22" s="1014" t="s">
        <v>2268</v>
      </c>
      <c r="C22" s="1015"/>
      <c r="D22" s="1015"/>
      <c r="E22" s="1015"/>
      <c r="F22" s="1014" t="s">
        <v>1</v>
      </c>
      <c r="G22" s="1014" t="s">
        <v>2266</v>
      </c>
      <c r="H22" s="1015"/>
      <c r="I22" s="1016">
        <v>-22960.52</v>
      </c>
      <c r="J22" s="1016">
        <v>0</v>
      </c>
      <c r="K22" s="1016">
        <v>-22960.52</v>
      </c>
      <c r="L22" s="153" t="str">
        <f t="shared" si="0"/>
        <v>312</v>
      </c>
      <c r="M22" s="154" t="str">
        <f t="shared" si="1"/>
        <v>CLIENT S P ET A PLUS DE 60</v>
      </c>
      <c r="N22" s="155">
        <f>+IF(OR($Q22=Parametres!$G$2,$Q22=Parametres!$G$3),I22,C22)</f>
        <v>-22960.52</v>
      </c>
      <c r="O22" s="572">
        <f>+IF(OR($Q22=Parametres!$G$2,$Q22=Parametres!$G$3),J22,D22)</f>
        <v>0</v>
      </c>
      <c r="P22" s="155">
        <f>+IF(OR($Q22=Parametres!$G$2,$Q22=Parametres!$G$3),K22,E22)</f>
        <v>-22960.52</v>
      </c>
      <c r="Q22" s="154" t="str">
        <f t="shared" si="2"/>
        <v>1-Mémo</v>
      </c>
      <c r="R22" s="153" t="str">
        <f t="shared" si="3"/>
        <v>31</v>
      </c>
      <c r="S22" s="154">
        <f t="shared" si="4"/>
        <v>0</v>
      </c>
      <c r="T22" s="156" t="str">
        <f>+VLOOKUP($L22,Data_Validation!$A:$D,1,0)</f>
        <v>312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4" t="s">
        <v>2269</v>
      </c>
      <c r="B23" s="1014" t="s">
        <v>2270</v>
      </c>
      <c r="C23" s="1015"/>
      <c r="D23" s="1015"/>
      <c r="E23" s="1015"/>
      <c r="F23" s="1014" t="s">
        <v>1</v>
      </c>
      <c r="G23" s="1014" t="s">
        <v>2266</v>
      </c>
      <c r="H23" s="1015"/>
      <c r="I23" s="1016">
        <v>7881.15</v>
      </c>
      <c r="J23" s="1016">
        <v>0</v>
      </c>
      <c r="K23" s="1016">
        <v>7881.15</v>
      </c>
      <c r="L23" s="153" t="str">
        <f t="shared" si="0"/>
        <v>313</v>
      </c>
      <c r="M23" s="154" t="str">
        <f t="shared" si="1"/>
        <v>RECLAMATIONS DE GARATIE VW PLUS DE 60</v>
      </c>
      <c r="N23" s="155">
        <f>+IF(OR($Q23=Parametres!$G$2,$Q23=Parametres!$G$3),I23,C23)</f>
        <v>7881.15</v>
      </c>
      <c r="O23" s="155">
        <f>+IF(OR($Q23=Parametres!$G$2,$Q23=Parametres!$G$3),J23,D23)</f>
        <v>0</v>
      </c>
      <c r="P23" s="155">
        <f>+IF(OR($Q23=Parametres!$G$2,$Q23=Parametres!$G$3),K23,E23)</f>
        <v>7881.15</v>
      </c>
      <c r="Q23" s="154" t="str">
        <f t="shared" si="2"/>
        <v>1-Mémo</v>
      </c>
      <c r="R23" s="153" t="str">
        <f t="shared" si="3"/>
        <v>31</v>
      </c>
      <c r="S23" s="154">
        <f t="shared" si="4"/>
        <v>0</v>
      </c>
      <c r="T23" s="156" t="str">
        <f>+VLOOKUP($L23,Data_Validation!$A:$D,1,0)</f>
        <v>313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4" t="s">
        <v>2271</v>
      </c>
      <c r="B24" s="1014" t="s">
        <v>2272</v>
      </c>
      <c r="C24" s="1015"/>
      <c r="D24" s="1015"/>
      <c r="E24" s="1015"/>
      <c r="F24" s="1014" t="s">
        <v>1</v>
      </c>
      <c r="G24" s="1014" t="s">
        <v>2266</v>
      </c>
      <c r="H24" s="1015"/>
      <c r="I24" s="1016">
        <v>-20279.21</v>
      </c>
      <c r="J24" s="1016">
        <v>0</v>
      </c>
      <c r="K24" s="1016">
        <v>-20279.21</v>
      </c>
      <c r="L24" s="153" t="str">
        <f t="shared" si="0"/>
        <v>316</v>
      </c>
      <c r="M24" s="154" t="str">
        <f t="shared" si="1"/>
        <v>AUTRE REC MANUFACTURIER VW PLUS DE 60</v>
      </c>
      <c r="N24" s="155">
        <f>+IF(OR($Q24=Parametres!$G$2,$Q24=Parametres!$G$3),I24,C24)</f>
        <v>-20279.21</v>
      </c>
      <c r="O24" s="155">
        <f>+IF(OR($Q24=Parametres!$G$2,$Q24=Parametres!$G$3),J24,D24)</f>
        <v>0</v>
      </c>
      <c r="P24" s="155">
        <f>+IF(OR($Q24=Parametres!$G$2,$Q24=Parametres!$G$3),K24,E24)</f>
        <v>-20279.21</v>
      </c>
      <c r="Q24" s="154" t="str">
        <f t="shared" si="2"/>
        <v>1-Mémo</v>
      </c>
      <c r="R24" s="153" t="str">
        <f t="shared" si="3"/>
        <v>31</v>
      </c>
      <c r="S24" s="154">
        <f t="shared" si="4"/>
        <v>0</v>
      </c>
      <c r="T24" s="156" t="str">
        <f>+VLOOKUP($L24,Data_Validation!$A:$D,1,0)</f>
        <v>316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4" t="s">
        <v>2273</v>
      </c>
      <c r="B25" s="1014" t="s">
        <v>2274</v>
      </c>
      <c r="C25" s="1015"/>
      <c r="D25" s="1015"/>
      <c r="E25" s="1015"/>
      <c r="F25" s="1014" t="s">
        <v>1</v>
      </c>
      <c r="G25" s="1014" t="s">
        <v>2275</v>
      </c>
      <c r="H25" s="1015"/>
      <c r="I25" s="1016">
        <v>0.15</v>
      </c>
      <c r="J25" s="1016">
        <v>0</v>
      </c>
      <c r="K25" s="1016">
        <v>0.15</v>
      </c>
      <c r="L25" s="153" t="str">
        <f t="shared" si="0"/>
        <v>350</v>
      </c>
      <c r="M25" s="154" t="str">
        <f t="shared" si="1"/>
        <v>UNITES USAGES +30JRS</v>
      </c>
      <c r="N25" s="155">
        <f>+IF(OR($Q25=Parametres!$G$2,$Q25=Parametres!$G$3),I25,C25)</f>
        <v>0.15</v>
      </c>
      <c r="O25" s="155">
        <f>+IF(OR($Q25=Parametres!$G$2,$Q25=Parametres!$G$3),J25,D25)</f>
        <v>0</v>
      </c>
      <c r="P25" s="155">
        <f>+IF(OR($Q25=Parametres!$G$2,$Q25=Parametres!$G$3),K25,E25)</f>
        <v>0.15</v>
      </c>
      <c r="Q25" s="154" t="str">
        <f t="shared" si="2"/>
        <v>1-Mémo</v>
      </c>
      <c r="R25" s="153" t="str">
        <f t="shared" si="3"/>
        <v>35</v>
      </c>
      <c r="S25" s="154">
        <f t="shared" si="4"/>
        <v>0</v>
      </c>
      <c r="T25" s="156" t="str">
        <f>+VLOOKUP($L25,Data_Validation!$A:$D,1,0)</f>
        <v>350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4" t="s">
        <v>2276</v>
      </c>
      <c r="B26" s="1014" t="s">
        <v>2277</v>
      </c>
      <c r="C26" s="1015"/>
      <c r="D26" s="1015"/>
      <c r="E26" s="1015"/>
      <c r="F26" s="1014" t="s">
        <v>1</v>
      </c>
      <c r="G26" s="1014" t="s">
        <v>2278</v>
      </c>
      <c r="H26" s="1015"/>
      <c r="I26" s="1016">
        <v>259205.35</v>
      </c>
      <c r="J26" s="1016">
        <v>0</v>
      </c>
      <c r="K26" s="1016">
        <v>259205.35</v>
      </c>
      <c r="L26" s="153" t="str">
        <f t="shared" si="0"/>
        <v>360</v>
      </c>
      <c r="M26" s="154" t="str">
        <f t="shared" si="1"/>
        <v>OCCASION VW + 60 JRS</v>
      </c>
      <c r="N26" s="155">
        <f>+IF(OR($Q26=Parametres!$G$2,$Q26=Parametres!$G$3),I26,C26)</f>
        <v>259205.35</v>
      </c>
      <c r="O26" s="155">
        <f>+IF(OR($Q26=Parametres!$G$2,$Q26=Parametres!$G$3),J26,D26)</f>
        <v>0</v>
      </c>
      <c r="P26" s="155">
        <f>+IF(OR($Q26=Parametres!$G$2,$Q26=Parametres!$G$3),K26,E26)</f>
        <v>259205.35</v>
      </c>
      <c r="Q26" s="154" t="str">
        <f t="shared" si="2"/>
        <v>1-Mémo</v>
      </c>
      <c r="R26" s="153" t="str">
        <f t="shared" si="3"/>
        <v>36</v>
      </c>
      <c r="S26" s="154">
        <f t="shared" si="4"/>
        <v>0</v>
      </c>
      <c r="T26" s="156" t="str">
        <f>+VLOOKUP($L26,Data_Validation!$A:$D,1,0)</f>
        <v>360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14" t="s">
        <v>2279</v>
      </c>
      <c r="B27" s="1014" t="s">
        <v>2280</v>
      </c>
      <c r="C27" s="1015"/>
      <c r="D27" s="1015"/>
      <c r="E27" s="1015"/>
      <c r="F27" s="1014" t="s">
        <v>1</v>
      </c>
      <c r="G27" s="1014" t="s">
        <v>2907</v>
      </c>
      <c r="H27" s="1015"/>
      <c r="I27" s="1016">
        <v>425000</v>
      </c>
      <c r="J27" s="1016">
        <v>0</v>
      </c>
      <c r="K27" s="1016">
        <v>425000</v>
      </c>
      <c r="L27" s="153" t="str">
        <f t="shared" si="0"/>
        <v>370</v>
      </c>
      <c r="M27" s="154" t="str">
        <f t="shared" si="1"/>
        <v>AVOIR DU PROP. MIM. REQUIS</v>
      </c>
      <c r="N27" s="155">
        <f>+IF(OR($Q27=Parametres!$G$2,$Q27=Parametres!$G$3),I27,C27)</f>
        <v>425000</v>
      </c>
      <c r="O27" s="155">
        <f>+IF(OR($Q27=Parametres!$G$2,$Q27=Parametres!$G$3),J27,D27)</f>
        <v>0</v>
      </c>
      <c r="P27" s="155">
        <f>+IF(OR($Q27=Parametres!$G$2,$Q27=Parametres!$G$3),K27,E27)</f>
        <v>425000</v>
      </c>
      <c r="Q27" s="154" t="str">
        <f t="shared" si="2"/>
        <v>1-Mémo</v>
      </c>
      <c r="R27" s="153" t="str">
        <f t="shared" si="3"/>
        <v>37</v>
      </c>
      <c r="S27" s="154">
        <f t="shared" si="4"/>
        <v>0</v>
      </c>
      <c r="T27" s="156" t="str">
        <f>+VLOOKUP($L27,Data_Validation!$A:$D,1,0)</f>
        <v>370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014" t="s">
        <v>2281</v>
      </c>
      <c r="B28" s="1014" t="s">
        <v>2282</v>
      </c>
      <c r="C28" s="1015"/>
      <c r="D28" s="1015"/>
      <c r="E28" s="1015"/>
      <c r="F28" s="1014" t="s">
        <v>1</v>
      </c>
      <c r="G28" s="1014" t="s">
        <v>2907</v>
      </c>
      <c r="H28" s="1015"/>
      <c r="I28" s="1016">
        <v>737500</v>
      </c>
      <c r="J28" s="1016">
        <v>0</v>
      </c>
      <c r="K28" s="1016">
        <v>737500</v>
      </c>
      <c r="L28" s="153" t="str">
        <f t="shared" si="0"/>
        <v>372</v>
      </c>
      <c r="M28" s="154" t="str">
        <f t="shared" si="1"/>
        <v>FONDS DE ROULEMENT/MIN. REQUIS</v>
      </c>
      <c r="N28" s="155">
        <f>+IF(OR($Q28=Parametres!$G$2,$Q28=Parametres!$G$3),I28,C28)</f>
        <v>737500</v>
      </c>
      <c r="O28" s="155">
        <f>+IF(OR($Q28=Parametres!$G$2,$Q28=Parametres!$G$3),J28,D28)</f>
        <v>0</v>
      </c>
      <c r="P28" s="155">
        <f>+IF(OR($Q28=Parametres!$G$2,$Q28=Parametres!$G$3),K28,E28)</f>
        <v>737500</v>
      </c>
      <c r="Q28" s="154" t="str">
        <f t="shared" si="2"/>
        <v>1-Mémo</v>
      </c>
      <c r="R28" s="153" t="str">
        <f t="shared" si="3"/>
        <v>37</v>
      </c>
      <c r="S28" s="154">
        <f t="shared" si="4"/>
        <v>0</v>
      </c>
      <c r="T28" s="156" t="str">
        <f>+VLOOKUP($L28,Data_Validation!$A:$D,1,0)</f>
        <v>372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4" t="s">
        <v>2283</v>
      </c>
      <c r="B29" s="1014" t="s">
        <v>2284</v>
      </c>
      <c r="C29" s="1015"/>
      <c r="D29" s="1015"/>
      <c r="E29" s="1015"/>
      <c r="F29" s="1014" t="s">
        <v>1</v>
      </c>
      <c r="G29" s="1014" t="s">
        <v>2213</v>
      </c>
      <c r="H29" s="1015"/>
      <c r="I29" s="1016">
        <v>0.24</v>
      </c>
      <c r="J29" s="1016">
        <v>0</v>
      </c>
      <c r="K29" s="1016">
        <v>0.24</v>
      </c>
      <c r="L29" s="153" t="str">
        <f t="shared" si="0"/>
        <v>401</v>
      </c>
      <c r="M29" s="154" t="str">
        <f t="shared" si="1"/>
        <v>UNITES NEUVES VENDUES JANVIER</v>
      </c>
      <c r="N29" s="155">
        <f>+IF(OR($Q29=Parametres!$G$2,$Q29=Parametres!$G$3),I29,C29)</f>
        <v>0.24</v>
      </c>
      <c r="O29" s="155">
        <f>+IF(OR($Q29=Parametres!$G$2,$Q29=Parametres!$G$3),J29,D29)</f>
        <v>0</v>
      </c>
      <c r="P29" s="155">
        <f>+IF(OR($Q29=Parametres!$G$2,$Q29=Parametres!$G$3),K29,E29)</f>
        <v>0.24</v>
      </c>
      <c r="Q29" s="154" t="str">
        <f t="shared" si="2"/>
        <v>1-Mémo</v>
      </c>
      <c r="R29" s="153" t="str">
        <f t="shared" si="3"/>
        <v>40</v>
      </c>
      <c r="S29" s="154">
        <f t="shared" si="4"/>
        <v>0</v>
      </c>
      <c r="T29" s="156" t="str">
        <f>+VLOOKUP($L29,Data_Validation!$A:$D,1,0)</f>
        <v>401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4" t="s">
        <v>2285</v>
      </c>
      <c r="B30" s="1014" t="s">
        <v>2286</v>
      </c>
      <c r="C30" s="1015"/>
      <c r="D30" s="1015"/>
      <c r="E30" s="1015"/>
      <c r="F30" s="1014" t="s">
        <v>1</v>
      </c>
      <c r="G30" s="1014" t="s">
        <v>2213</v>
      </c>
      <c r="H30" s="1015"/>
      <c r="I30" s="1016">
        <v>0.52</v>
      </c>
      <c r="J30" s="1016">
        <v>0</v>
      </c>
      <c r="K30" s="1016">
        <v>0.52</v>
      </c>
      <c r="L30" s="153" t="str">
        <f t="shared" si="0"/>
        <v>402</v>
      </c>
      <c r="M30" s="154" t="str">
        <f t="shared" si="1"/>
        <v>UNITES NEUVES VENDUES FEVRIER</v>
      </c>
      <c r="N30" s="155">
        <f>+IF(OR($Q30=Parametres!$G$2,$Q30=Parametres!$G$3),I30,C30)</f>
        <v>0.52</v>
      </c>
      <c r="O30" s="575">
        <f>+IF(OR($Q30=Parametres!$G$2,$Q30=Parametres!$G$3),J30,D30)</f>
        <v>0</v>
      </c>
      <c r="P30" s="155">
        <f>+IF(OR($Q30=Parametres!$G$2,$Q30=Parametres!$G$3),K30,E30)</f>
        <v>0.52</v>
      </c>
      <c r="Q30" s="154" t="str">
        <f t="shared" si="2"/>
        <v>1-Mémo</v>
      </c>
      <c r="R30" s="153" t="str">
        <f t="shared" si="3"/>
        <v>40</v>
      </c>
      <c r="S30" s="154">
        <f t="shared" si="4"/>
        <v>0</v>
      </c>
      <c r="T30" s="156" t="str">
        <f>+VLOOKUP($L30,Data_Validation!$A:$D,1,0)</f>
        <v>402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14" t="s">
        <v>2304</v>
      </c>
      <c r="B31" s="1014" t="s">
        <v>2305</v>
      </c>
      <c r="C31" s="1015"/>
      <c r="D31" s="1015"/>
      <c r="E31" s="1015"/>
      <c r="F31" s="1014" t="s">
        <v>1</v>
      </c>
      <c r="G31" s="1014" t="s">
        <v>2306</v>
      </c>
      <c r="H31" s="1015"/>
      <c r="I31" s="1016">
        <v>0.15</v>
      </c>
      <c r="J31" s="1016">
        <v>0</v>
      </c>
      <c r="K31" s="1016">
        <v>0.15</v>
      </c>
      <c r="L31" s="153" t="str">
        <f t="shared" si="0"/>
        <v>421</v>
      </c>
      <c r="M31" s="154" t="str">
        <f t="shared" si="1"/>
        <v>UNITES USAGES DET./ JANV.</v>
      </c>
      <c r="N31" s="155">
        <f>+IF(OR($Q31=Parametres!$G$2,$Q31=Parametres!$G$3),I31,C31)</f>
        <v>0.15</v>
      </c>
      <c r="O31" s="155">
        <f>+IF(OR($Q31=Parametres!$G$2,$Q31=Parametres!$G$3),J31,D31)</f>
        <v>0</v>
      </c>
      <c r="P31" s="155">
        <f>+IF(OR($Q31=Parametres!$G$2,$Q31=Parametres!$G$3),K31,E31)</f>
        <v>0.15</v>
      </c>
      <c r="Q31" s="154" t="str">
        <f t="shared" si="2"/>
        <v>1-Mémo</v>
      </c>
      <c r="R31" s="153" t="str">
        <f t="shared" si="3"/>
        <v>42</v>
      </c>
      <c r="S31" s="154">
        <f t="shared" si="4"/>
        <v>0</v>
      </c>
      <c r="T31" s="156" t="str">
        <f>+VLOOKUP($L31,Data_Validation!$A:$D,1,0)</f>
        <v>421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14" t="s">
        <v>2307</v>
      </c>
      <c r="B32" s="1014" t="s">
        <v>2308</v>
      </c>
      <c r="C32" s="1015"/>
      <c r="D32" s="1015"/>
      <c r="E32" s="1015"/>
      <c r="F32" s="1014" t="s">
        <v>1</v>
      </c>
      <c r="G32" s="1014" t="s">
        <v>2306</v>
      </c>
      <c r="H32" s="1015"/>
      <c r="I32" s="1016">
        <v>0.3</v>
      </c>
      <c r="J32" s="1016">
        <v>0</v>
      </c>
      <c r="K32" s="1016">
        <v>0.3</v>
      </c>
      <c r="L32" s="153" t="str">
        <f t="shared" si="0"/>
        <v>422</v>
      </c>
      <c r="M32" s="154" t="str">
        <f t="shared" si="1"/>
        <v>UNITES USAGES DET./ FEVR.</v>
      </c>
      <c r="N32" s="155">
        <f>+IF(OR($Q32=Parametres!$G$2,$Q32=Parametres!$G$3),I32,C32)</f>
        <v>0.3</v>
      </c>
      <c r="O32" s="576">
        <f>+IF(OR($Q32=Parametres!$G$2,$Q32=Parametres!$G$3),J32,D32)</f>
        <v>0</v>
      </c>
      <c r="P32" s="155">
        <f>+IF(OR($Q32=Parametres!$G$2,$Q32=Parametres!$G$3),K32,E32)</f>
        <v>0.3</v>
      </c>
      <c r="Q32" s="154" t="str">
        <f t="shared" si="2"/>
        <v>1-Mémo</v>
      </c>
      <c r="R32" s="153" t="str">
        <f t="shared" si="3"/>
        <v>42</v>
      </c>
      <c r="S32" s="154">
        <f t="shared" si="4"/>
        <v>0</v>
      </c>
      <c r="T32" s="156" t="str">
        <f>+VLOOKUP($L32,Data_Validation!$A:$D,1,0)</f>
        <v>422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14" t="s">
        <v>2327</v>
      </c>
      <c r="B33" s="1014" t="s">
        <v>2328</v>
      </c>
      <c r="C33" s="1016"/>
      <c r="D33" s="1016"/>
      <c r="E33" s="1016"/>
      <c r="F33" s="1014" t="s">
        <v>1</v>
      </c>
      <c r="G33" s="1014" t="s">
        <v>2215</v>
      </c>
      <c r="H33" s="1015"/>
      <c r="I33" s="1015">
        <v>1</v>
      </c>
      <c r="J33" s="1015">
        <v>0</v>
      </c>
      <c r="K33" s="1015">
        <v>1</v>
      </c>
      <c r="L33" s="153" t="str">
        <f t="shared" si="0"/>
        <v>500</v>
      </c>
      <c r="M33" s="154" t="str">
        <f t="shared" si="1"/>
        <v>PROPRIETAIRES</v>
      </c>
      <c r="N33" s="155">
        <f>+IF(OR($Q33=Parametres!$G$2,$Q33=Parametres!$G$3),I33,C33)</f>
        <v>1</v>
      </c>
      <c r="O33" s="155">
        <f>+IF(OR($Q33=Parametres!$G$2,$Q33=Parametres!$G$3),J33,D33)</f>
        <v>0</v>
      </c>
      <c r="P33" s="155">
        <f>+IF(OR($Q33=Parametres!$G$2,$Q33=Parametres!$G$3),K33,E33)</f>
        <v>1</v>
      </c>
      <c r="Q33" s="154" t="str">
        <f t="shared" si="2"/>
        <v>1-Mémo</v>
      </c>
      <c r="R33" s="153" t="str">
        <f t="shared" si="3"/>
        <v>50</v>
      </c>
      <c r="S33" s="154">
        <f t="shared" si="4"/>
        <v>0</v>
      </c>
      <c r="T33" s="156" t="str">
        <f>+VLOOKUP($L33,Data_Validation!$A:$D,1,0)</f>
        <v>500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14" t="s">
        <v>2329</v>
      </c>
      <c r="B34" s="1014" t="s">
        <v>1526</v>
      </c>
      <c r="C34" s="1016"/>
      <c r="D34" s="1016"/>
      <c r="E34" s="1016"/>
      <c r="F34" s="1014" t="s">
        <v>1</v>
      </c>
      <c r="G34" s="1014" t="s">
        <v>2215</v>
      </c>
      <c r="H34" s="1015"/>
      <c r="I34" s="1015">
        <v>0.2</v>
      </c>
      <c r="J34" s="1015">
        <v>0</v>
      </c>
      <c r="K34" s="1015">
        <v>0.2</v>
      </c>
      <c r="L34" s="153" t="str">
        <f t="shared" si="0"/>
        <v>511</v>
      </c>
      <c r="M34" s="154" t="str">
        <f t="shared" si="1"/>
        <v>DIR. GENERAL NEUFS</v>
      </c>
      <c r="N34" s="155">
        <f>+IF(OR($Q34=Parametres!$G$2,$Q34=Parametres!$G$3),I34,C34)</f>
        <v>0.2</v>
      </c>
      <c r="O34" s="155">
        <f>+IF(OR($Q34=Parametres!$G$2,$Q34=Parametres!$G$3),J34,D34)</f>
        <v>0</v>
      </c>
      <c r="P34" s="155">
        <f>+IF(OR($Q34=Parametres!$G$2,$Q34=Parametres!$G$3),K34,E34)</f>
        <v>0.2</v>
      </c>
      <c r="Q34" s="154" t="str">
        <f t="shared" si="2"/>
        <v>1-Mémo</v>
      </c>
      <c r="R34" s="153" t="str">
        <f t="shared" si="3"/>
        <v>50</v>
      </c>
      <c r="S34" s="154">
        <f t="shared" si="4"/>
        <v>0</v>
      </c>
      <c r="T34" s="156" t="str">
        <f>+VLOOKUP($L34,Data_Validation!$A:$D,1,0)</f>
        <v>511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14" t="s">
        <v>2330</v>
      </c>
      <c r="B35" s="1014" t="s">
        <v>884</v>
      </c>
      <c r="C35" s="1016"/>
      <c r="D35" s="1016"/>
      <c r="E35" s="1016"/>
      <c r="F35" s="1014" t="s">
        <v>1</v>
      </c>
      <c r="G35" s="1014" t="s">
        <v>2215</v>
      </c>
      <c r="H35" s="1015"/>
      <c r="I35" s="1015">
        <v>0.2</v>
      </c>
      <c r="J35" s="1015">
        <v>0</v>
      </c>
      <c r="K35" s="1015">
        <v>0.2</v>
      </c>
      <c r="L35" s="153" t="str">
        <f t="shared" si="0"/>
        <v>512</v>
      </c>
      <c r="M35" s="154" t="str">
        <f t="shared" si="1"/>
        <v>DIR. GENERAL USAGES</v>
      </c>
      <c r="N35" s="155">
        <f>+IF(OR($Q35=Parametres!$G$2,$Q35=Parametres!$G$3),I35,C35)</f>
        <v>0.2</v>
      </c>
      <c r="O35" s="155">
        <f>+IF(OR($Q35=Parametres!$G$2,$Q35=Parametres!$G$3),J35,D35)</f>
        <v>0</v>
      </c>
      <c r="P35" s="155">
        <f>+IF(OR($Q35=Parametres!$G$2,$Q35=Parametres!$G$3),K35,E35)</f>
        <v>0.2</v>
      </c>
      <c r="Q35" s="154" t="str">
        <f t="shared" si="2"/>
        <v>1-Mémo</v>
      </c>
      <c r="R35" s="153" t="str">
        <f t="shared" si="3"/>
        <v>50</v>
      </c>
      <c r="S35" s="154">
        <f t="shared" si="4"/>
        <v>0</v>
      </c>
      <c r="T35" s="156" t="str">
        <f>+VLOOKUP($L35,Data_Validation!$A:$D,1,0)</f>
        <v>512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14" t="s">
        <v>2331</v>
      </c>
      <c r="B36" s="1014" t="s">
        <v>2332</v>
      </c>
      <c r="C36" s="1016"/>
      <c r="D36" s="1016"/>
      <c r="E36" s="1016"/>
      <c r="F36" s="1014" t="s">
        <v>1</v>
      </c>
      <c r="G36" s="1014" t="s">
        <v>2215</v>
      </c>
      <c r="H36" s="1015"/>
      <c r="I36" s="1015">
        <v>0.2</v>
      </c>
      <c r="J36" s="1015">
        <v>0</v>
      </c>
      <c r="K36" s="1015">
        <v>0.2</v>
      </c>
      <c r="L36" s="153" t="str">
        <f t="shared" si="0"/>
        <v>514</v>
      </c>
      <c r="M36" s="154" t="str">
        <f t="shared" si="1"/>
        <v>DIR. GENERAL SERVICE</v>
      </c>
      <c r="N36" s="155">
        <f>+IF(OR($Q36=Parametres!$G$2,$Q36=Parametres!$G$3),I36,C36)</f>
        <v>0.2</v>
      </c>
      <c r="O36" s="155">
        <f>+IF(OR($Q36=Parametres!$G$2,$Q36=Parametres!$G$3),J36,D36)</f>
        <v>0</v>
      </c>
      <c r="P36" s="155">
        <f>+IF(OR($Q36=Parametres!$G$2,$Q36=Parametres!$G$3),K36,E36)</f>
        <v>0.2</v>
      </c>
      <c r="Q36" s="154" t="str">
        <f t="shared" si="2"/>
        <v>1-Mémo</v>
      </c>
      <c r="R36" s="153" t="str">
        <f t="shared" si="3"/>
        <v>50</v>
      </c>
      <c r="S36" s="154">
        <f t="shared" si="4"/>
        <v>0</v>
      </c>
      <c r="T36" s="156" t="str">
        <f>+VLOOKUP($L36,Data_Validation!$A:$D,1,0)</f>
        <v>514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14" t="s">
        <v>2333</v>
      </c>
      <c r="B37" s="1014" t="s">
        <v>2334</v>
      </c>
      <c r="C37" s="1016"/>
      <c r="D37" s="1016"/>
      <c r="E37" s="1016"/>
      <c r="F37" s="1014" t="s">
        <v>1</v>
      </c>
      <c r="G37" s="1014" t="s">
        <v>2215</v>
      </c>
      <c r="H37" s="1015"/>
      <c r="I37" s="1015">
        <v>0.2</v>
      </c>
      <c r="J37" s="1015">
        <v>0</v>
      </c>
      <c r="K37" s="1015">
        <v>0.2</v>
      </c>
      <c r="L37" s="153" t="str">
        <f t="shared" si="0"/>
        <v>515</v>
      </c>
      <c r="M37" s="154" t="str">
        <f t="shared" si="1"/>
        <v>DIR. GENERAL CARROSS.</v>
      </c>
      <c r="N37" s="155">
        <f>+IF(OR($Q37=Parametres!$G$2,$Q37=Parametres!$G$3),I37,C37)</f>
        <v>0.2</v>
      </c>
      <c r="O37" s="155">
        <f>+IF(OR($Q37=Parametres!$G$2,$Q37=Parametres!$G$3),J37,D37)</f>
        <v>0</v>
      </c>
      <c r="P37" s="155">
        <f>+IF(OR($Q37=Parametres!$G$2,$Q37=Parametres!$G$3),K37,E37)</f>
        <v>0.2</v>
      </c>
      <c r="Q37" s="154" t="str">
        <f t="shared" si="2"/>
        <v>1-Mémo</v>
      </c>
      <c r="R37" s="153" t="str">
        <f t="shared" si="3"/>
        <v>50</v>
      </c>
      <c r="S37" s="154">
        <f t="shared" si="4"/>
        <v>0</v>
      </c>
      <c r="T37" s="156" t="str">
        <f>+VLOOKUP($L37,Data_Validation!$A:$D,1,0)</f>
        <v>515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14" t="s">
        <v>2335</v>
      </c>
      <c r="B38" s="1014" t="s">
        <v>2336</v>
      </c>
      <c r="C38" s="1016"/>
      <c r="D38" s="1016"/>
      <c r="E38" s="1016"/>
      <c r="F38" s="1014" t="s">
        <v>1</v>
      </c>
      <c r="G38" s="1014" t="s">
        <v>2215</v>
      </c>
      <c r="H38" s="1015"/>
      <c r="I38" s="1015">
        <v>0.2</v>
      </c>
      <c r="J38" s="1015">
        <v>0</v>
      </c>
      <c r="K38" s="1015">
        <v>0.2</v>
      </c>
      <c r="L38" s="153" t="str">
        <f t="shared" si="0"/>
        <v>517</v>
      </c>
      <c r="M38" s="154" t="str">
        <f t="shared" si="1"/>
        <v>DIR. GENERAL PIECES</v>
      </c>
      <c r="N38" s="155">
        <f>+IF(OR($Q38=Parametres!$G$2,$Q38=Parametres!$G$3),I38,C38)</f>
        <v>0.2</v>
      </c>
      <c r="O38" s="155">
        <f>+IF(OR($Q38=Parametres!$G$2,$Q38=Parametres!$G$3),J38,D38)</f>
        <v>0</v>
      </c>
      <c r="P38" s="155">
        <f>+IF(OR($Q38=Parametres!$G$2,$Q38=Parametres!$G$3),K38,E38)</f>
        <v>0.2</v>
      </c>
      <c r="Q38" s="154" t="str">
        <f t="shared" si="2"/>
        <v>1-Mémo</v>
      </c>
      <c r="R38" s="153" t="str">
        <f t="shared" si="3"/>
        <v>50</v>
      </c>
      <c r="S38" s="154">
        <f t="shared" si="4"/>
        <v>0</v>
      </c>
      <c r="T38" s="156" t="str">
        <f>+VLOOKUP($L38,Data_Validation!$A:$D,1,0)</f>
        <v>517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4" t="s">
        <v>2337</v>
      </c>
      <c r="B39" s="1014" t="s">
        <v>2338</v>
      </c>
      <c r="C39" s="1016"/>
      <c r="D39" s="1016"/>
      <c r="E39" s="1016"/>
      <c r="F39" s="1014" t="s">
        <v>1</v>
      </c>
      <c r="G39" s="1014" t="s">
        <v>2215</v>
      </c>
      <c r="H39" s="1015"/>
      <c r="I39" s="1015">
        <v>2</v>
      </c>
      <c r="J39" s="1015">
        <v>0</v>
      </c>
      <c r="K39" s="1015">
        <v>2</v>
      </c>
      <c r="L39" s="153" t="str">
        <f t="shared" si="0"/>
        <v>521</v>
      </c>
      <c r="M39" s="154" t="str">
        <f t="shared" si="1"/>
        <v>DIR. SERVICE NEUFS</v>
      </c>
      <c r="N39" s="155">
        <f>+IF(OR($Q39=Parametres!$G$2,$Q39=Parametres!$G$3),I39,C39)</f>
        <v>2</v>
      </c>
      <c r="O39" s="575">
        <f>+IF(OR($Q39=Parametres!$G$2,$Q39=Parametres!$G$3),J39,D39)</f>
        <v>0</v>
      </c>
      <c r="P39" s="155">
        <f>+IF(OR($Q39=Parametres!$G$2,$Q39=Parametres!$G$3),K39,E39)</f>
        <v>2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521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4" t="s">
        <v>2339</v>
      </c>
      <c r="B40" s="1014" t="s">
        <v>2340</v>
      </c>
      <c r="C40" s="1016"/>
      <c r="D40" s="1016"/>
      <c r="E40" s="1016"/>
      <c r="F40" s="1014" t="s">
        <v>1</v>
      </c>
      <c r="G40" s="1014" t="s">
        <v>2215</v>
      </c>
      <c r="H40" s="1015"/>
      <c r="I40" s="1015">
        <v>1</v>
      </c>
      <c r="J40" s="1015">
        <v>0</v>
      </c>
      <c r="K40" s="1015">
        <v>1</v>
      </c>
      <c r="L40" s="153" t="str">
        <f t="shared" si="0"/>
        <v>522</v>
      </c>
      <c r="M40" s="154" t="str">
        <f t="shared" si="1"/>
        <v>DIR. SERVICE USAGES</v>
      </c>
      <c r="N40" s="155">
        <f>+IF(OR($Q40=Parametres!$G$2,$Q40=Parametres!$G$3),I40,C40)</f>
        <v>1</v>
      </c>
      <c r="O40" s="155">
        <f>+IF(OR($Q40=Parametres!$G$2,$Q40=Parametres!$G$3),J40,D40)</f>
        <v>0</v>
      </c>
      <c r="P40" s="155">
        <f>+IF(OR($Q40=Parametres!$G$2,$Q40=Parametres!$G$3),K40,E40)</f>
        <v>1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522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4" t="s">
        <v>2341</v>
      </c>
      <c r="B41" s="1014" t="s">
        <v>2342</v>
      </c>
      <c r="C41" s="1016"/>
      <c r="D41" s="1016"/>
      <c r="E41" s="1016"/>
      <c r="F41" s="1014" t="s">
        <v>1</v>
      </c>
      <c r="G41" s="1014" t="s">
        <v>2215</v>
      </c>
      <c r="H41" s="1015"/>
      <c r="I41" s="1015">
        <v>2</v>
      </c>
      <c r="J41" s="1015">
        <v>0</v>
      </c>
      <c r="K41" s="1015">
        <v>2</v>
      </c>
      <c r="L41" s="153" t="str">
        <f t="shared" si="0"/>
        <v>524</v>
      </c>
      <c r="M41" s="154" t="str">
        <f t="shared" si="1"/>
        <v>DIR. SERVICE SERVICE</v>
      </c>
      <c r="N41" s="155">
        <f>+IF(OR($Q41=Parametres!$G$2,$Q41=Parametres!$G$3),I41,C41)</f>
        <v>2</v>
      </c>
      <c r="O41" s="575">
        <f>+IF(OR($Q41=Parametres!$G$2,$Q41=Parametres!$G$3),J41,D41)</f>
        <v>0</v>
      </c>
      <c r="P41" s="155">
        <f>+IF(OR($Q41=Parametres!$G$2,$Q41=Parametres!$G$3),K41,E41)</f>
        <v>2</v>
      </c>
      <c r="Q41" s="154" t="str">
        <f t="shared" si="2"/>
        <v>1-Mémo</v>
      </c>
      <c r="R41" s="153" t="str">
        <f t="shared" si="3"/>
        <v>50</v>
      </c>
      <c r="S41" s="154">
        <f t="shared" si="4"/>
        <v>0</v>
      </c>
      <c r="T41" s="156" t="str">
        <f>+VLOOKUP($L41,Data_Validation!$A:$D,1,0)</f>
        <v>524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4" t="s">
        <v>2343</v>
      </c>
      <c r="B42" s="1014" t="s">
        <v>2344</v>
      </c>
      <c r="C42" s="1016"/>
      <c r="D42" s="1016"/>
      <c r="E42" s="1016"/>
      <c r="F42" s="1014" t="s">
        <v>1</v>
      </c>
      <c r="G42" s="1014" t="s">
        <v>2215</v>
      </c>
      <c r="H42" s="1015"/>
      <c r="I42" s="1015">
        <v>1</v>
      </c>
      <c r="J42" s="1015">
        <v>0</v>
      </c>
      <c r="K42" s="1015">
        <v>1</v>
      </c>
      <c r="L42" s="153" t="str">
        <f t="shared" si="0"/>
        <v>527</v>
      </c>
      <c r="M42" s="154" t="str">
        <f t="shared" si="1"/>
        <v>DIR. SERVICE PIECES</v>
      </c>
      <c r="N42" s="155">
        <f>+IF(OR($Q42=Parametres!$G$2,$Q42=Parametres!$G$3),I42,C42)</f>
        <v>1</v>
      </c>
      <c r="O42" s="155">
        <f>+IF(OR($Q42=Parametres!$G$2,$Q42=Parametres!$G$3),J42,D42)</f>
        <v>0</v>
      </c>
      <c r="P42" s="155">
        <f>+IF(OR($Q42=Parametres!$G$2,$Q42=Parametres!$G$3),K42,E42)</f>
        <v>1</v>
      </c>
      <c r="Q42" s="154" t="str">
        <f t="shared" si="2"/>
        <v>1-Mémo</v>
      </c>
      <c r="R42" s="153" t="str">
        <f t="shared" si="3"/>
        <v>50</v>
      </c>
      <c r="S42" s="154">
        <f t="shared" si="4"/>
        <v>0</v>
      </c>
      <c r="T42" s="156" t="str">
        <f>+VLOOKUP($L42,Data_Validation!$A:$D,1,0)</f>
        <v>527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4" t="s">
        <v>2345</v>
      </c>
      <c r="B43" s="1014" t="s">
        <v>2346</v>
      </c>
      <c r="C43" s="1016"/>
      <c r="D43" s="1016"/>
      <c r="E43" s="1016"/>
      <c r="F43" s="1014" t="s">
        <v>1</v>
      </c>
      <c r="G43" s="1014" t="s">
        <v>2347</v>
      </c>
      <c r="H43" s="1015"/>
      <c r="I43" s="1015">
        <v>4</v>
      </c>
      <c r="J43" s="1015">
        <v>0</v>
      </c>
      <c r="K43" s="1015">
        <v>4</v>
      </c>
      <c r="L43" s="153" t="str">
        <f t="shared" si="0"/>
        <v>541</v>
      </c>
      <c r="M43" s="154" t="str">
        <f t="shared" si="1"/>
        <v>VW REP. DES VENTES - NEUF</v>
      </c>
      <c r="N43" s="155">
        <f>+IF(OR($Q43=Parametres!$G$2,$Q43=Parametres!$G$3),I43,C43)</f>
        <v>4</v>
      </c>
      <c r="O43" s="155">
        <f>+IF(OR($Q43=Parametres!$G$2,$Q43=Parametres!$G$3),J43,D43)</f>
        <v>0</v>
      </c>
      <c r="P43" s="155">
        <f>+IF(OR($Q43=Parametres!$G$2,$Q43=Parametres!$G$3),K43,E43)</f>
        <v>4</v>
      </c>
      <c r="Q43" s="154" t="str">
        <f t="shared" si="2"/>
        <v>1-Mémo</v>
      </c>
      <c r="R43" s="153" t="str">
        <f t="shared" si="3"/>
        <v>54</v>
      </c>
      <c r="S43" s="154">
        <f t="shared" si="4"/>
        <v>0</v>
      </c>
      <c r="T43" s="156" t="str">
        <f>+VLOOKUP($L43,Data_Validation!$A:$D,1,0)</f>
        <v>541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4" t="s">
        <v>2348</v>
      </c>
      <c r="B44" s="1014" t="s">
        <v>2349</v>
      </c>
      <c r="C44" s="1016"/>
      <c r="D44" s="1016"/>
      <c r="E44" s="1016"/>
      <c r="F44" s="1014" t="s">
        <v>1</v>
      </c>
      <c r="G44" s="1014" t="s">
        <v>2215</v>
      </c>
      <c r="H44" s="1015"/>
      <c r="I44" s="1015">
        <v>1</v>
      </c>
      <c r="J44" s="1015">
        <v>0</v>
      </c>
      <c r="K44" s="1015">
        <v>1</v>
      </c>
      <c r="L44" s="153" t="str">
        <f t="shared" si="0"/>
        <v>542</v>
      </c>
      <c r="M44" s="154" t="str">
        <f t="shared" si="1"/>
        <v>VW REP. DES VENTES - OCC.</v>
      </c>
      <c r="N44" s="155">
        <f>+IF(OR($Q44=Parametres!$G$2,$Q44=Parametres!$G$3),I44,C44)</f>
        <v>1</v>
      </c>
      <c r="O44" s="155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542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4" t="s">
        <v>2350</v>
      </c>
      <c r="B45" s="1014" t="s">
        <v>2351</v>
      </c>
      <c r="C45" s="1016"/>
      <c r="D45" s="1016"/>
      <c r="E45" s="1016"/>
      <c r="F45" s="1014" t="s">
        <v>1</v>
      </c>
      <c r="G45" s="1014" t="s">
        <v>2215</v>
      </c>
      <c r="H45" s="1015"/>
      <c r="I45" s="1015">
        <v>3</v>
      </c>
      <c r="J45" s="1015">
        <v>0</v>
      </c>
      <c r="K45" s="1015">
        <v>3</v>
      </c>
      <c r="L45" s="153" t="str">
        <f t="shared" si="0"/>
        <v>551</v>
      </c>
      <c r="M45" s="154" t="str">
        <f t="shared" si="1"/>
        <v>DIR. COMMERCIAL NEUFS</v>
      </c>
      <c r="N45" s="155">
        <f>+IF(OR($Q45=Parametres!$G$2,$Q45=Parametres!$G$3),I45,C45)</f>
        <v>3</v>
      </c>
      <c r="O45" s="155">
        <f>+IF(OR($Q45=Parametres!$G$2,$Q45=Parametres!$G$3),J45,D45)</f>
        <v>0</v>
      </c>
      <c r="P45" s="155">
        <f>+IF(OR($Q45=Parametres!$G$2,$Q45=Parametres!$G$3),K45,E45)</f>
        <v>3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551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4" t="s">
        <v>2352</v>
      </c>
      <c r="B46" s="1014" t="s">
        <v>2353</v>
      </c>
      <c r="C46" s="1016"/>
      <c r="D46" s="1016"/>
      <c r="E46" s="1016"/>
      <c r="F46" s="1014" t="s">
        <v>1</v>
      </c>
      <c r="G46" s="1014" t="s">
        <v>2215</v>
      </c>
      <c r="H46" s="1015"/>
      <c r="I46" s="1015">
        <v>2</v>
      </c>
      <c r="J46" s="1015">
        <v>0</v>
      </c>
      <c r="K46" s="1015">
        <v>2</v>
      </c>
      <c r="L46" s="153" t="str">
        <f t="shared" si="0"/>
        <v>552</v>
      </c>
      <c r="M46" s="154" t="str">
        <f t="shared" si="1"/>
        <v>DIR. COMMERCIAL USAGES</v>
      </c>
      <c r="N46" s="155">
        <f>+IF(OR($Q46=Parametres!$G$2,$Q46=Parametres!$G$3),I46,C46)</f>
        <v>2</v>
      </c>
      <c r="O46" s="155">
        <f>+IF(OR($Q46=Parametres!$G$2,$Q46=Parametres!$G$3),J46,D46)</f>
        <v>0</v>
      </c>
      <c r="P46" s="155">
        <f>+IF(OR($Q46=Parametres!$G$2,$Q46=Parametres!$G$3),K46,E46)</f>
        <v>2</v>
      </c>
      <c r="Q46" s="154" t="str">
        <f t="shared" si="2"/>
        <v>1-Mémo</v>
      </c>
      <c r="R46" s="153" t="str">
        <f t="shared" si="3"/>
        <v>50</v>
      </c>
      <c r="S46" s="154">
        <f t="shared" si="4"/>
        <v>0</v>
      </c>
      <c r="T46" s="156" t="str">
        <f>+VLOOKUP($L46,Data_Validation!$A:$D,1,0)</f>
        <v>552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4" t="s">
        <v>2864</v>
      </c>
      <c r="B47" s="1014" t="s">
        <v>2865</v>
      </c>
      <c r="C47" s="1016"/>
      <c r="D47" s="1016"/>
      <c r="E47" s="1016"/>
      <c r="F47" s="1014" t="s">
        <v>1</v>
      </c>
      <c r="G47" s="1014" t="s">
        <v>2215</v>
      </c>
      <c r="H47" s="1015"/>
      <c r="I47" s="1015">
        <v>1</v>
      </c>
      <c r="J47" s="1015">
        <v>0</v>
      </c>
      <c r="K47" s="1015">
        <v>1</v>
      </c>
      <c r="L47" s="153" t="str">
        <f t="shared" si="0"/>
        <v>564</v>
      </c>
      <c r="M47" s="154" t="str">
        <f t="shared" si="1"/>
        <v>CONTREMAITRE SERVICE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564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4" t="s">
        <v>2354</v>
      </c>
      <c r="B48" s="1014" t="s">
        <v>2355</v>
      </c>
      <c r="C48" s="1016"/>
      <c r="D48" s="1016"/>
      <c r="E48" s="1016"/>
      <c r="F48" s="1014" t="s">
        <v>1</v>
      </c>
      <c r="G48" s="1014" t="s">
        <v>2356</v>
      </c>
      <c r="H48" s="1015"/>
      <c r="I48" s="1015">
        <v>4</v>
      </c>
      <c r="J48" s="1015">
        <v>0</v>
      </c>
      <c r="K48" s="1015">
        <v>4</v>
      </c>
      <c r="L48" s="153" t="str">
        <f t="shared" si="0"/>
        <v>614</v>
      </c>
      <c r="M48" s="154" t="str">
        <f t="shared" si="1"/>
        <v>VW CONSEILLERS SERVICE -SERVICE</v>
      </c>
      <c r="N48" s="155">
        <f>+IF(OR($Q48=Parametres!$G$2,$Q48=Parametres!$G$3),I48,C48)</f>
        <v>4</v>
      </c>
      <c r="O48" s="155">
        <f>+IF(OR($Q48=Parametres!$G$2,$Q48=Parametres!$G$3),J48,D48)</f>
        <v>0</v>
      </c>
      <c r="P48" s="155">
        <f>+IF(OR($Q48=Parametres!$G$2,$Q48=Parametres!$G$3),K48,E48)</f>
        <v>4</v>
      </c>
      <c r="Q48" s="154" t="str">
        <f t="shared" si="2"/>
        <v>1-Mémo</v>
      </c>
      <c r="R48" s="153" t="str">
        <f t="shared" si="3"/>
        <v>61</v>
      </c>
      <c r="S48" s="154">
        <f t="shared" si="4"/>
        <v>0</v>
      </c>
      <c r="T48" s="156" t="str">
        <f>+VLOOKUP($L48,Data_Validation!$A:$D,1,0)</f>
        <v>614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4" t="s">
        <v>2357</v>
      </c>
      <c r="B49" s="1014" t="s">
        <v>2358</v>
      </c>
      <c r="C49" s="1016"/>
      <c r="D49" s="1016"/>
      <c r="E49" s="1016"/>
      <c r="F49" s="1014" t="s">
        <v>1</v>
      </c>
      <c r="G49" s="1014" t="s">
        <v>2356</v>
      </c>
      <c r="H49" s="1015"/>
      <c r="I49" s="1015">
        <v>1</v>
      </c>
      <c r="J49" s="1015">
        <v>0</v>
      </c>
      <c r="K49" s="1015">
        <v>1</v>
      </c>
      <c r="L49" s="153" t="str">
        <f t="shared" si="0"/>
        <v>615</v>
      </c>
      <c r="M49" s="154" t="str">
        <f t="shared" si="1"/>
        <v>VW CONSEILLERS SERVICE - PIEC. &amp; CARR.&lt;</v>
      </c>
      <c r="N49" s="155">
        <f>+IF(OR($Q49=Parametres!$G$2,$Q49=Parametres!$G$3),I49,C49)</f>
        <v>1</v>
      </c>
      <c r="O49" s="575">
        <f>+IF(OR($Q49=Parametres!$G$2,$Q49=Parametres!$G$3),J49,D49)</f>
        <v>0</v>
      </c>
      <c r="P49" s="155">
        <f>+IF(OR($Q49=Parametres!$G$2,$Q49=Parametres!$G$3),K49,E49)</f>
        <v>1</v>
      </c>
      <c r="Q49" s="154" t="str">
        <f t="shared" si="2"/>
        <v>1-Mémo</v>
      </c>
      <c r="R49" s="153" t="str">
        <f t="shared" si="3"/>
        <v>61</v>
      </c>
      <c r="S49" s="154">
        <f t="shared" si="4"/>
        <v>0</v>
      </c>
      <c r="T49" s="156" t="str">
        <f>+VLOOKUP($L49,Data_Validation!$A:$D,1,0)</f>
        <v>615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4" t="s">
        <v>2359</v>
      </c>
      <c r="B50" s="1014" t="s">
        <v>2360</v>
      </c>
      <c r="C50" s="1016"/>
      <c r="D50" s="1016"/>
      <c r="E50" s="1016"/>
      <c r="F50" s="1014" t="s">
        <v>1</v>
      </c>
      <c r="G50" s="1014" t="s">
        <v>2215</v>
      </c>
      <c r="H50" s="1015"/>
      <c r="I50" s="1015">
        <v>1</v>
      </c>
      <c r="J50" s="1015">
        <v>0</v>
      </c>
      <c r="K50" s="1015">
        <v>1</v>
      </c>
      <c r="L50" s="153" t="str">
        <f t="shared" si="0"/>
        <v>621</v>
      </c>
      <c r="M50" s="154" t="str">
        <f t="shared" si="1"/>
        <v>LAVEURS NEUFS</v>
      </c>
      <c r="N50" s="155">
        <f>+IF(OR($Q50=Parametres!$G$2,$Q50=Parametres!$G$3),I50,C50)</f>
        <v>1</v>
      </c>
      <c r="O50" s="155">
        <f>+IF(OR($Q50=Parametres!$G$2,$Q50=Parametres!$G$3),J50,D50)</f>
        <v>0</v>
      </c>
      <c r="P50" s="155">
        <f>+IF(OR($Q50=Parametres!$G$2,$Q50=Parametres!$G$3),K50,E50)</f>
        <v>1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621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4" t="s">
        <v>2361</v>
      </c>
      <c r="B51" s="1014" t="s">
        <v>2362</v>
      </c>
      <c r="C51" s="1015"/>
      <c r="D51" s="1015"/>
      <c r="E51" s="1015"/>
      <c r="F51" s="1014" t="s">
        <v>1</v>
      </c>
      <c r="G51" s="1014" t="s">
        <v>2215</v>
      </c>
      <c r="H51" s="1015"/>
      <c r="I51" s="1016">
        <v>1</v>
      </c>
      <c r="J51" s="1016">
        <v>0</v>
      </c>
      <c r="K51" s="1016">
        <v>1</v>
      </c>
      <c r="L51" s="153" t="str">
        <f t="shared" si="0"/>
        <v>622</v>
      </c>
      <c r="M51" s="154" t="str">
        <f t="shared" si="1"/>
        <v>LAVEURS USAGES</v>
      </c>
      <c r="N51" s="155">
        <f>+IF(OR($Q51=Parametres!$G$2,$Q51=Parametres!$G$3),I51,C51)</f>
        <v>1</v>
      </c>
      <c r="O51" s="155">
        <f>+IF(OR($Q51=Parametres!$G$2,$Q51=Parametres!$G$3),J51,D51)</f>
        <v>0</v>
      </c>
      <c r="P51" s="155">
        <f>+IF(OR($Q51=Parametres!$G$2,$Q51=Parametres!$G$3),K51,E51)</f>
        <v>1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622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4" t="s">
        <v>2363</v>
      </c>
      <c r="B52" s="1014" t="s">
        <v>2364</v>
      </c>
      <c r="C52" s="1016"/>
      <c r="D52" s="1016"/>
      <c r="E52" s="1016"/>
      <c r="F52" s="1014" t="s">
        <v>1</v>
      </c>
      <c r="G52" s="1014" t="s">
        <v>2215</v>
      </c>
      <c r="H52" s="1015"/>
      <c r="I52" s="1015">
        <v>9</v>
      </c>
      <c r="J52" s="1015">
        <v>0</v>
      </c>
      <c r="K52" s="1015">
        <v>9</v>
      </c>
      <c r="L52" s="153" t="str">
        <f t="shared" si="0"/>
        <v>624</v>
      </c>
      <c r="M52" s="154" t="str">
        <f t="shared" si="1"/>
        <v>LAVEURS SERVICE</v>
      </c>
      <c r="N52" s="155">
        <f>+IF(OR($Q52=Parametres!$G$2,$Q52=Parametres!$G$3),I52,C52)</f>
        <v>9</v>
      </c>
      <c r="O52" s="155">
        <f>+IF(OR($Q52=Parametres!$G$2,$Q52=Parametres!$G$3),J52,D52)</f>
        <v>0</v>
      </c>
      <c r="P52" s="155">
        <f>+IF(OR($Q52=Parametres!$G$2,$Q52=Parametres!$G$3),K52,E52)</f>
        <v>9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624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4" t="s">
        <v>2365</v>
      </c>
      <c r="B53" s="1014" t="s">
        <v>2366</v>
      </c>
      <c r="C53" s="1016"/>
      <c r="D53" s="1016"/>
      <c r="E53" s="1016"/>
      <c r="F53" s="1014" t="s">
        <v>1</v>
      </c>
      <c r="G53" s="1014" t="s">
        <v>2367</v>
      </c>
      <c r="H53" s="1015"/>
      <c r="I53" s="1015">
        <v>12</v>
      </c>
      <c r="J53" s="1015">
        <v>0</v>
      </c>
      <c r="K53" s="1015">
        <v>12</v>
      </c>
      <c r="L53" s="153" t="str">
        <f t="shared" si="0"/>
        <v>644</v>
      </c>
      <c r="M53" s="154" t="str">
        <f t="shared" si="1"/>
        <v>VW TECHNICIENS - SERVICE</v>
      </c>
      <c r="N53" s="155">
        <f>+IF(OR($Q53=Parametres!$G$2,$Q53=Parametres!$G$3),I53,C53)</f>
        <v>12</v>
      </c>
      <c r="O53" s="155">
        <f>+IF(OR($Q53=Parametres!$G$2,$Q53=Parametres!$G$3),J53,D53)</f>
        <v>0</v>
      </c>
      <c r="P53" s="155">
        <f>+IF(OR($Q53=Parametres!$G$2,$Q53=Parametres!$G$3),K53,E53)</f>
        <v>12</v>
      </c>
      <c r="Q53" s="154" t="str">
        <f t="shared" si="2"/>
        <v>1-Mémo</v>
      </c>
      <c r="R53" s="153" t="str">
        <f t="shared" si="3"/>
        <v>64</v>
      </c>
      <c r="S53" s="154">
        <f t="shared" si="4"/>
        <v>0</v>
      </c>
      <c r="T53" s="156" t="str">
        <f>+VLOOKUP($L53,Data_Validation!$A:$D,1,0)</f>
        <v>644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4" t="s">
        <v>2368</v>
      </c>
      <c r="B54" s="1014" t="s">
        <v>2369</v>
      </c>
      <c r="C54" s="1016"/>
      <c r="D54" s="1016"/>
      <c r="E54" s="1016"/>
      <c r="F54" s="1014" t="s">
        <v>1</v>
      </c>
      <c r="G54" s="1014" t="s">
        <v>2215</v>
      </c>
      <c r="H54" s="1015"/>
      <c r="I54" s="1015">
        <v>0.2</v>
      </c>
      <c r="J54" s="1015">
        <v>0</v>
      </c>
      <c r="K54" s="1015">
        <v>0.2</v>
      </c>
      <c r="L54" s="153" t="str">
        <f t="shared" si="0"/>
        <v>651</v>
      </c>
      <c r="M54" s="154" t="str">
        <f t="shared" si="1"/>
        <v>DIR. ADMINIS. NEUFS</v>
      </c>
      <c r="N54" s="155">
        <f>+IF(OR($Q54=Parametres!$G$2,$Q54=Parametres!$G$3),I54,C54)</f>
        <v>0.2</v>
      </c>
      <c r="O54" s="155">
        <f>+IF(OR($Q54=Parametres!$G$2,$Q54=Parametres!$G$3),J54,D54)</f>
        <v>0</v>
      </c>
      <c r="P54" s="155">
        <f>+IF(OR($Q54=Parametres!$G$2,$Q54=Parametres!$G$3),K54,E54)</f>
        <v>0.2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651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4" t="s">
        <v>2370</v>
      </c>
      <c r="B55" s="1014" t="s">
        <v>2371</v>
      </c>
      <c r="C55" s="1015"/>
      <c r="D55" s="1015"/>
      <c r="E55" s="1015"/>
      <c r="F55" s="1014" t="s">
        <v>1</v>
      </c>
      <c r="G55" s="1014" t="s">
        <v>2215</v>
      </c>
      <c r="H55" s="1015"/>
      <c r="I55" s="1016">
        <v>0.2</v>
      </c>
      <c r="J55" s="1016">
        <v>0</v>
      </c>
      <c r="K55" s="1016">
        <v>0.2</v>
      </c>
      <c r="L55" s="153" t="str">
        <f t="shared" si="0"/>
        <v>652</v>
      </c>
      <c r="M55" s="154" t="str">
        <f t="shared" si="1"/>
        <v>DIR. ADMINIS. USAGES</v>
      </c>
      <c r="N55" s="155">
        <f>+IF(OR($Q55=Parametres!$G$2,$Q55=Parametres!$G$3),I55,C55)</f>
        <v>0.2</v>
      </c>
      <c r="O55" s="155">
        <f>+IF(OR($Q55=Parametres!$G$2,$Q55=Parametres!$G$3),J55,D55)</f>
        <v>0</v>
      </c>
      <c r="P55" s="155">
        <f>+IF(OR($Q55=Parametres!$G$2,$Q55=Parametres!$G$3),K55,E55)</f>
        <v>0.2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652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4" t="s">
        <v>2372</v>
      </c>
      <c r="B56" s="1014" t="s">
        <v>2373</v>
      </c>
      <c r="C56" s="1016"/>
      <c r="D56" s="1016"/>
      <c r="E56" s="1016"/>
      <c r="F56" s="1014" t="s">
        <v>1</v>
      </c>
      <c r="G56" s="1014" t="s">
        <v>2215</v>
      </c>
      <c r="H56" s="1015"/>
      <c r="I56" s="1015">
        <v>0.2</v>
      </c>
      <c r="J56" s="1015">
        <v>0</v>
      </c>
      <c r="K56" s="1015">
        <v>0.2</v>
      </c>
      <c r="L56" s="153" t="str">
        <f t="shared" si="0"/>
        <v>654</v>
      </c>
      <c r="M56" s="154" t="str">
        <f t="shared" si="1"/>
        <v>DIR. ADMINIS. SERVICE</v>
      </c>
      <c r="N56" s="155">
        <f>+IF(OR($Q56=Parametres!$G$2,$Q56=Parametres!$G$3),I56,C56)</f>
        <v>0.2</v>
      </c>
      <c r="O56" s="155">
        <f>+IF(OR($Q56=Parametres!$G$2,$Q56=Parametres!$G$3),J56,D56)</f>
        <v>0</v>
      </c>
      <c r="P56" s="155">
        <f>+IF(OR($Q56=Parametres!$G$2,$Q56=Parametres!$G$3),K56,E56)</f>
        <v>0.2</v>
      </c>
      <c r="Q56" s="154" t="str">
        <f t="shared" si="2"/>
        <v>1-Mémo</v>
      </c>
      <c r="R56" s="153" t="str">
        <f t="shared" si="3"/>
        <v>50</v>
      </c>
      <c r="S56" s="154">
        <f t="shared" si="4"/>
        <v>0</v>
      </c>
      <c r="T56" s="156" t="str">
        <f>+VLOOKUP($L56,Data_Validation!$A:$D,1,0)</f>
        <v>654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4" t="s">
        <v>2374</v>
      </c>
      <c r="B57" s="1014" t="s">
        <v>2375</v>
      </c>
      <c r="C57" s="1016"/>
      <c r="D57" s="1016"/>
      <c r="E57" s="1016"/>
      <c r="F57" s="1014" t="s">
        <v>1</v>
      </c>
      <c r="G57" s="1014" t="s">
        <v>2215</v>
      </c>
      <c r="H57" s="970"/>
      <c r="I57" s="970">
        <v>0.2</v>
      </c>
      <c r="J57" s="970">
        <v>0</v>
      </c>
      <c r="K57" s="970">
        <v>0.2</v>
      </c>
      <c r="L57" s="153" t="str">
        <f t="shared" si="0"/>
        <v>655</v>
      </c>
      <c r="M57" s="154" t="str">
        <f t="shared" si="1"/>
        <v>DIR. ADMINIS. CARROSS.</v>
      </c>
      <c r="N57" s="155">
        <f>+IF(OR($Q57=Parametres!$G$2,$Q57=Parametres!$G$3),I57,C57)</f>
        <v>0.2</v>
      </c>
      <c r="O57" s="155">
        <f>+IF(OR($Q57=Parametres!$G$2,$Q57=Parametres!$G$3),J57,D57)</f>
        <v>0</v>
      </c>
      <c r="P57" s="155">
        <f>+IF(OR($Q57=Parametres!$G$2,$Q57=Parametres!$G$3),K57,E57)</f>
        <v>0.2</v>
      </c>
      <c r="Q57" s="154" t="str">
        <f t="shared" si="2"/>
        <v>1-Mémo</v>
      </c>
      <c r="R57" s="153" t="str">
        <f t="shared" si="3"/>
        <v>50</v>
      </c>
      <c r="S57" s="154">
        <f t="shared" si="4"/>
        <v>0</v>
      </c>
      <c r="T57" s="156" t="str">
        <f>+VLOOKUP($L57,Data_Validation!$A:$D,1,0)</f>
        <v>655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4" t="s">
        <v>2376</v>
      </c>
      <c r="B58" s="1014" t="s">
        <v>2377</v>
      </c>
      <c r="C58" s="1016"/>
      <c r="D58" s="1016"/>
      <c r="E58" s="1016"/>
      <c r="F58" s="1014" t="s">
        <v>1</v>
      </c>
      <c r="G58" s="1014" t="s">
        <v>2215</v>
      </c>
      <c r="H58" s="970"/>
      <c r="I58" s="970">
        <v>0.2</v>
      </c>
      <c r="J58" s="970">
        <v>0</v>
      </c>
      <c r="K58" s="970">
        <v>0.2</v>
      </c>
      <c r="L58" s="153" t="str">
        <f t="shared" si="0"/>
        <v>657</v>
      </c>
      <c r="M58" s="154" t="str">
        <f t="shared" si="1"/>
        <v>DIR. ADMINIS. PIECES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2"/>
        <v>1-Mémo</v>
      </c>
      <c r="R58" s="153" t="str">
        <f t="shared" si="3"/>
        <v>50</v>
      </c>
      <c r="S58" s="154">
        <f t="shared" si="4"/>
        <v>0</v>
      </c>
      <c r="T58" s="156" t="str">
        <f>+VLOOKUP($L58,Data_Validation!$A:$D,1,0)</f>
        <v>657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4" t="s">
        <v>2378</v>
      </c>
      <c r="B59" s="1014" t="s">
        <v>2379</v>
      </c>
      <c r="C59" s="1016"/>
      <c r="D59" s="1016"/>
      <c r="E59" s="1016"/>
      <c r="F59" s="1014" t="s">
        <v>1</v>
      </c>
      <c r="G59" s="1014" t="s">
        <v>2215</v>
      </c>
      <c r="H59" s="970"/>
      <c r="I59" s="970">
        <v>1</v>
      </c>
      <c r="J59" s="970">
        <v>0</v>
      </c>
      <c r="K59" s="970">
        <v>1</v>
      </c>
      <c r="L59" s="153" t="str">
        <f t="shared" si="0"/>
        <v>661</v>
      </c>
      <c r="M59" s="154" t="str">
        <f t="shared" si="1"/>
        <v>PERSONELS CLER. NEUFS</v>
      </c>
      <c r="N59" s="155">
        <f>+IF(OR($Q59=Parametres!$G$2,$Q59=Parametres!$G$3),I59,C59)</f>
        <v>1</v>
      </c>
      <c r="O59" s="575">
        <f>+IF(OR($Q59=Parametres!$G$2,$Q59=Parametres!$G$3),J59,D59)</f>
        <v>0</v>
      </c>
      <c r="P59" s="155">
        <f>+IF(OR($Q59=Parametres!$G$2,$Q59=Parametres!$G$3),K59,E59)</f>
        <v>1</v>
      </c>
      <c r="Q59" s="154" t="str">
        <f t="shared" si="2"/>
        <v>1-Mémo</v>
      </c>
      <c r="R59" s="153" t="str">
        <f t="shared" si="3"/>
        <v>50</v>
      </c>
      <c r="S59" s="154">
        <f t="shared" si="4"/>
        <v>0</v>
      </c>
      <c r="T59" s="156" t="str">
        <f>+VLOOKUP($L59,Data_Validation!$A:$D,1,0)</f>
        <v>661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4" t="s">
        <v>2380</v>
      </c>
      <c r="B60" s="1014" t="s">
        <v>2381</v>
      </c>
      <c r="C60" s="1016"/>
      <c r="D60" s="1016"/>
      <c r="E60" s="1016"/>
      <c r="F60" s="1014" t="s">
        <v>1</v>
      </c>
      <c r="G60" s="1014" t="s">
        <v>2215</v>
      </c>
      <c r="H60" s="970"/>
      <c r="I60" s="970">
        <v>1</v>
      </c>
      <c r="J60" s="970">
        <v>0</v>
      </c>
      <c r="K60" s="970">
        <v>1</v>
      </c>
      <c r="L60" s="153" t="str">
        <f t="shared" si="0"/>
        <v>662</v>
      </c>
      <c r="M60" s="154" t="str">
        <f t="shared" si="1"/>
        <v>PERSONELS CLER. USAGES</v>
      </c>
      <c r="N60" s="155">
        <f>+IF(OR($Q60=Parametres!$G$2,$Q60=Parametres!$G$3),I60,C60)</f>
        <v>1</v>
      </c>
      <c r="O60" s="155">
        <f>+IF(OR($Q60=Parametres!$G$2,$Q60=Parametres!$G$3),J60,D60)</f>
        <v>0</v>
      </c>
      <c r="P60" s="155">
        <f>+IF(OR($Q60=Parametres!$G$2,$Q60=Parametres!$G$3),K60,E60)</f>
        <v>1</v>
      </c>
      <c r="Q60" s="154" t="str">
        <f t="shared" si="2"/>
        <v>1-Mémo</v>
      </c>
      <c r="R60" s="153" t="str">
        <f t="shared" si="3"/>
        <v>50</v>
      </c>
      <c r="S60" s="154">
        <f t="shared" si="4"/>
        <v>0</v>
      </c>
      <c r="T60" s="156" t="str">
        <f>+VLOOKUP($L60,Data_Validation!$A:$D,1,0)</f>
        <v>662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4" t="s">
        <v>2382</v>
      </c>
      <c r="B61" s="1014" t="s">
        <v>2383</v>
      </c>
      <c r="C61" s="1016"/>
      <c r="D61" s="1016"/>
      <c r="E61" s="1016"/>
      <c r="F61" s="1014" t="s">
        <v>1</v>
      </c>
      <c r="G61" s="1014" t="s">
        <v>2215</v>
      </c>
      <c r="H61" s="970"/>
      <c r="I61" s="970">
        <v>1</v>
      </c>
      <c r="J61" s="970">
        <v>0</v>
      </c>
      <c r="K61" s="970">
        <v>1</v>
      </c>
      <c r="L61" s="153" t="str">
        <f t="shared" si="0"/>
        <v>664</v>
      </c>
      <c r="M61" s="154" t="str">
        <f t="shared" si="1"/>
        <v>PERSONELS CLER. SERVICE</v>
      </c>
      <c r="N61" s="155">
        <f>+IF(OR($Q61=Parametres!$G$2,$Q61=Parametres!$G$3),I61,C61)</f>
        <v>1</v>
      </c>
      <c r="O61" s="155">
        <f>+IF(OR($Q61=Parametres!$G$2,$Q61=Parametres!$G$3),J61,D61)</f>
        <v>0</v>
      </c>
      <c r="P61" s="155">
        <f>+IF(OR($Q61=Parametres!$G$2,$Q61=Parametres!$G$3),K61,E61)</f>
        <v>1</v>
      </c>
      <c r="Q61" s="154" t="str">
        <f t="shared" si="2"/>
        <v>1-Mémo</v>
      </c>
      <c r="R61" s="153" t="str">
        <f t="shared" si="3"/>
        <v>50</v>
      </c>
      <c r="S61" s="154">
        <f t="shared" si="4"/>
        <v>0</v>
      </c>
      <c r="T61" s="156" t="str">
        <f>+VLOOKUP($L61,Data_Validation!$A:$D,1,0)</f>
        <v>664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4" t="s">
        <v>2384</v>
      </c>
      <c r="B62" s="1014" t="s">
        <v>2385</v>
      </c>
      <c r="C62" s="1016"/>
      <c r="D62" s="1016"/>
      <c r="E62" s="1016"/>
      <c r="F62" s="1014" t="s">
        <v>1</v>
      </c>
      <c r="G62" s="1014" t="s">
        <v>2215</v>
      </c>
      <c r="H62" s="970"/>
      <c r="I62" s="970">
        <v>1</v>
      </c>
      <c r="J62" s="970">
        <v>0</v>
      </c>
      <c r="K62" s="970">
        <v>1</v>
      </c>
      <c r="L62" s="153" t="str">
        <f t="shared" si="0"/>
        <v>667</v>
      </c>
      <c r="M62" s="154" t="str">
        <f t="shared" si="1"/>
        <v>PERSONELS CLER. PIECES</v>
      </c>
      <c r="N62" s="155">
        <f>+IF(OR($Q62=Parametres!$G$2,$Q62=Parametres!$G$3),I62,C62)</f>
        <v>1</v>
      </c>
      <c r="O62" s="155">
        <f>+IF(OR($Q62=Parametres!$G$2,$Q62=Parametres!$G$3),J62,D62)</f>
        <v>0</v>
      </c>
      <c r="P62" s="155">
        <f>+IF(OR($Q62=Parametres!$G$2,$Q62=Parametres!$G$3),K62,E62)</f>
        <v>1</v>
      </c>
      <c r="Q62" s="154" t="str">
        <f t="shared" si="2"/>
        <v>1-Mémo</v>
      </c>
      <c r="R62" s="153" t="str">
        <f t="shared" si="3"/>
        <v>50</v>
      </c>
      <c r="S62" s="154">
        <f t="shared" si="4"/>
        <v>0</v>
      </c>
      <c r="T62" s="156" t="str">
        <f>+VLOOKUP($L62,Data_Validation!$A:$D,1,0)</f>
        <v>667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4" t="s">
        <v>2386</v>
      </c>
      <c r="B63" s="1014" t="s">
        <v>2387</v>
      </c>
      <c r="C63" s="1016"/>
      <c r="D63" s="1016"/>
      <c r="E63" s="1016"/>
      <c r="F63" s="1014" t="s">
        <v>1</v>
      </c>
      <c r="G63" s="1014" t="s">
        <v>2388</v>
      </c>
      <c r="H63" s="970"/>
      <c r="I63" s="970">
        <v>3</v>
      </c>
      <c r="J63" s="970">
        <v>0</v>
      </c>
      <c r="K63" s="970">
        <v>3</v>
      </c>
      <c r="L63" s="153" t="str">
        <f t="shared" si="0"/>
        <v>677</v>
      </c>
      <c r="M63" s="154" t="str">
        <f t="shared" si="1"/>
        <v>VW PIECES</v>
      </c>
      <c r="N63" s="155">
        <f>+IF(OR($Q63=Parametres!$G$2,$Q63=Parametres!$G$3),I63,C63)</f>
        <v>3</v>
      </c>
      <c r="O63" s="575">
        <f>+IF(OR($Q63=Parametres!$G$2,$Q63=Parametres!$G$3),J63,D63)</f>
        <v>0</v>
      </c>
      <c r="P63" s="155">
        <f>+IF(OR($Q63=Parametres!$G$2,$Q63=Parametres!$G$3),K63,E63)</f>
        <v>3</v>
      </c>
      <c r="Q63" s="154" t="str">
        <f t="shared" si="2"/>
        <v>1-Mémo</v>
      </c>
      <c r="R63" s="153" t="str">
        <f t="shared" si="3"/>
        <v>67</v>
      </c>
      <c r="S63" s="154">
        <f t="shared" si="4"/>
        <v>0</v>
      </c>
      <c r="T63" s="156" t="str">
        <f>+VLOOKUP($L63,Data_Validation!$A:$D,1,0)</f>
        <v>677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4" t="s">
        <v>2854</v>
      </c>
      <c r="B64" s="1014" t="s">
        <v>2393</v>
      </c>
      <c r="C64" s="1016">
        <v>2525466.33</v>
      </c>
      <c r="D64" s="1016">
        <v>-316660.2</v>
      </c>
      <c r="E64" s="1016">
        <v>2208806.13</v>
      </c>
      <c r="F64" s="1014" t="s">
        <v>293</v>
      </c>
      <c r="G64" s="1014" t="s">
        <v>2393</v>
      </c>
      <c r="H64" s="970"/>
      <c r="I64" s="970"/>
      <c r="J64" s="970"/>
      <c r="K64" s="970"/>
      <c r="L64" s="153" t="str">
        <f t="shared" si="0"/>
        <v>1102</v>
      </c>
      <c r="M64" s="154" t="str">
        <f t="shared" si="1"/>
        <v>BANQUE DE COMMERCE C/C</v>
      </c>
      <c r="N64" s="155">
        <f>+IF(OR($Q64=Parametres!$G$2,$Q64=Parametres!$G$3),I64,C64)</f>
        <v>2525466.33</v>
      </c>
      <c r="O64" s="155">
        <f>+IF(OR($Q64=Parametres!$G$2,$Q64=Parametres!$G$3),J64,D64)</f>
        <v>-316660.2</v>
      </c>
      <c r="P64" s="155">
        <f>+IF(OR($Q64=Parametres!$G$2,$Q64=Parametres!$G$3),K64,E64)</f>
        <v>2208806.13</v>
      </c>
      <c r="Q64" s="154" t="str">
        <f t="shared" si="2"/>
        <v>2-Actifs</v>
      </c>
      <c r="R64" s="153" t="str">
        <f t="shared" si="3"/>
        <v>1102</v>
      </c>
      <c r="S64" s="154">
        <f t="shared" si="4"/>
        <v>0</v>
      </c>
      <c r="T64" s="156" t="str">
        <f>+VLOOKUP($L64,Data_Validation!$A:$D,1,0)</f>
        <v>1102</v>
      </c>
      <c r="U64" s="156" t="str">
        <f>+VLOOKUP($L64,Data_Validation!$A:$D,3,0)</f>
        <v>Bilan</v>
      </c>
      <c r="V64" s="156" t="str">
        <f>+VLOOKUP($L64,Data_Validation!$A:$D,4,0)</f>
        <v>Encaisse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4" t="s">
        <v>2391</v>
      </c>
      <c r="B65" s="1014" t="s">
        <v>2392</v>
      </c>
      <c r="C65" s="1016">
        <v>150.19999999999999</v>
      </c>
      <c r="D65" s="1016">
        <v>-100</v>
      </c>
      <c r="E65" s="1016">
        <v>50.2</v>
      </c>
      <c r="F65" s="1014" t="s">
        <v>293</v>
      </c>
      <c r="G65" s="1014" t="s">
        <v>2393</v>
      </c>
      <c r="H65" s="150"/>
      <c r="I65" s="157"/>
      <c r="J65" s="157"/>
      <c r="K65" s="157"/>
      <c r="L65" s="153" t="str">
        <f t="shared" si="0"/>
        <v>1182</v>
      </c>
      <c r="M65" s="154" t="str">
        <f t="shared" si="1"/>
        <v>PETITE CAISSE</v>
      </c>
      <c r="N65" s="155">
        <f>+IF(OR($Q65=Parametres!$G$2,$Q65=Parametres!$G$3),I65,C65)</f>
        <v>150.19999999999999</v>
      </c>
      <c r="O65" s="575">
        <f>+IF(OR($Q65=Parametres!$G$2,$Q65=Parametres!$G$3),J65,D65)</f>
        <v>-100</v>
      </c>
      <c r="P65" s="155">
        <f>+IF(OR($Q65=Parametres!$G$2,$Q65=Parametres!$G$3),K65,E65)</f>
        <v>50.2</v>
      </c>
      <c r="Q65" s="154" t="str">
        <f t="shared" si="2"/>
        <v>2-Actifs</v>
      </c>
      <c r="R65" s="153" t="str">
        <f t="shared" si="3"/>
        <v>1102</v>
      </c>
      <c r="S65" s="154">
        <f t="shared" si="4"/>
        <v>0</v>
      </c>
      <c r="T65" s="156" t="str">
        <f>+VLOOKUP($L65,Data_Validation!$A:$D,1,0)</f>
        <v>1182</v>
      </c>
      <c r="U65" s="156" t="str">
        <f>+VLOOKUP($L65,Data_Validation!$A:$D,3,0)</f>
        <v>Bilan</v>
      </c>
      <c r="V65" s="156" t="str">
        <f>+VLOOKUP($L65,Data_Validation!$A:$D,4,0)</f>
        <v>Encaisse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4" t="s">
        <v>2183</v>
      </c>
      <c r="B66" s="1014" t="s">
        <v>2184</v>
      </c>
      <c r="C66" s="1016">
        <v>1823359.53</v>
      </c>
      <c r="D66" s="1016">
        <v>407016.56</v>
      </c>
      <c r="E66" s="1016">
        <v>2230376.09</v>
      </c>
      <c r="F66" s="1014" t="s">
        <v>293</v>
      </c>
      <c r="G66" s="1014" t="s">
        <v>2184</v>
      </c>
      <c r="H66" s="150"/>
      <c r="I66" s="151"/>
      <c r="J66" s="151"/>
      <c r="K66" s="151"/>
      <c r="L66" s="153" t="str">
        <f t="shared" ref="L66:L129" si="5">+B66</f>
        <v>1202</v>
      </c>
      <c r="M66" s="154" t="str">
        <f t="shared" ref="M66:M129" si="6">+A66</f>
        <v>CONTRATS EN TRANSIT</v>
      </c>
      <c r="N66" s="155">
        <f>+IF(OR($Q66=Parametres!$G$2,$Q66=Parametres!$G$3),I66,C66)</f>
        <v>1823359.53</v>
      </c>
      <c r="O66" s="155">
        <f>+IF(OR($Q66=Parametres!$G$2,$Q66=Parametres!$G$3),J66,D66)</f>
        <v>407016.56</v>
      </c>
      <c r="P66" s="155">
        <f>+IF(OR($Q66=Parametres!$G$2,$Q66=Parametres!$G$3),K66,E66)</f>
        <v>2230376.09</v>
      </c>
      <c r="Q66" s="154" t="str">
        <f t="shared" ref="Q66:Q129" si="7">+F66</f>
        <v>2-Actifs</v>
      </c>
      <c r="R66" s="153" t="str">
        <f t="shared" ref="R66:R129" si="8">+G66</f>
        <v>1202</v>
      </c>
      <c r="S66" s="154">
        <f t="shared" ref="S66:S129" si="9">+H66</f>
        <v>0</v>
      </c>
      <c r="T66" s="156" t="str">
        <f>+VLOOKUP($L66,Data_Validation!$A:$D,1,0)</f>
        <v>1202</v>
      </c>
      <c r="U66" s="156" t="str">
        <f>+VLOOKUP($L66,Data_Validation!$A:$D,3,0)</f>
        <v>Bilan</v>
      </c>
      <c r="V66" s="156" t="str">
        <f>+VLOOKUP($L66,Data_Validation!$A:$D,4,0)</f>
        <v>Recevables Contrats en Transit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4" t="s">
        <v>2027</v>
      </c>
      <c r="B67" s="1014" t="s">
        <v>2017</v>
      </c>
      <c r="C67" s="1016">
        <v>19471.490000000002</v>
      </c>
      <c r="D67" s="1016">
        <v>1300.01</v>
      </c>
      <c r="E67" s="1016">
        <v>20771.5</v>
      </c>
      <c r="F67" s="1014" t="s">
        <v>293</v>
      </c>
      <c r="G67" s="1014" t="s">
        <v>2017</v>
      </c>
      <c r="H67" s="150"/>
      <c r="I67" s="151"/>
      <c r="J67" s="151"/>
      <c r="K67" s="151"/>
      <c r="L67" s="153" t="str">
        <f t="shared" si="5"/>
        <v>1302</v>
      </c>
      <c r="M67" s="154" t="str">
        <f t="shared" si="6"/>
        <v>RECEVABLE-CLIENT-VEHICULE</v>
      </c>
      <c r="N67" s="155">
        <f>+IF(OR($Q67=Parametres!$G$2,$Q67=Parametres!$G$3),I67,C67)</f>
        <v>19471.490000000002</v>
      </c>
      <c r="O67" s="155">
        <f>+IF(OR($Q67=Parametres!$G$2,$Q67=Parametres!$G$3),J67,D67)</f>
        <v>1300.01</v>
      </c>
      <c r="P67" s="155">
        <f>+IF(OR($Q67=Parametres!$G$2,$Q67=Parametres!$G$3),K67,E67)</f>
        <v>20771.5</v>
      </c>
      <c r="Q67" s="154" t="str">
        <f t="shared" si="7"/>
        <v>2-Actifs</v>
      </c>
      <c r="R67" s="153" t="str">
        <f t="shared" si="8"/>
        <v>1302</v>
      </c>
      <c r="S67" s="154">
        <f t="shared" si="9"/>
        <v>0</v>
      </c>
      <c r="T67" s="156" t="str">
        <f>+VLOOKUP($L67,Data_Validation!$A:$D,1,0)</f>
        <v>1302</v>
      </c>
      <c r="U67" s="156" t="str">
        <f>+VLOOKUP($L67,Data_Validation!$A:$D,3,0)</f>
        <v>Bilan</v>
      </c>
      <c r="V67" s="156" t="str">
        <f>+VLOOKUP($L67,Data_Validation!$A:$D,4,0)</f>
        <v>Recevables Véhicules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4" t="s">
        <v>2015</v>
      </c>
      <c r="B68" s="1014" t="s">
        <v>2016</v>
      </c>
      <c r="C68" s="1016">
        <v>383976.36</v>
      </c>
      <c r="D68" s="1016">
        <v>-188018.44</v>
      </c>
      <c r="E68" s="1016">
        <v>195957.92</v>
      </c>
      <c r="F68" s="1014" t="s">
        <v>293</v>
      </c>
      <c r="G68" s="1014" t="s">
        <v>2017</v>
      </c>
      <c r="H68" s="949"/>
      <c r="I68" s="949"/>
      <c r="J68" s="949"/>
      <c r="K68" s="949"/>
      <c r="L68" s="153" t="str">
        <f t="shared" si="5"/>
        <v>1303</v>
      </c>
      <c r="M68" s="154" t="str">
        <f t="shared" si="6"/>
        <v>RECEVABLES LPA ET AU GROS</v>
      </c>
      <c r="N68" s="155">
        <f>+IF(OR($Q68=Parametres!$G$2,$Q68=Parametres!$G$3),I68,C68)</f>
        <v>383976.36</v>
      </c>
      <c r="O68" s="575">
        <f>+IF(OR($Q68=Parametres!$G$2,$Q68=Parametres!$G$3),J68,D68)</f>
        <v>-188018.44</v>
      </c>
      <c r="P68" s="155">
        <f>+IF(OR($Q68=Parametres!$G$2,$Q68=Parametres!$G$3),K68,E68)</f>
        <v>195957.92</v>
      </c>
      <c r="Q68" s="154" t="str">
        <f t="shared" si="7"/>
        <v>2-Actifs</v>
      </c>
      <c r="R68" s="153" t="str">
        <f t="shared" si="8"/>
        <v>1302</v>
      </c>
      <c r="S68" s="154">
        <f t="shared" si="9"/>
        <v>0</v>
      </c>
      <c r="T68" s="156" t="str">
        <f>+VLOOKUP($L68,Data_Validation!$A:$D,1,0)</f>
        <v>1303</v>
      </c>
      <c r="U68" s="156" t="str">
        <f>+VLOOKUP($L68,Data_Validation!$A:$D,3,0)</f>
        <v>Bilan</v>
      </c>
      <c r="V68" s="156" t="str">
        <f>+VLOOKUP($L68,Data_Validation!$A:$D,4,0)</f>
        <v>Recevables Véhicules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4" t="s">
        <v>2102</v>
      </c>
      <c r="B69" s="1014" t="s">
        <v>2103</v>
      </c>
      <c r="C69" s="1016">
        <v>38128.36</v>
      </c>
      <c r="D69" s="1016">
        <v>18592.14</v>
      </c>
      <c r="E69" s="1016">
        <v>56720.5</v>
      </c>
      <c r="F69" s="1014" t="s">
        <v>293</v>
      </c>
      <c r="G69" s="1014" t="s">
        <v>2103</v>
      </c>
      <c r="H69" s="150"/>
      <c r="I69" s="157"/>
      <c r="J69" s="157"/>
      <c r="K69" s="157"/>
      <c r="L69" s="153" t="str">
        <f t="shared" si="5"/>
        <v>1304</v>
      </c>
      <c r="M69" s="154" t="str">
        <f t="shared" si="6"/>
        <v>RECEVABLES PIECES &amp; SERVICE</v>
      </c>
      <c r="N69" s="155">
        <f>+IF(OR($Q69=Parametres!$G$2,$Q69=Parametres!$G$3),I69,C69)</f>
        <v>38128.36</v>
      </c>
      <c r="O69" s="155">
        <f>+IF(OR($Q69=Parametres!$G$2,$Q69=Parametres!$G$3),J69,D69)</f>
        <v>18592.14</v>
      </c>
      <c r="P69" s="155">
        <f>+IF(OR($Q69=Parametres!$G$2,$Q69=Parametres!$G$3),K69,E69)</f>
        <v>56720.5</v>
      </c>
      <c r="Q69" s="154" t="str">
        <f t="shared" si="7"/>
        <v>2-Actifs</v>
      </c>
      <c r="R69" s="153" t="str">
        <f t="shared" si="8"/>
        <v>1304</v>
      </c>
      <c r="S69" s="154">
        <f t="shared" si="9"/>
        <v>0</v>
      </c>
      <c r="T69" s="156" t="str">
        <f>+VLOOKUP($L69,Data_Validation!$A:$D,1,0)</f>
        <v>1304</v>
      </c>
      <c r="U69" s="156" t="str">
        <f>+VLOOKUP($L69,Data_Validation!$A:$D,3,0)</f>
        <v>Bilan</v>
      </c>
      <c r="V69" s="156" t="str">
        <f>+VLOOKUP($L69,Data_Validation!$A:$D,4,0)</f>
        <v>Recevables Pièces et Service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4" t="s">
        <v>2737</v>
      </c>
      <c r="B70" s="1014" t="s">
        <v>2738</v>
      </c>
      <c r="C70" s="1016">
        <v>28649.41</v>
      </c>
      <c r="D70" s="1016">
        <v>20839.05</v>
      </c>
      <c r="E70" s="1016">
        <v>49488.46</v>
      </c>
      <c r="F70" s="1014" t="s">
        <v>293</v>
      </c>
      <c r="G70" s="1014" t="s">
        <v>2103</v>
      </c>
      <c r="H70" s="150"/>
      <c r="I70" s="151"/>
      <c r="J70" s="151"/>
      <c r="K70" s="151"/>
      <c r="L70" s="153" t="str">
        <f t="shared" si="5"/>
        <v>1305</v>
      </c>
      <c r="M70" s="154" t="str">
        <f t="shared" si="6"/>
        <v>RECEVABLES CARROSSERIE</v>
      </c>
      <c r="N70" s="155">
        <f>+IF(OR($Q70=Parametres!$G$2,$Q70=Parametres!$G$3),I70,C70)</f>
        <v>28649.41</v>
      </c>
      <c r="O70" s="155">
        <f>+IF(OR($Q70=Parametres!$G$2,$Q70=Parametres!$G$3),J70,D70)</f>
        <v>20839.05</v>
      </c>
      <c r="P70" s="155">
        <f>+IF(OR($Q70=Parametres!$G$2,$Q70=Parametres!$G$3),K70,E70)</f>
        <v>49488.46</v>
      </c>
      <c r="Q70" s="154" t="str">
        <f t="shared" si="7"/>
        <v>2-Actifs</v>
      </c>
      <c r="R70" s="153" t="str">
        <f t="shared" si="8"/>
        <v>1304</v>
      </c>
      <c r="S70" s="154">
        <f t="shared" si="9"/>
        <v>0</v>
      </c>
      <c r="T70" s="156" t="str">
        <f>+VLOOKUP($L70,Data_Validation!$A:$D,1,0)</f>
        <v>1305</v>
      </c>
      <c r="U70" s="156" t="str">
        <f>+VLOOKUP($L70,Data_Validation!$A:$D,3,0)</f>
        <v>Bilan</v>
      </c>
      <c r="V70" s="156" t="str">
        <f>+VLOOKUP($L70,Data_Validation!$A:$D,4,0)</f>
        <v>Recevables Carrosserie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4" t="s">
        <v>2834</v>
      </c>
      <c r="B71" s="1014" t="s">
        <v>2835</v>
      </c>
      <c r="C71" s="1016">
        <v>101308</v>
      </c>
      <c r="D71" s="1016">
        <v>-51897</v>
      </c>
      <c r="E71" s="1016">
        <v>49411</v>
      </c>
      <c r="F71" s="1014" t="s">
        <v>293</v>
      </c>
      <c r="G71" s="1014" t="s">
        <v>2022</v>
      </c>
      <c r="H71" s="150"/>
      <c r="I71" s="157"/>
      <c r="J71" s="157"/>
      <c r="K71" s="157"/>
      <c r="L71" s="153" t="str">
        <f t="shared" si="5"/>
        <v>1312</v>
      </c>
      <c r="M71" s="154" t="str">
        <f t="shared" si="6"/>
        <v>RESEVE VOLKS</v>
      </c>
      <c r="N71" s="155">
        <f>+IF(OR($Q71=Parametres!$G$2,$Q71=Parametres!$G$3),I71,C71)</f>
        <v>101308</v>
      </c>
      <c r="O71" s="155">
        <f>+IF(OR($Q71=Parametres!$G$2,$Q71=Parametres!$G$3),J71,D71)</f>
        <v>-51897</v>
      </c>
      <c r="P71" s="155">
        <f>+IF(OR($Q71=Parametres!$G$2,$Q71=Parametres!$G$3),K71,E71)</f>
        <v>49411</v>
      </c>
      <c r="Q71" s="154" t="str">
        <f t="shared" si="7"/>
        <v>2-Actifs</v>
      </c>
      <c r="R71" s="153" t="str">
        <f t="shared" si="8"/>
        <v>1314</v>
      </c>
      <c r="S71" s="154">
        <f t="shared" si="9"/>
        <v>0</v>
      </c>
      <c r="T71" s="156" t="str">
        <f>+VLOOKUP($L71,Data_Validation!$A:$D,1,0)</f>
        <v>1312</v>
      </c>
      <c r="U71" s="156" t="str">
        <f>+VLOOKUP($L71,Data_Validation!$A:$D,3,0)</f>
        <v>Bilan</v>
      </c>
      <c r="V71" s="156" t="str">
        <f>+VLOOKUP($L71,Data_Validation!$A:$D,4,0)</f>
        <v>Recevables Manufacturier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4" t="s">
        <v>2060</v>
      </c>
      <c r="B72" s="1014" t="s">
        <v>2061</v>
      </c>
      <c r="C72" s="1016">
        <v>135386.41</v>
      </c>
      <c r="D72" s="1016">
        <v>-94050.75</v>
      </c>
      <c r="E72" s="1016">
        <v>41335.660000000003</v>
      </c>
      <c r="F72" s="1014" t="s">
        <v>293</v>
      </c>
      <c r="G72" s="1014" t="s">
        <v>2061</v>
      </c>
      <c r="H72" s="150"/>
      <c r="I72" s="151"/>
      <c r="J72" s="151"/>
      <c r="K72" s="151"/>
      <c r="L72" s="153" t="str">
        <f t="shared" si="5"/>
        <v>1332</v>
      </c>
      <c r="M72" s="154" t="str">
        <f t="shared" si="6"/>
        <v>RECLAM. RECEVABLE-GARANTIE</v>
      </c>
      <c r="N72" s="155">
        <f>+IF(OR($Q72=Parametres!$G$2,$Q72=Parametres!$G$3),I72,C72)</f>
        <v>135386.41</v>
      </c>
      <c r="O72" s="155">
        <f>+IF(OR($Q72=Parametres!$G$2,$Q72=Parametres!$G$3),J72,D72)</f>
        <v>-94050.75</v>
      </c>
      <c r="P72" s="155">
        <f>+IF(OR($Q72=Parametres!$G$2,$Q72=Parametres!$G$3),K72,E72)</f>
        <v>41335.660000000003</v>
      </c>
      <c r="Q72" s="154" t="str">
        <f t="shared" si="7"/>
        <v>2-Actifs</v>
      </c>
      <c r="R72" s="153" t="str">
        <f t="shared" si="8"/>
        <v>1332</v>
      </c>
      <c r="S72" s="154">
        <f t="shared" si="9"/>
        <v>0</v>
      </c>
      <c r="T72" s="156" t="str">
        <f>+VLOOKUP($L72,Data_Validation!$A:$D,1,0)</f>
        <v>1332</v>
      </c>
      <c r="U72" s="156" t="str">
        <f>+VLOOKUP($L72,Data_Validation!$A:$D,3,0)</f>
        <v>Bilan</v>
      </c>
      <c r="V72" s="156" t="str">
        <f>+VLOOKUP($L72,Data_Validation!$A:$D,4,0)</f>
        <v>Recevables Garantie Manufacturier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4" t="s">
        <v>2783</v>
      </c>
      <c r="B73" s="1014" t="s">
        <v>2784</v>
      </c>
      <c r="C73" s="1016">
        <v>4402.72</v>
      </c>
      <c r="D73" s="1016">
        <v>-4332.91</v>
      </c>
      <c r="E73" s="1016">
        <v>69.81</v>
      </c>
      <c r="F73" s="1014" t="s">
        <v>293</v>
      </c>
      <c r="G73" s="1014" t="s">
        <v>2623</v>
      </c>
      <c r="H73" s="150"/>
      <c r="I73" s="152"/>
      <c r="J73" s="152"/>
      <c r="K73" s="152"/>
      <c r="L73" s="153" t="str">
        <f t="shared" si="5"/>
        <v>1340</v>
      </c>
      <c r="M73" s="154" t="str">
        <f t="shared" si="6"/>
        <v>GARANTIE PPM</v>
      </c>
      <c r="N73" s="155">
        <f>+IF(OR($Q73=Parametres!$G$2,$Q73=Parametres!$G$3),I73,C73)</f>
        <v>4402.72</v>
      </c>
      <c r="O73" s="155">
        <f>+IF(OR($Q73=Parametres!$G$2,$Q73=Parametres!$G$3),J73,D73)</f>
        <v>-4332.91</v>
      </c>
      <c r="P73" s="155">
        <f>+IF(OR($Q73=Parametres!$G$2,$Q73=Parametres!$G$3),K73,E73)</f>
        <v>69.81</v>
      </c>
      <c r="Q73" s="154" t="str">
        <f t="shared" si="7"/>
        <v>2-Actifs</v>
      </c>
      <c r="R73" s="153" t="str">
        <f t="shared" si="8"/>
        <v>1382</v>
      </c>
      <c r="S73" s="154">
        <f t="shared" si="9"/>
        <v>0</v>
      </c>
      <c r="T73" s="156" t="str">
        <f>+VLOOKUP($L73,Data_Validation!$A:$D,1,0)</f>
        <v>1340</v>
      </c>
      <c r="U73" s="156" t="str">
        <f>+VLOOKUP($L73,Data_Validation!$A:$D,3,0)</f>
        <v>Bilan</v>
      </c>
      <c r="V73" s="156" t="str">
        <f>+VLOOKUP($L73,Data_Validation!$A:$D,4,0)</f>
        <v>recevables Autres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4" t="s">
        <v>2020</v>
      </c>
      <c r="B74" s="1014" t="s">
        <v>2021</v>
      </c>
      <c r="C74" s="1016">
        <v>31105.98</v>
      </c>
      <c r="D74" s="1016">
        <v>181801.74</v>
      </c>
      <c r="E74" s="1016">
        <v>212907.72</v>
      </c>
      <c r="F74" s="1014" t="s">
        <v>293</v>
      </c>
      <c r="G74" s="1014" t="s">
        <v>2022</v>
      </c>
      <c r="H74" s="949"/>
      <c r="I74" s="948"/>
      <c r="J74" s="948"/>
      <c r="K74" s="948"/>
      <c r="L74" s="153" t="str">
        <f t="shared" si="5"/>
        <v>1352</v>
      </c>
      <c r="M74" s="154" t="str">
        <f t="shared" si="6"/>
        <v>RECEV. MANUFACTURIER VOLKS</v>
      </c>
      <c r="N74" s="155">
        <f>+IF(OR($Q74=Parametres!$G$2,$Q74=Parametres!$G$3),I74,C74)</f>
        <v>31105.98</v>
      </c>
      <c r="O74" s="575">
        <f>+IF(OR($Q74=Parametres!$G$2,$Q74=Parametres!$G$3),J74,D74)</f>
        <v>181801.74</v>
      </c>
      <c r="P74" s="155">
        <f>+IF(OR($Q74=Parametres!$G$2,$Q74=Parametres!$G$3),K74,E74)</f>
        <v>212907.72</v>
      </c>
      <c r="Q74" s="154" t="str">
        <f t="shared" si="7"/>
        <v>2-Actifs</v>
      </c>
      <c r="R74" s="153" t="str">
        <f t="shared" si="8"/>
        <v>1314</v>
      </c>
      <c r="S74" s="154">
        <f t="shared" si="9"/>
        <v>0</v>
      </c>
      <c r="T74" s="156" t="str">
        <f>+VLOOKUP($L74,Data_Validation!$A:$D,1,0)</f>
        <v>1352</v>
      </c>
      <c r="U74" s="156" t="str">
        <f>+VLOOKUP($L74,Data_Validation!$A:$D,3,0)</f>
        <v>Bilan</v>
      </c>
      <c r="V74" s="156" t="str">
        <f>+VLOOKUP($L74,Data_Validation!$A:$D,4,0)</f>
        <v>Recevables Manufacturier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4" t="s">
        <v>2822</v>
      </c>
      <c r="B75" s="1014" t="s">
        <v>2823</v>
      </c>
      <c r="C75" s="1016">
        <v>53960.13</v>
      </c>
      <c r="D75" s="1016">
        <v>59001.7</v>
      </c>
      <c r="E75" s="1016">
        <v>112961.83</v>
      </c>
      <c r="F75" s="1014" t="s">
        <v>293</v>
      </c>
      <c r="G75" s="1014" t="s">
        <v>2823</v>
      </c>
      <c r="H75" s="150"/>
      <c r="I75" s="157"/>
      <c r="J75" s="157"/>
      <c r="K75" s="157"/>
      <c r="L75" s="153" t="str">
        <f t="shared" si="5"/>
        <v>1372</v>
      </c>
      <c r="M75" s="154" t="str">
        <f t="shared" si="6"/>
        <v>TAXES DE VENTES A RECEVOIR</v>
      </c>
      <c r="N75" s="155">
        <f>+IF(OR($Q75=Parametres!$G$2,$Q75=Parametres!$G$3),I75,C75)</f>
        <v>53960.13</v>
      </c>
      <c r="O75" s="155">
        <f>+IF(OR($Q75=Parametres!$G$2,$Q75=Parametres!$G$3),J75,D75)</f>
        <v>59001.7</v>
      </c>
      <c r="P75" s="155">
        <f>+IF(OR($Q75=Parametres!$G$2,$Q75=Parametres!$G$3),K75,E75)</f>
        <v>112961.83</v>
      </c>
      <c r="Q75" s="154" t="str">
        <f t="shared" si="7"/>
        <v>2-Actifs</v>
      </c>
      <c r="R75" s="153" t="str">
        <f t="shared" si="8"/>
        <v>1372</v>
      </c>
      <c r="S75" s="154">
        <f t="shared" si="9"/>
        <v>0</v>
      </c>
      <c r="T75" s="156" t="str">
        <f>+VLOOKUP($L75,Data_Validation!$A:$D,1,0)</f>
        <v>1372</v>
      </c>
      <c r="U75" s="156" t="str">
        <f>+VLOOKUP($L75,Data_Validation!$A:$D,3,0)</f>
        <v>Bilan</v>
      </c>
      <c r="V75" s="156" t="str">
        <f>+VLOOKUP($L75,Data_Validation!$A:$D,4,0)</f>
        <v>recevables Autres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4" t="s">
        <v>2866</v>
      </c>
      <c r="B76" s="1014" t="s">
        <v>2867</v>
      </c>
      <c r="C76" s="1016">
        <v>-45000</v>
      </c>
      <c r="D76" s="1016">
        <v>0</v>
      </c>
      <c r="E76" s="1016">
        <v>-45000</v>
      </c>
      <c r="F76" s="1014" t="s">
        <v>293</v>
      </c>
      <c r="G76" s="1014" t="s">
        <v>2867</v>
      </c>
      <c r="H76" s="150"/>
      <c r="I76" s="157"/>
      <c r="J76" s="157"/>
      <c r="K76" s="157"/>
      <c r="L76" s="153" t="str">
        <f t="shared" si="5"/>
        <v>1399</v>
      </c>
      <c r="M76" s="154" t="str">
        <f t="shared" si="6"/>
        <v>RESERVE CREANCE DOUTEUSES</v>
      </c>
      <c r="N76" s="155">
        <f>+IF(OR($Q76=Parametres!$G$2,$Q76=Parametres!$G$3),I76,C76)</f>
        <v>-45000</v>
      </c>
      <c r="O76" s="575">
        <f>+IF(OR($Q76=Parametres!$G$2,$Q76=Parametres!$G$3),J76,D76)</f>
        <v>0</v>
      </c>
      <c r="P76" s="155">
        <f>+IF(OR($Q76=Parametres!$G$2,$Q76=Parametres!$G$3),K76,E76)</f>
        <v>-45000</v>
      </c>
      <c r="Q76" s="154" t="str">
        <f t="shared" si="7"/>
        <v>2-Actifs</v>
      </c>
      <c r="R76" s="153" t="str">
        <f t="shared" si="8"/>
        <v>1399</v>
      </c>
      <c r="S76" s="154">
        <f t="shared" si="9"/>
        <v>0</v>
      </c>
      <c r="T76" s="156" t="str">
        <f>+VLOOKUP($L76,Data_Validation!$A:$D,1,0)</f>
        <v>1399</v>
      </c>
      <c r="U76" s="156" t="str">
        <f>+VLOOKUP($L76,Data_Validation!$A:$D,3,0)</f>
        <v>Bilan</v>
      </c>
      <c r="V76" s="156" t="str">
        <f>+VLOOKUP($L76,Data_Validation!$A:$D,4,0)</f>
        <v>Recevables Pièces et Service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4" t="s">
        <v>2109</v>
      </c>
      <c r="B77" s="1014" t="s">
        <v>2110</v>
      </c>
      <c r="C77" s="1016">
        <v>5602252.6900000004</v>
      </c>
      <c r="D77" s="1016">
        <v>-24150.91</v>
      </c>
      <c r="E77" s="1016">
        <v>5578101.7800000003</v>
      </c>
      <c r="F77" s="1014" t="s">
        <v>293</v>
      </c>
      <c r="G77" s="1014" t="s">
        <v>2110</v>
      </c>
      <c r="H77" s="150"/>
      <c r="I77" s="151"/>
      <c r="J77" s="151"/>
      <c r="K77" s="151"/>
      <c r="L77" s="153" t="str">
        <f t="shared" si="5"/>
        <v>1402</v>
      </c>
      <c r="M77" s="154" t="str">
        <f t="shared" si="6"/>
        <v>VEHIC. NEUFS VOLKS</v>
      </c>
      <c r="N77" s="155">
        <f>+IF(OR($Q77=Parametres!$G$2,$Q77=Parametres!$G$3),I77,C77)</f>
        <v>5602252.6900000004</v>
      </c>
      <c r="O77" s="155">
        <f>+IF(OR($Q77=Parametres!$G$2,$Q77=Parametres!$G$3),J77,D77)</f>
        <v>-24150.91</v>
      </c>
      <c r="P77" s="155">
        <f>+IF(OR($Q77=Parametres!$G$2,$Q77=Parametres!$G$3),K77,E77)</f>
        <v>5578101.7800000003</v>
      </c>
      <c r="Q77" s="154" t="str">
        <f t="shared" si="7"/>
        <v>2-Actifs</v>
      </c>
      <c r="R77" s="153" t="str">
        <f t="shared" si="8"/>
        <v>1402</v>
      </c>
      <c r="S77" s="154">
        <f t="shared" si="9"/>
        <v>0</v>
      </c>
      <c r="T77" s="156" t="str">
        <f>+VLOOKUP($L77,Data_Validation!$A:$D,1,0)</f>
        <v>1402</v>
      </c>
      <c r="U77" s="156" t="str">
        <f>+VLOOKUP($L77,Data_Validation!$A:$D,3,0)</f>
        <v>Bilan</v>
      </c>
      <c r="V77" s="156" t="str">
        <f>+VLOOKUP($L77,Data_Validation!$A:$D,4,0)</f>
        <v>Inventaire Véhicules Neufs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4" t="s">
        <v>2477</v>
      </c>
      <c r="B78" s="1014" t="s">
        <v>2478</v>
      </c>
      <c r="C78" s="1016"/>
      <c r="D78" s="1016"/>
      <c r="E78" s="1016"/>
      <c r="F78" s="1014" t="s">
        <v>4</v>
      </c>
      <c r="G78" s="1014" t="s">
        <v>2110</v>
      </c>
      <c r="H78" s="949"/>
      <c r="I78" s="949">
        <v>164</v>
      </c>
      <c r="J78" s="949">
        <v>1</v>
      </c>
      <c r="K78" s="949">
        <v>165</v>
      </c>
      <c r="L78" s="153" t="str">
        <f t="shared" si="5"/>
        <v>1402@</v>
      </c>
      <c r="M78" s="154" t="str">
        <f t="shared" si="6"/>
        <v># DE INVENTAIRE VEH.NEUFS VW</v>
      </c>
      <c r="N78" s="155">
        <f>+IF(OR($Q78=Parametres!$G$2,$Q78=Parametres!$G$3),I78,C78)</f>
        <v>164</v>
      </c>
      <c r="O78" s="155">
        <f>+IF(OR($Q78=Parametres!$G$2,$Q78=Parametres!$G$3),J78,D78)</f>
        <v>1</v>
      </c>
      <c r="P78" s="155">
        <f>+IF(OR($Q78=Parametres!$G$2,$Q78=Parametres!$G$3),K78,E78)</f>
        <v>165</v>
      </c>
      <c r="Q78" s="154" t="str">
        <f t="shared" si="7"/>
        <v>10-Compte compteur</v>
      </c>
      <c r="R78" s="153" t="str">
        <f t="shared" si="8"/>
        <v>1402</v>
      </c>
      <c r="S78" s="154">
        <f t="shared" si="9"/>
        <v>0</v>
      </c>
      <c r="T78" s="156" t="str">
        <f>+VLOOKUP($L78,Data_Validation!$A:$D,1,0)</f>
        <v>1402@</v>
      </c>
      <c r="U78" s="156" t="str">
        <f>+VLOOKUP($L78,Data_Validation!$A:$D,3,0)</f>
        <v>Bilan</v>
      </c>
      <c r="V78" s="156">
        <f>+VLOOKUP($L78,Data_Validation!$A:$D,4,0)</f>
        <v>0</v>
      </c>
      <c r="W78" s="156" t="str">
        <f>+VLOOKUP($L78,Data_Validation!$A:$E,5,0)</f>
        <v>NB</v>
      </c>
      <c r="X78" s="156">
        <f>+VLOOKUP($L78,Data_Validation!$A:$F,6,0)</f>
        <v>0</v>
      </c>
    </row>
    <row r="79" spans="1:24" ht="15" customHeight="1">
      <c r="A79" s="1014" t="s">
        <v>2118</v>
      </c>
      <c r="B79" s="1014" t="s">
        <v>2119</v>
      </c>
      <c r="C79" s="1016">
        <v>-128735.54</v>
      </c>
      <c r="D79" s="1016">
        <v>3721.18</v>
      </c>
      <c r="E79" s="1016">
        <v>-125014.36</v>
      </c>
      <c r="F79" s="1014" t="s">
        <v>293</v>
      </c>
      <c r="G79" s="1014" t="s">
        <v>2110</v>
      </c>
      <c r="H79" s="150"/>
      <c r="I79" s="157"/>
      <c r="J79" s="157"/>
      <c r="K79" s="157"/>
      <c r="L79" s="153" t="str">
        <f t="shared" si="5"/>
        <v>1403</v>
      </c>
      <c r="M79" s="154" t="str">
        <f t="shared" si="6"/>
        <v>BRUISING VOLKS VEH. NEUFS</v>
      </c>
      <c r="N79" s="155">
        <f>+IF(OR($Q79=Parametres!$G$2,$Q79=Parametres!$G$3),I79,C79)</f>
        <v>-128735.54</v>
      </c>
      <c r="O79" s="576">
        <f>+IF(OR($Q79=Parametres!$G$2,$Q79=Parametres!$G$3),J79,D79)</f>
        <v>3721.18</v>
      </c>
      <c r="P79" s="155">
        <f>+IF(OR($Q79=Parametres!$G$2,$Q79=Parametres!$G$3),K79,E79)</f>
        <v>-125014.36</v>
      </c>
      <c r="Q79" s="154" t="str">
        <f t="shared" si="7"/>
        <v>2-Actifs</v>
      </c>
      <c r="R79" s="153" t="str">
        <f t="shared" si="8"/>
        <v>1402</v>
      </c>
      <c r="S79" s="154">
        <f t="shared" si="9"/>
        <v>0</v>
      </c>
      <c r="T79" s="156" t="str">
        <f>+VLOOKUP($L79,Data_Validation!$A:$D,1,0)</f>
        <v>1403</v>
      </c>
      <c r="U79" s="156" t="str">
        <f>+VLOOKUP($L79,Data_Validation!$A:$D,3,0)</f>
        <v>Bilan</v>
      </c>
      <c r="V79" s="156" t="str">
        <f>+VLOOKUP($L79,Data_Validation!$A:$D,4,0)</f>
        <v>Inventaire Véhicules Neufs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4" t="s">
        <v>2761</v>
      </c>
      <c r="B80" s="1014" t="s">
        <v>2762</v>
      </c>
      <c r="C80" s="1016">
        <v>-25204.38</v>
      </c>
      <c r="D80" s="1016">
        <v>-5228.2</v>
      </c>
      <c r="E80" s="1016">
        <v>-30432.58</v>
      </c>
      <c r="F80" s="1014" t="s">
        <v>293</v>
      </c>
      <c r="G80" s="1014" t="s">
        <v>2762</v>
      </c>
      <c r="H80" s="150"/>
      <c r="I80" s="157"/>
      <c r="J80" s="157"/>
      <c r="K80" s="157"/>
      <c r="L80" s="153" t="str">
        <f t="shared" si="5"/>
        <v>1413</v>
      </c>
      <c r="M80" s="154" t="str">
        <f t="shared" si="6"/>
        <v>BRUISING USED CAR</v>
      </c>
      <c r="N80" s="155">
        <f>+IF(OR($Q80=Parametres!$G$2,$Q80=Parametres!$G$3),I80,C80)</f>
        <v>-25204.38</v>
      </c>
      <c r="O80" s="575">
        <f>+IF(OR($Q80=Parametres!$G$2,$Q80=Parametres!$G$3),J80,D80)</f>
        <v>-5228.2</v>
      </c>
      <c r="P80" s="155">
        <f>+IF(OR($Q80=Parametres!$G$2,$Q80=Parametres!$G$3),K80,E80)</f>
        <v>-30432.58</v>
      </c>
      <c r="Q80" s="154" t="str">
        <f t="shared" si="7"/>
        <v>2-Actifs</v>
      </c>
      <c r="R80" s="153" t="str">
        <f t="shared" si="8"/>
        <v>1413</v>
      </c>
      <c r="S80" s="154">
        <f t="shared" si="9"/>
        <v>0</v>
      </c>
      <c r="T80" s="156" t="str">
        <f>+VLOOKUP($L80,Data_Validation!$A:$D,1,0)</f>
        <v>1413</v>
      </c>
      <c r="U80" s="156" t="str">
        <f>+VLOOKUP($L80,Data_Validation!$A:$D,3,0)</f>
        <v>Bilan</v>
      </c>
      <c r="V80" s="156" t="str">
        <f>+VLOOKUP($L80,Data_Validation!$A:$D,4,0)</f>
        <v>Inventaire Véhicules Usagés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4" t="s">
        <v>2826</v>
      </c>
      <c r="B81" s="1014" t="s">
        <v>2481</v>
      </c>
      <c r="C81" s="1016">
        <v>1497105.39</v>
      </c>
      <c r="D81" s="1016">
        <v>78533.929999999993</v>
      </c>
      <c r="E81" s="1016">
        <v>1575639.32</v>
      </c>
      <c r="F81" s="1014" t="s">
        <v>293</v>
      </c>
      <c r="G81" s="1014" t="s">
        <v>2481</v>
      </c>
      <c r="H81" s="150"/>
      <c r="I81" s="157"/>
      <c r="J81" s="157"/>
      <c r="K81" s="157"/>
      <c r="L81" s="153" t="str">
        <f t="shared" si="5"/>
        <v>1416</v>
      </c>
      <c r="M81" s="154" t="str">
        <f t="shared" si="6"/>
        <v>INV. VEH. USAGE VW</v>
      </c>
      <c r="N81" s="155">
        <f>+IF(OR($Q81=Parametres!$G$2,$Q81=Parametres!$G$3),I81,C81)</f>
        <v>1497105.39</v>
      </c>
      <c r="O81" s="155">
        <f>+IF(OR($Q81=Parametres!$G$2,$Q81=Parametres!$G$3),J81,D81)</f>
        <v>78533.929999999993</v>
      </c>
      <c r="P81" s="155">
        <f>+IF(OR($Q81=Parametres!$G$2,$Q81=Parametres!$G$3),K81,E81)</f>
        <v>1575639.32</v>
      </c>
      <c r="Q81" s="154" t="str">
        <f t="shared" si="7"/>
        <v>2-Actifs</v>
      </c>
      <c r="R81" s="153" t="str">
        <f t="shared" si="8"/>
        <v>1416</v>
      </c>
      <c r="S81" s="154">
        <f t="shared" si="9"/>
        <v>0</v>
      </c>
      <c r="T81" s="156" t="str">
        <f>+VLOOKUP($L81,Data_Validation!$A:$D,1,0)</f>
        <v>1416</v>
      </c>
      <c r="U81" s="156" t="str">
        <f>+VLOOKUP($L81,Data_Validation!$A:$D,3,0)</f>
        <v>Bilan</v>
      </c>
      <c r="V81" s="156" t="str">
        <f>+VLOOKUP($L81,Data_Validation!$A:$D,4,0)</f>
        <v>Inventaire Véhicules Usagés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4" t="s">
        <v>2479</v>
      </c>
      <c r="B82" s="1014" t="s">
        <v>2480</v>
      </c>
      <c r="C82" s="1016"/>
      <c r="D82" s="1016"/>
      <c r="E82" s="1016"/>
      <c r="F82" s="1014" t="s">
        <v>4</v>
      </c>
      <c r="G82" s="1014" t="s">
        <v>2481</v>
      </c>
      <c r="H82" s="150"/>
      <c r="I82" s="157">
        <v>92</v>
      </c>
      <c r="J82" s="157">
        <v>2</v>
      </c>
      <c r="K82" s="157">
        <v>94</v>
      </c>
      <c r="L82" s="153" t="str">
        <f t="shared" si="5"/>
        <v>1416@</v>
      </c>
      <c r="M82" s="154" t="str">
        <f t="shared" si="6"/>
        <v># DE INV. VEH. USAGE VW</v>
      </c>
      <c r="N82" s="155">
        <f>+IF(OR($Q82=Parametres!$G$2,$Q82=Parametres!$G$3),I82,C82)</f>
        <v>92</v>
      </c>
      <c r="O82" s="576">
        <f>+IF(OR($Q82=Parametres!$G$2,$Q82=Parametres!$G$3),J82,D82)</f>
        <v>2</v>
      </c>
      <c r="P82" s="155">
        <f>+IF(OR($Q82=Parametres!$G$2,$Q82=Parametres!$G$3),K82,E82)</f>
        <v>94</v>
      </c>
      <c r="Q82" s="154" t="str">
        <f t="shared" si="7"/>
        <v>10-Compte compteur</v>
      </c>
      <c r="R82" s="153" t="str">
        <f t="shared" si="8"/>
        <v>1416</v>
      </c>
      <c r="S82" s="154">
        <f t="shared" si="9"/>
        <v>0</v>
      </c>
      <c r="T82" s="156" t="str">
        <f>+VLOOKUP($L82,Data_Validation!$A:$D,1,0)</f>
        <v>1416@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customHeight="1">
      <c r="A83" s="1014" t="s">
        <v>2868</v>
      </c>
      <c r="B83" s="1014" t="s">
        <v>2869</v>
      </c>
      <c r="C83" s="1016">
        <v>-15404.61</v>
      </c>
      <c r="D83" s="1016">
        <v>-2328.14</v>
      </c>
      <c r="E83" s="1016">
        <v>-17732.75</v>
      </c>
      <c r="F83" s="1014" t="s">
        <v>293</v>
      </c>
      <c r="G83" s="1014" t="s">
        <v>2869</v>
      </c>
      <c r="H83" s="150"/>
      <c r="I83" s="157"/>
      <c r="J83" s="157"/>
      <c r="K83" s="157"/>
      <c r="L83" s="153" t="str">
        <f t="shared" si="5"/>
        <v>1423</v>
      </c>
      <c r="M83" s="154" t="str">
        <f t="shared" si="6"/>
        <v>RESERVE DEMO</v>
      </c>
      <c r="N83" s="155">
        <f>+IF(OR($Q83=Parametres!$G$2,$Q83=Parametres!$G$3),I83,C83)</f>
        <v>-15404.61</v>
      </c>
      <c r="O83" s="155">
        <f>+IF(OR($Q83=Parametres!$G$2,$Q83=Parametres!$G$3),J83,D83)</f>
        <v>-2328.14</v>
      </c>
      <c r="P83" s="155">
        <f>+IF(OR($Q83=Parametres!$G$2,$Q83=Parametres!$G$3),K83,E83)</f>
        <v>-17732.75</v>
      </c>
      <c r="Q83" s="154" t="str">
        <f t="shared" si="7"/>
        <v>2-Actifs</v>
      </c>
      <c r="R83" s="153" t="str">
        <f t="shared" si="8"/>
        <v>1423</v>
      </c>
      <c r="S83" s="154">
        <f t="shared" si="9"/>
        <v>0</v>
      </c>
      <c r="T83" s="156" t="str">
        <f>+VLOOKUP($L83,Data_Validation!$A:$D,1,0)</f>
        <v>1423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4" t="s">
        <v>2870</v>
      </c>
      <c r="B84" s="1014" t="s">
        <v>2871</v>
      </c>
      <c r="C84" s="1016">
        <v>-33322.31</v>
      </c>
      <c r="D84" s="1016">
        <v>4466.22</v>
      </c>
      <c r="E84" s="1016">
        <v>-28856.09</v>
      </c>
      <c r="F84" s="1014" t="s">
        <v>293</v>
      </c>
      <c r="G84" s="1014" t="s">
        <v>2872</v>
      </c>
      <c r="H84" s="150"/>
      <c r="I84" s="157"/>
      <c r="J84" s="157"/>
      <c r="K84" s="157"/>
      <c r="L84" s="153" t="str">
        <f t="shared" si="5"/>
        <v>1433</v>
      </c>
      <c r="M84" s="154" t="str">
        <f t="shared" si="6"/>
        <v>RESERVE COURTOISIE</v>
      </c>
      <c r="N84" s="155">
        <f>+IF(OR($Q84=Parametres!$G$2,$Q84=Parametres!$G$3),I84,C84)</f>
        <v>-33322.31</v>
      </c>
      <c r="O84" s="155">
        <f>+IF(OR($Q84=Parametres!$G$2,$Q84=Parametres!$G$3),J84,D84)</f>
        <v>4466.22</v>
      </c>
      <c r="P84" s="155">
        <f>+IF(OR($Q84=Parametres!$G$2,$Q84=Parametres!$G$3),K84,E84)</f>
        <v>-28856.09</v>
      </c>
      <c r="Q84" s="154" t="str">
        <f t="shared" si="7"/>
        <v>2-Actifs</v>
      </c>
      <c r="R84" s="153" t="str">
        <f t="shared" si="8"/>
        <v>143</v>
      </c>
      <c r="S84" s="154">
        <f t="shared" si="9"/>
        <v>0</v>
      </c>
      <c r="T84" s="156" t="str">
        <f>+VLOOKUP($L84,Data_Validation!$A:$D,1,0)</f>
        <v>1433</v>
      </c>
      <c r="U84" s="156" t="str">
        <f>+VLOOKUP($L84,Data_Validation!$A:$D,3,0)</f>
        <v>Bilan</v>
      </c>
      <c r="V84" s="156" t="str">
        <f>+VLOOKUP($L84,Data_Validation!$A:$D,4,0)</f>
        <v>Inventaire Véhicules Neufs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4" t="s">
        <v>2032</v>
      </c>
      <c r="B85" s="1014" t="s">
        <v>2033</v>
      </c>
      <c r="C85" s="1016">
        <v>148256.54999999999</v>
      </c>
      <c r="D85" s="1016">
        <v>-17930.349999999999</v>
      </c>
      <c r="E85" s="1016">
        <v>130326.2</v>
      </c>
      <c r="F85" s="1014" t="s">
        <v>293</v>
      </c>
      <c r="G85" s="1014" t="s">
        <v>2033</v>
      </c>
      <c r="H85" s="150"/>
      <c r="I85" s="157"/>
      <c r="J85" s="157"/>
      <c r="K85" s="157"/>
      <c r="L85" s="153" t="str">
        <f t="shared" si="5"/>
        <v>1442</v>
      </c>
      <c r="M85" s="154" t="str">
        <f t="shared" si="6"/>
        <v>PIECES &amp; ACCESSOIRES NEUFS</v>
      </c>
      <c r="N85" s="155">
        <f>+IF(OR($Q85=Parametres!$G$2,$Q85=Parametres!$G$3),I85,C85)</f>
        <v>148256.54999999999</v>
      </c>
      <c r="O85" s="575">
        <f>+IF(OR($Q85=Parametres!$G$2,$Q85=Parametres!$G$3),J85,D85)</f>
        <v>-17930.349999999999</v>
      </c>
      <c r="P85" s="155">
        <f>+IF(OR($Q85=Parametres!$G$2,$Q85=Parametres!$G$3),K85,E85)</f>
        <v>130326.2</v>
      </c>
      <c r="Q85" s="154" t="str">
        <f t="shared" si="7"/>
        <v>2-Actifs</v>
      </c>
      <c r="R85" s="153" t="str">
        <f t="shared" si="8"/>
        <v>1442</v>
      </c>
      <c r="S85" s="154">
        <f t="shared" si="9"/>
        <v>0</v>
      </c>
      <c r="T85" s="156" t="str">
        <f>+VLOOKUP($L85,Data_Validation!$A:$D,1,0)</f>
        <v>1442</v>
      </c>
      <c r="U85" s="156" t="str">
        <f>+VLOOKUP($L85,Data_Validation!$A:$D,3,0)</f>
        <v>Bilan</v>
      </c>
      <c r="V85" s="156" t="str">
        <f>+VLOOKUP($L85,Data_Validation!$A:$D,4,0)</f>
        <v>Inventaire Pièces, Pneus, Huile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4" t="s">
        <v>2873</v>
      </c>
      <c r="B86" s="1014" t="s">
        <v>2874</v>
      </c>
      <c r="C86" s="1016">
        <v>69.25</v>
      </c>
      <c r="D86" s="1016">
        <v>-78.39</v>
      </c>
      <c r="E86" s="1016">
        <v>-9.14</v>
      </c>
      <c r="F86" s="1014" t="s">
        <v>293</v>
      </c>
      <c r="G86" s="1014" t="s">
        <v>2033</v>
      </c>
      <c r="H86" s="150"/>
      <c r="I86" s="157"/>
      <c r="J86" s="157"/>
      <c r="K86" s="157"/>
      <c r="L86" s="153" t="str">
        <f t="shared" si="5"/>
        <v>1448</v>
      </c>
      <c r="M86" s="154" t="str">
        <f t="shared" si="6"/>
        <v>AUTRES MARQUES P&amp;A</v>
      </c>
      <c r="N86" s="155">
        <f>+IF(OR($Q86=Parametres!$G$2,$Q86=Parametres!$G$3),I86,C86)</f>
        <v>69.25</v>
      </c>
      <c r="O86" s="155">
        <f>+IF(OR($Q86=Parametres!$G$2,$Q86=Parametres!$G$3),J86,D86)</f>
        <v>-78.39</v>
      </c>
      <c r="P86" s="155">
        <f>+IF(OR($Q86=Parametres!$G$2,$Q86=Parametres!$G$3),K86,E86)</f>
        <v>-9.14</v>
      </c>
      <c r="Q86" s="154" t="str">
        <f t="shared" si="7"/>
        <v>2-Actifs</v>
      </c>
      <c r="R86" s="153" t="str">
        <f t="shared" si="8"/>
        <v>1442</v>
      </c>
      <c r="S86" s="154">
        <f t="shared" si="9"/>
        <v>0</v>
      </c>
      <c r="T86" s="156" t="str">
        <f>+VLOOKUP($L86,Data_Validation!$A:$D,1,0)</f>
        <v>1448</v>
      </c>
      <c r="U86" s="156" t="str">
        <f>+VLOOKUP($L86,Data_Validation!$A:$D,3,0)</f>
        <v>Bilan</v>
      </c>
      <c r="V86" s="156" t="str">
        <f>+VLOOKUP($L86,Data_Validation!$A:$D,4,0)</f>
        <v>Inventaire Pièces, Pneus, Huile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4" t="s">
        <v>2824</v>
      </c>
      <c r="B87" s="1014" t="s">
        <v>2825</v>
      </c>
      <c r="C87" s="1016">
        <v>156858.96</v>
      </c>
      <c r="D87" s="1016">
        <v>36335.089999999997</v>
      </c>
      <c r="E87" s="1016">
        <v>193194.05</v>
      </c>
      <c r="F87" s="1014" t="s">
        <v>293</v>
      </c>
      <c r="G87" s="1014" t="s">
        <v>2033</v>
      </c>
      <c r="H87" s="150"/>
      <c r="I87" s="151"/>
      <c r="J87" s="151"/>
      <c r="K87" s="151"/>
      <c r="L87" s="153" t="str">
        <f t="shared" si="5"/>
        <v>1452</v>
      </c>
      <c r="M87" s="154" t="str">
        <f t="shared" si="6"/>
        <v>PNEUS</v>
      </c>
      <c r="N87" s="155">
        <f>+IF(OR($Q87=Parametres!$G$2,$Q87=Parametres!$G$3),I87,C87)</f>
        <v>156858.96</v>
      </c>
      <c r="O87" s="155">
        <f>+IF(OR($Q87=Parametres!$G$2,$Q87=Parametres!$G$3),J87,D87)</f>
        <v>36335.089999999997</v>
      </c>
      <c r="P87" s="155">
        <f>+IF(OR($Q87=Parametres!$G$2,$Q87=Parametres!$G$3),K87,E87)</f>
        <v>193194.05</v>
      </c>
      <c r="Q87" s="154" t="str">
        <f t="shared" si="7"/>
        <v>2-Actifs</v>
      </c>
      <c r="R87" s="153" t="str">
        <f t="shared" si="8"/>
        <v>1442</v>
      </c>
      <c r="S87" s="154">
        <f t="shared" si="9"/>
        <v>0</v>
      </c>
      <c r="T87" s="156" t="str">
        <f>+VLOOKUP($L87,Data_Validation!$A:$D,1,0)</f>
        <v>1452</v>
      </c>
      <c r="U87" s="156" t="str">
        <f>+VLOOKUP($L87,Data_Validation!$A:$D,3,0)</f>
        <v>Bilan</v>
      </c>
      <c r="V87" s="156" t="str">
        <f>+VLOOKUP($L87,Data_Validation!$A:$D,4,0)</f>
        <v>Inventaire Pièces, Pneus, Huile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4" t="s">
        <v>2740</v>
      </c>
      <c r="B88" s="1014" t="s">
        <v>2741</v>
      </c>
      <c r="C88" s="1016">
        <v>33151.83</v>
      </c>
      <c r="D88" s="1016">
        <v>3075.47</v>
      </c>
      <c r="E88" s="1016">
        <v>36227.300000000003</v>
      </c>
      <c r="F88" s="1014" t="s">
        <v>293</v>
      </c>
      <c r="G88" s="1014" t="s">
        <v>2741</v>
      </c>
      <c r="H88" s="949"/>
      <c r="I88" s="948"/>
      <c r="J88" s="948"/>
      <c r="K88" s="948"/>
      <c r="L88" s="153" t="str">
        <f t="shared" si="5"/>
        <v>1456</v>
      </c>
      <c r="M88" s="154" t="str">
        <f t="shared" si="6"/>
        <v>PIECES VW NON ORIGINE</v>
      </c>
      <c r="N88" s="155">
        <f>+IF(OR($Q88=Parametres!$G$2,$Q88=Parametres!$G$3),I88,C88)</f>
        <v>33151.83</v>
      </c>
      <c r="O88" s="155">
        <f>+IF(OR($Q88=Parametres!$G$2,$Q88=Parametres!$G$3),J88,D88)</f>
        <v>3075.47</v>
      </c>
      <c r="P88" s="155">
        <f>+IF(OR($Q88=Parametres!$G$2,$Q88=Parametres!$G$3),K88,E88)</f>
        <v>36227.300000000003</v>
      </c>
      <c r="Q88" s="154" t="str">
        <f t="shared" si="7"/>
        <v>2-Actifs</v>
      </c>
      <c r="R88" s="153" t="str">
        <f t="shared" si="8"/>
        <v>1456</v>
      </c>
      <c r="S88" s="154">
        <f t="shared" si="9"/>
        <v>0</v>
      </c>
      <c r="T88" s="156" t="str">
        <f>+VLOOKUP($L88,Data_Validation!$A:$D,1,0)</f>
        <v>1456</v>
      </c>
      <c r="U88" s="156" t="str">
        <f>+VLOOKUP($L88,Data_Validation!$A:$D,3,0)</f>
        <v>Bilan</v>
      </c>
      <c r="V88" s="156" t="str">
        <f>+VLOOKUP($L88,Data_Validation!$A:$D,4,0)</f>
        <v>Inventaire Pièces, Pneus, Huile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14" t="s">
        <v>2589</v>
      </c>
      <c r="B89" s="1014" t="s">
        <v>2590</v>
      </c>
      <c r="C89" s="1016">
        <v>5031.47</v>
      </c>
      <c r="D89" s="1016">
        <v>4156.2299999999996</v>
      </c>
      <c r="E89" s="1016">
        <v>9187.7000000000007</v>
      </c>
      <c r="F89" s="1014" t="s">
        <v>293</v>
      </c>
      <c r="G89" s="1014" t="s">
        <v>2590</v>
      </c>
      <c r="H89" s="949"/>
      <c r="I89" s="949"/>
      <c r="J89" s="949"/>
      <c r="K89" s="949"/>
      <c r="L89" s="153" t="str">
        <f t="shared" si="5"/>
        <v>1472</v>
      </c>
      <c r="M89" s="154" t="str">
        <f t="shared" si="6"/>
        <v>WIP M-O VW</v>
      </c>
      <c r="N89" s="155">
        <f>+IF(OR($Q89=Parametres!$G$2,$Q89=Parametres!$G$3),I89,C89)</f>
        <v>5031.47</v>
      </c>
      <c r="O89" s="575">
        <f>+IF(OR($Q89=Parametres!$G$2,$Q89=Parametres!$G$3),J89,D89)</f>
        <v>4156.2299999999996</v>
      </c>
      <c r="P89" s="155">
        <f>+IF(OR($Q89=Parametres!$G$2,$Q89=Parametres!$G$3),K89,E89)</f>
        <v>9187.7000000000007</v>
      </c>
      <c r="Q89" s="154" t="str">
        <f t="shared" si="7"/>
        <v>2-Actifs</v>
      </c>
      <c r="R89" s="153" t="str">
        <f t="shared" si="8"/>
        <v>1472</v>
      </c>
      <c r="S89" s="154">
        <f t="shared" si="9"/>
        <v>0</v>
      </c>
      <c r="T89" s="156" t="str">
        <f>+VLOOKUP($L89,Data_Validation!$A:$D,1,0)</f>
        <v>1472</v>
      </c>
      <c r="U89" s="156" t="str">
        <f>+VLOOKUP($L89,Data_Validation!$A:$D,3,0)</f>
        <v>Bilan</v>
      </c>
      <c r="V89" s="156" t="str">
        <f>+VLOOKUP($L89,Data_Validation!$A:$D,4,0)</f>
        <v>Travaux en Cours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4" t="s">
        <v>2763</v>
      </c>
      <c r="B90" s="1014" t="s">
        <v>2764</v>
      </c>
      <c r="C90" s="1016">
        <v>-5456.57</v>
      </c>
      <c r="D90" s="1016">
        <v>2291.7600000000002</v>
      </c>
      <c r="E90" s="1016">
        <v>-3164.81</v>
      </c>
      <c r="F90" s="1014" t="s">
        <v>293</v>
      </c>
      <c r="G90" s="1014" t="s">
        <v>2590</v>
      </c>
      <c r="H90" s="150"/>
      <c r="I90" s="157"/>
      <c r="J90" s="157"/>
      <c r="K90" s="157"/>
      <c r="L90" s="153" t="str">
        <f t="shared" si="5"/>
        <v>1474</v>
      </c>
      <c r="M90" s="154" t="str">
        <f t="shared" si="6"/>
        <v>INVENTAIRE SOUS-TRAITANTS</v>
      </c>
      <c r="N90" s="155">
        <f>+IF(OR($Q90=Parametres!$G$2,$Q90=Parametres!$G$3),I90,C90)</f>
        <v>-5456.57</v>
      </c>
      <c r="O90" s="575">
        <f>+IF(OR($Q90=Parametres!$G$2,$Q90=Parametres!$G$3),J90,D90)</f>
        <v>2291.7600000000002</v>
      </c>
      <c r="P90" s="155">
        <f>+IF(OR($Q90=Parametres!$G$2,$Q90=Parametres!$G$3),K90,E90)</f>
        <v>-3164.81</v>
      </c>
      <c r="Q90" s="154" t="str">
        <f t="shared" si="7"/>
        <v>2-Actifs</v>
      </c>
      <c r="R90" s="153" t="str">
        <f t="shared" si="8"/>
        <v>1472</v>
      </c>
      <c r="S90" s="154">
        <f t="shared" si="9"/>
        <v>0</v>
      </c>
      <c r="T90" s="156" t="str">
        <f>+VLOOKUP($L90,Data_Validation!$A:$D,1,0)</f>
        <v>1474</v>
      </c>
      <c r="U90" s="156" t="str">
        <f>+VLOOKUP($L90,Data_Validation!$A:$D,3,0)</f>
        <v>Bilan</v>
      </c>
      <c r="V90" s="156" t="str">
        <f>+VLOOKUP($L90,Data_Validation!$A:$D,4,0)</f>
        <v>Sous-Traitance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4" t="s">
        <v>2140</v>
      </c>
      <c r="B91" s="1014" t="s">
        <v>2141</v>
      </c>
      <c r="C91" s="1016">
        <v>26203.06</v>
      </c>
      <c r="D91" s="1016">
        <v>-2771.12</v>
      </c>
      <c r="E91" s="1016">
        <v>23431.94</v>
      </c>
      <c r="F91" s="1014" t="s">
        <v>293</v>
      </c>
      <c r="G91" s="1014" t="s">
        <v>2033</v>
      </c>
      <c r="H91" s="150"/>
      <c r="I91" s="157"/>
      <c r="J91" s="157"/>
      <c r="K91" s="157"/>
      <c r="L91" s="153" t="str">
        <f t="shared" si="5"/>
        <v>1492</v>
      </c>
      <c r="M91" s="154" t="str">
        <f t="shared" si="6"/>
        <v>CARBURANT, HUILE, GRAISSE</v>
      </c>
      <c r="N91" s="155">
        <f>+IF(OR($Q91=Parametres!$G$2,$Q91=Parametres!$G$3),I91,C91)</f>
        <v>26203.06</v>
      </c>
      <c r="O91" s="155">
        <f>+IF(OR($Q91=Parametres!$G$2,$Q91=Parametres!$G$3),J91,D91)</f>
        <v>-2771.12</v>
      </c>
      <c r="P91" s="155">
        <f>+IF(OR($Q91=Parametres!$G$2,$Q91=Parametres!$G$3),K91,E91)</f>
        <v>23431.94</v>
      </c>
      <c r="Q91" s="154" t="str">
        <f t="shared" si="7"/>
        <v>2-Actifs</v>
      </c>
      <c r="R91" s="153" t="str">
        <f t="shared" si="8"/>
        <v>1442</v>
      </c>
      <c r="S91" s="154">
        <f t="shared" si="9"/>
        <v>0</v>
      </c>
      <c r="T91" s="156" t="str">
        <f>+VLOOKUP($L91,Data_Validation!$A:$D,1,0)</f>
        <v>1492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4" t="s">
        <v>2691</v>
      </c>
      <c r="B92" s="1014" t="s">
        <v>2692</v>
      </c>
      <c r="C92" s="1016">
        <v>-122.37</v>
      </c>
      <c r="D92" s="1016">
        <v>177.39</v>
      </c>
      <c r="E92" s="1016">
        <v>55.02</v>
      </c>
      <c r="F92" s="1014" t="s">
        <v>293</v>
      </c>
      <c r="G92" s="1014" t="s">
        <v>2692</v>
      </c>
      <c r="H92" s="150"/>
      <c r="I92" s="151"/>
      <c r="J92" s="151"/>
      <c r="K92" s="151"/>
      <c r="L92" s="153" t="str">
        <f t="shared" si="5"/>
        <v>1498</v>
      </c>
      <c r="M92" s="154" t="str">
        <f t="shared" si="6"/>
        <v>AUTRES INVENTAIRES</v>
      </c>
      <c r="N92" s="155">
        <f>+IF(OR($Q92=Parametres!$G$2,$Q92=Parametres!$G$3),I92,C92)</f>
        <v>-122.37</v>
      </c>
      <c r="O92" s="155">
        <f>+IF(OR($Q92=Parametres!$G$2,$Q92=Parametres!$G$3),J92,D92)</f>
        <v>177.39</v>
      </c>
      <c r="P92" s="155">
        <f>+IF(OR($Q92=Parametres!$G$2,$Q92=Parametres!$G$3),K92,E92)</f>
        <v>55.02</v>
      </c>
      <c r="Q92" s="154" t="str">
        <f t="shared" si="7"/>
        <v>2-Actifs</v>
      </c>
      <c r="R92" s="153" t="str">
        <f t="shared" si="8"/>
        <v>1498</v>
      </c>
      <c r="S92" s="154">
        <f t="shared" si="9"/>
        <v>0</v>
      </c>
      <c r="T92" s="156" t="str">
        <f>+VLOOKUP($L92,Data_Validation!$A:$D,1,0)</f>
        <v>1498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4" t="s">
        <v>2104</v>
      </c>
      <c r="B93" s="1014" t="s">
        <v>2105</v>
      </c>
      <c r="C93" s="1016">
        <v>-2911.69</v>
      </c>
      <c r="D93" s="1016">
        <v>0</v>
      </c>
      <c r="E93" s="1016">
        <v>-2911.69</v>
      </c>
      <c r="F93" s="1014" t="s">
        <v>293</v>
      </c>
      <c r="G93" s="1014" t="s">
        <v>2106</v>
      </c>
      <c r="H93" s="150"/>
      <c r="I93" s="157"/>
      <c r="J93" s="157"/>
      <c r="K93" s="157"/>
      <c r="L93" s="153" t="str">
        <f t="shared" si="5"/>
        <v>1502</v>
      </c>
      <c r="M93" s="154" t="str">
        <f t="shared" si="6"/>
        <v>FPA PUB.VEHICULES NEUFS</v>
      </c>
      <c r="N93" s="155">
        <f>+IF(OR($Q93=Parametres!$G$2,$Q93=Parametres!$G$3),I93,C93)</f>
        <v>-2911.69</v>
      </c>
      <c r="O93" s="155">
        <f>+IF(OR($Q93=Parametres!$G$2,$Q93=Parametres!$G$3),J93,D93)</f>
        <v>0</v>
      </c>
      <c r="P93" s="155">
        <f>+IF(OR($Q93=Parametres!$G$2,$Q93=Parametres!$G$3),K93,E93)</f>
        <v>-2911.69</v>
      </c>
      <c r="Q93" s="154" t="str">
        <f t="shared" si="7"/>
        <v>2-Actifs</v>
      </c>
      <c r="R93" s="153" t="str">
        <f t="shared" si="8"/>
        <v>1500</v>
      </c>
      <c r="S93" s="154">
        <f t="shared" si="9"/>
        <v>0</v>
      </c>
      <c r="T93" s="156" t="str">
        <f>+VLOOKUP($L93,Data_Validation!$A:$D,1,0)</f>
        <v>1502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4" t="s">
        <v>2806</v>
      </c>
      <c r="B94" s="1014" t="s">
        <v>2807</v>
      </c>
      <c r="C94" s="1016">
        <v>-1303.55</v>
      </c>
      <c r="D94" s="1016">
        <v>-3534.11</v>
      </c>
      <c r="E94" s="1016">
        <v>-4837.66</v>
      </c>
      <c r="F94" s="1014" t="s">
        <v>293</v>
      </c>
      <c r="G94" s="1014" t="s">
        <v>2106</v>
      </c>
      <c r="H94" s="949"/>
      <c r="I94" s="948"/>
      <c r="J94" s="948"/>
      <c r="K94" s="948"/>
      <c r="L94" s="153" t="str">
        <f t="shared" si="5"/>
        <v>1506</v>
      </c>
      <c r="M94" s="154" t="str">
        <f t="shared" si="6"/>
        <v>FPA PUBLICITE SERVICE</v>
      </c>
      <c r="N94" s="155">
        <f>+IF(OR($Q94=Parametres!$G$2,$Q94=Parametres!$G$3),I94,C94)</f>
        <v>-1303.55</v>
      </c>
      <c r="O94" s="575">
        <f>+IF(OR($Q94=Parametres!$G$2,$Q94=Parametres!$G$3),J94,D94)</f>
        <v>-3534.11</v>
      </c>
      <c r="P94" s="155">
        <f>+IF(OR($Q94=Parametres!$G$2,$Q94=Parametres!$G$3),K94,E94)</f>
        <v>-4837.66</v>
      </c>
      <c r="Q94" s="154" t="str">
        <f t="shared" si="7"/>
        <v>2-Actifs</v>
      </c>
      <c r="R94" s="153" t="str">
        <f t="shared" si="8"/>
        <v>1500</v>
      </c>
      <c r="S94" s="154">
        <f t="shared" si="9"/>
        <v>0</v>
      </c>
      <c r="T94" s="156" t="str">
        <f>+VLOOKUP($L94,Data_Validation!$A:$D,1,0)</f>
        <v>1506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4" t="s">
        <v>2642</v>
      </c>
      <c r="B95" s="1014" t="s">
        <v>2643</v>
      </c>
      <c r="C95" s="1016">
        <v>4061.95</v>
      </c>
      <c r="D95" s="1016">
        <v>-215</v>
      </c>
      <c r="E95" s="1016">
        <v>3846.95</v>
      </c>
      <c r="F95" s="1014" t="s">
        <v>293</v>
      </c>
      <c r="G95" s="1014" t="s">
        <v>2106</v>
      </c>
      <c r="H95" s="150"/>
      <c r="I95" s="151"/>
      <c r="J95" s="151"/>
      <c r="K95" s="151"/>
      <c r="L95" s="153" t="str">
        <f t="shared" si="5"/>
        <v>1510</v>
      </c>
      <c r="M95" s="154" t="str">
        <f t="shared" si="6"/>
        <v>DIAMOND KOTE (NANO)</v>
      </c>
      <c r="N95" s="155">
        <f>+IF(OR($Q95=Parametres!$G$2,$Q95=Parametres!$G$3),I95,C95)</f>
        <v>4061.95</v>
      </c>
      <c r="O95" s="155">
        <f>+IF(OR($Q95=Parametres!$G$2,$Q95=Parametres!$G$3),J95,D95)</f>
        <v>-215</v>
      </c>
      <c r="P95" s="155">
        <f>+IF(OR($Q95=Parametres!$G$2,$Q95=Parametres!$G$3),K95,E95)</f>
        <v>3846.95</v>
      </c>
      <c r="Q95" s="154" t="str">
        <f t="shared" si="7"/>
        <v>2-Actifs</v>
      </c>
      <c r="R95" s="153" t="str">
        <f t="shared" si="8"/>
        <v>1500</v>
      </c>
      <c r="S95" s="154">
        <f t="shared" si="9"/>
        <v>0</v>
      </c>
      <c r="T95" s="156" t="str">
        <f>+VLOOKUP($L95,Data_Validation!$A:$D,1,0)</f>
        <v>1510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4" t="s">
        <v>2152</v>
      </c>
      <c r="B96" s="1014" t="s">
        <v>2153</v>
      </c>
      <c r="C96" s="1016">
        <v>1829.99</v>
      </c>
      <c r="D96" s="1016">
        <v>4949.6499999999996</v>
      </c>
      <c r="E96" s="1016">
        <v>6779.64</v>
      </c>
      <c r="F96" s="1014" t="s">
        <v>293</v>
      </c>
      <c r="G96" s="1014" t="s">
        <v>2106</v>
      </c>
      <c r="H96" s="150"/>
      <c r="I96" s="157"/>
      <c r="J96" s="157"/>
      <c r="K96" s="157"/>
      <c r="L96" s="153" t="str">
        <f t="shared" si="5"/>
        <v>1520</v>
      </c>
      <c r="M96" s="154" t="str">
        <f t="shared" si="6"/>
        <v>FPA IMMATRICULATION</v>
      </c>
      <c r="N96" s="155">
        <f>+IF(OR($Q96=Parametres!$G$2,$Q96=Parametres!$G$3),I96,C96)</f>
        <v>1829.99</v>
      </c>
      <c r="O96" s="155">
        <f>+IF(OR($Q96=Parametres!$G$2,$Q96=Parametres!$G$3),J96,D96)</f>
        <v>4949.6499999999996</v>
      </c>
      <c r="P96" s="155">
        <f>+IF(OR($Q96=Parametres!$G$2,$Q96=Parametres!$G$3),K96,E96)</f>
        <v>6779.64</v>
      </c>
      <c r="Q96" s="154" t="str">
        <f t="shared" si="7"/>
        <v>2-Actifs</v>
      </c>
      <c r="R96" s="153" t="str">
        <f t="shared" si="8"/>
        <v>1500</v>
      </c>
      <c r="S96" s="154">
        <f t="shared" si="9"/>
        <v>0</v>
      </c>
      <c r="T96" s="156" t="str">
        <f>+VLOOKUP($L96,Data_Validation!$A:$D,1,0)</f>
        <v>1520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4" t="s">
        <v>2181</v>
      </c>
      <c r="B97" s="1014" t="s">
        <v>2182</v>
      </c>
      <c r="C97" s="1016">
        <v>0</v>
      </c>
      <c r="D97" s="1016">
        <v>1769.3</v>
      </c>
      <c r="E97" s="1016">
        <v>1769.3</v>
      </c>
      <c r="F97" s="1014" t="s">
        <v>293</v>
      </c>
      <c r="G97" s="1014" t="s">
        <v>2106</v>
      </c>
      <c r="H97" s="949"/>
      <c r="I97" s="948"/>
      <c r="J97" s="948"/>
      <c r="K97" s="948"/>
      <c r="L97" s="153" t="str">
        <f t="shared" si="5"/>
        <v>1532</v>
      </c>
      <c r="M97" s="579" t="str">
        <f t="shared" si="6"/>
        <v>FPA C.C.A.M.Q.</v>
      </c>
      <c r="N97" s="155">
        <f>+IF(OR($Q97=Parametres!$G$2,$Q97=Parametres!$G$3),I97,C97)</f>
        <v>0</v>
      </c>
      <c r="O97" s="580">
        <f>+IF(OR($Q97=Parametres!$G$2,$Q97=Parametres!$G$3),J97,D97)</f>
        <v>1769.3</v>
      </c>
      <c r="P97" s="581">
        <f>+IF(OR($Q97=Parametres!$G$2,$Q97=Parametres!$G$3),K97,E97)</f>
        <v>1769.3</v>
      </c>
      <c r="Q97" s="154" t="str">
        <f t="shared" si="7"/>
        <v>2-Actifs</v>
      </c>
      <c r="R97" s="153" t="str">
        <f t="shared" si="8"/>
        <v>1500</v>
      </c>
      <c r="S97" s="154">
        <f t="shared" si="9"/>
        <v>0</v>
      </c>
      <c r="T97" s="156" t="str">
        <f>+VLOOKUP($L97,Data_Validation!$A:$D,1,0)</f>
        <v>1532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4" t="s">
        <v>2199</v>
      </c>
      <c r="B98" s="1014" t="s">
        <v>2200</v>
      </c>
      <c r="C98" s="1016">
        <v>0</v>
      </c>
      <c r="D98" s="1016">
        <v>-65</v>
      </c>
      <c r="E98" s="1016">
        <v>-65</v>
      </c>
      <c r="F98" s="1014" t="s">
        <v>293</v>
      </c>
      <c r="G98" s="1014" t="s">
        <v>2106</v>
      </c>
      <c r="H98" s="150"/>
      <c r="I98" s="151"/>
      <c r="J98" s="151"/>
      <c r="K98" s="151"/>
      <c r="L98" s="153" t="str">
        <f t="shared" si="5"/>
        <v>1534</v>
      </c>
      <c r="M98" s="154" t="str">
        <f t="shared" si="6"/>
        <v>FPA FOURNITURES LAVAGE</v>
      </c>
      <c r="N98" s="155">
        <f>+IF(OR($Q98=Parametres!$G$2,$Q98=Parametres!$G$3),I98,C98)</f>
        <v>0</v>
      </c>
      <c r="O98" s="155">
        <f>+IF(OR($Q98=Parametres!$G$2,$Q98=Parametres!$G$3),J98,D98)</f>
        <v>-65</v>
      </c>
      <c r="P98" s="155">
        <f>+IF(OR($Q98=Parametres!$G$2,$Q98=Parametres!$G$3),K98,E98)</f>
        <v>-65</v>
      </c>
      <c r="Q98" s="154" t="str">
        <f t="shared" si="7"/>
        <v>2-Actifs</v>
      </c>
      <c r="R98" s="153" t="str">
        <f t="shared" si="8"/>
        <v>1500</v>
      </c>
      <c r="S98" s="154">
        <f t="shared" si="9"/>
        <v>0</v>
      </c>
      <c r="T98" s="156" t="str">
        <f>+VLOOKUP($L98,Data_Validation!$A:$D,1,0)</f>
        <v>1534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4" t="s">
        <v>2785</v>
      </c>
      <c r="B99" s="1014" t="s">
        <v>2786</v>
      </c>
      <c r="C99" s="1016">
        <v>0</v>
      </c>
      <c r="D99" s="1016">
        <v>3270.37</v>
      </c>
      <c r="E99" s="1016">
        <v>3270.37</v>
      </c>
      <c r="F99" s="1014" t="s">
        <v>293</v>
      </c>
      <c r="G99" s="1014" t="s">
        <v>2106</v>
      </c>
      <c r="H99" s="150"/>
      <c r="I99" s="157"/>
      <c r="J99" s="157"/>
      <c r="K99" s="157"/>
      <c r="L99" s="153" t="str">
        <f t="shared" si="5"/>
        <v>1540</v>
      </c>
      <c r="M99" s="154" t="str">
        <f t="shared" si="6"/>
        <v>FPA CONTRATS DE SERVICES</v>
      </c>
      <c r="N99" s="155">
        <f>+IF(OR($Q99=Parametres!$G$2,$Q99=Parametres!$G$3),I99,C99)</f>
        <v>0</v>
      </c>
      <c r="O99" s="155">
        <f>+IF(OR($Q99=Parametres!$G$2,$Q99=Parametres!$G$3),J99,D99)</f>
        <v>3270.37</v>
      </c>
      <c r="P99" s="155">
        <f>+IF(OR($Q99=Parametres!$G$2,$Q99=Parametres!$G$3),K99,E99)</f>
        <v>3270.37</v>
      </c>
      <c r="Q99" s="154" t="str">
        <f t="shared" si="7"/>
        <v>2-Actifs</v>
      </c>
      <c r="R99" s="153" t="str">
        <f t="shared" si="8"/>
        <v>1500</v>
      </c>
      <c r="S99" s="154">
        <f t="shared" si="9"/>
        <v>0</v>
      </c>
      <c r="T99" s="156" t="str">
        <f>+VLOOKUP($L99,Data_Validation!$A:$D,1,0)</f>
        <v>1540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4" t="s">
        <v>2201</v>
      </c>
      <c r="B100" s="1014" t="s">
        <v>2202</v>
      </c>
      <c r="C100" s="1016">
        <v>-3525.13</v>
      </c>
      <c r="D100" s="1016">
        <v>0</v>
      </c>
      <c r="E100" s="1016">
        <v>-3525.13</v>
      </c>
      <c r="F100" s="1014" t="s">
        <v>293</v>
      </c>
      <c r="G100" s="1014" t="s">
        <v>2106</v>
      </c>
      <c r="H100" s="150"/>
      <c r="I100" s="157"/>
      <c r="J100" s="157"/>
      <c r="K100" s="157"/>
      <c r="L100" s="153" t="str">
        <f t="shared" si="5"/>
        <v>1544</v>
      </c>
      <c r="M100" s="154" t="str">
        <f t="shared" si="6"/>
        <v>FPA GAZ METROPOLITAIN</v>
      </c>
      <c r="N100" s="155">
        <f>+IF(OR($Q100=Parametres!$G$2,$Q100=Parametres!$G$3),I100,C100)</f>
        <v>-3525.13</v>
      </c>
      <c r="O100" s="155">
        <f>+IF(OR($Q100=Parametres!$G$2,$Q100=Parametres!$G$3),J100,D100)</f>
        <v>0</v>
      </c>
      <c r="P100" s="155">
        <f>+IF(OR($Q100=Parametres!$G$2,$Q100=Parametres!$G$3),K100,E100)</f>
        <v>-3525.13</v>
      </c>
      <c r="Q100" s="154" t="str">
        <f t="shared" si="7"/>
        <v>2-Actifs</v>
      </c>
      <c r="R100" s="153" t="str">
        <f t="shared" si="8"/>
        <v>1500</v>
      </c>
      <c r="S100" s="154">
        <f t="shared" si="9"/>
        <v>0</v>
      </c>
      <c r="T100" s="156" t="str">
        <f>+VLOOKUP($L100,Data_Validation!$A:$D,1,0)</f>
        <v>1544</v>
      </c>
      <c r="U100" s="156" t="str">
        <f>+VLOOKUP($L100,Data_Validation!$A:$D,3,0)</f>
        <v>Bilan</v>
      </c>
      <c r="V100" s="156" t="str">
        <f>+VLOOKUP($L100,Data_Validation!$A:$D,4,0)</f>
        <v>Autres Courus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4" t="s">
        <v>2186</v>
      </c>
      <c r="B101" s="1014" t="s">
        <v>2187</v>
      </c>
      <c r="C101" s="1016">
        <v>196.38</v>
      </c>
      <c r="D101" s="1016">
        <v>-196.38</v>
      </c>
      <c r="E101" s="1016">
        <v>0</v>
      </c>
      <c r="F101" s="1014" t="s">
        <v>293</v>
      </c>
      <c r="G101" s="1014" t="s">
        <v>2106</v>
      </c>
      <c r="H101" s="949"/>
      <c r="I101" s="948"/>
      <c r="J101" s="948"/>
      <c r="K101" s="948"/>
      <c r="L101" s="153" t="str">
        <f t="shared" si="5"/>
        <v>1546</v>
      </c>
      <c r="M101" s="154" t="str">
        <f t="shared" si="6"/>
        <v>FPA ELECTRICITE HYDRO-QUEBEC</v>
      </c>
      <c r="N101" s="155">
        <f>+IF(OR($Q101=Parametres!$G$2,$Q101=Parametres!$G$3),I101,C101)</f>
        <v>196.38</v>
      </c>
      <c r="O101" s="155">
        <f>+IF(OR($Q101=Parametres!$G$2,$Q101=Parametres!$G$3),J101,D101)</f>
        <v>-196.38</v>
      </c>
      <c r="P101" s="155">
        <f>+IF(OR($Q101=Parametres!$G$2,$Q101=Parametres!$G$3),K101,E101)</f>
        <v>0</v>
      </c>
      <c r="Q101" s="154" t="str">
        <f t="shared" si="7"/>
        <v>2-Actifs</v>
      </c>
      <c r="R101" s="153" t="str">
        <f t="shared" si="8"/>
        <v>1500</v>
      </c>
      <c r="S101" s="154">
        <f t="shared" si="9"/>
        <v>0</v>
      </c>
      <c r="T101" s="156" t="str">
        <f>+VLOOKUP($L101,Data_Validation!$A:$D,1,0)</f>
        <v>1546</v>
      </c>
      <c r="U101" s="156" t="str">
        <f>+VLOOKUP($L101,Data_Validation!$A:$D,3,0)</f>
        <v>Bilan</v>
      </c>
      <c r="V101" s="156" t="str">
        <f>+VLOOKUP($L101,Data_Validation!$A:$D,4,0)</f>
        <v>Autres Courus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4" t="s">
        <v>2122</v>
      </c>
      <c r="B102" s="1014" t="s">
        <v>2123</v>
      </c>
      <c r="C102" s="1016">
        <v>8338.98</v>
      </c>
      <c r="D102" s="1016">
        <v>455.78</v>
      </c>
      <c r="E102" s="1016">
        <v>8794.76</v>
      </c>
      <c r="F102" s="1014" t="s">
        <v>293</v>
      </c>
      <c r="G102" s="1014" t="s">
        <v>2106</v>
      </c>
      <c r="H102" s="949"/>
      <c r="I102" s="948"/>
      <c r="J102" s="948"/>
      <c r="K102" s="948"/>
      <c r="L102" s="153" t="str">
        <f t="shared" si="5"/>
        <v>1552</v>
      </c>
      <c r="M102" s="154" t="str">
        <f t="shared" si="6"/>
        <v>FPA C.S.S.T.</v>
      </c>
      <c r="N102" s="155">
        <f>+IF(OR($Q102=Parametres!$G$2,$Q102=Parametres!$G$3),I102,C102)</f>
        <v>8338.98</v>
      </c>
      <c r="O102" s="155">
        <f>+IF(OR($Q102=Parametres!$G$2,$Q102=Parametres!$G$3),J102,D102)</f>
        <v>455.78</v>
      </c>
      <c r="P102" s="155">
        <f>+IF(OR($Q102=Parametres!$G$2,$Q102=Parametres!$G$3),K102,E102)</f>
        <v>8794.76</v>
      </c>
      <c r="Q102" s="154" t="str">
        <f t="shared" si="7"/>
        <v>2-Actifs</v>
      </c>
      <c r="R102" s="153" t="str">
        <f t="shared" si="8"/>
        <v>1500</v>
      </c>
      <c r="S102" s="154">
        <f t="shared" si="9"/>
        <v>0</v>
      </c>
      <c r="T102" s="156" t="str">
        <f>+VLOOKUP($L102,Data_Validation!$A:$D,1,0)</f>
        <v>1552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4" t="s">
        <v>2116</v>
      </c>
      <c r="B103" s="1014" t="s">
        <v>2117</v>
      </c>
      <c r="C103" s="1016">
        <v>6978.91</v>
      </c>
      <c r="D103" s="1016">
        <v>-7699.3</v>
      </c>
      <c r="E103" s="1016">
        <v>-720.39</v>
      </c>
      <c r="F103" s="1014" t="s">
        <v>293</v>
      </c>
      <c r="G103" s="1014" t="s">
        <v>2106</v>
      </c>
      <c r="H103" s="150"/>
      <c r="I103" s="157"/>
      <c r="J103" s="157"/>
      <c r="K103" s="157"/>
      <c r="L103" s="153" t="str">
        <f t="shared" si="5"/>
        <v>1582</v>
      </c>
      <c r="M103" s="154" t="str">
        <f t="shared" si="6"/>
        <v>FPA TAXES MUNICIPALES</v>
      </c>
      <c r="N103" s="155">
        <f>+IF(OR($Q103=Parametres!$G$2,$Q103=Parametres!$G$3),I103,C103)</f>
        <v>6978.91</v>
      </c>
      <c r="O103" s="155">
        <f>+IF(OR($Q103=Parametres!$G$2,$Q103=Parametres!$G$3),J103,D103)</f>
        <v>-7699.3</v>
      </c>
      <c r="P103" s="155">
        <f>+IF(OR($Q103=Parametres!$G$2,$Q103=Parametres!$G$3),K103,E103)</f>
        <v>-720.39</v>
      </c>
      <c r="Q103" s="154" t="str">
        <f t="shared" si="7"/>
        <v>2-Actifs</v>
      </c>
      <c r="R103" s="153" t="str">
        <f t="shared" si="8"/>
        <v>1500</v>
      </c>
      <c r="S103" s="154">
        <f t="shared" si="9"/>
        <v>0</v>
      </c>
      <c r="T103" s="156" t="str">
        <f>+VLOOKUP($L103,Data_Validation!$A:$D,1,0)</f>
        <v>1582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4" t="s">
        <v>2177</v>
      </c>
      <c r="B104" s="1014" t="s">
        <v>2178</v>
      </c>
      <c r="C104" s="1016">
        <v>1378.6</v>
      </c>
      <c r="D104" s="1016">
        <v>-310.7</v>
      </c>
      <c r="E104" s="1016">
        <v>1067.9000000000001</v>
      </c>
      <c r="F104" s="1014" t="s">
        <v>293</v>
      </c>
      <c r="G104" s="1014" t="s">
        <v>2106</v>
      </c>
      <c r="H104" s="949"/>
      <c r="I104" s="948"/>
      <c r="J104" s="948"/>
      <c r="K104" s="948"/>
      <c r="L104" s="153" t="str">
        <f t="shared" si="5"/>
        <v>1586</v>
      </c>
      <c r="M104" s="579" t="str">
        <f t="shared" si="6"/>
        <v>FPA TAXES SCOLAIRES</v>
      </c>
      <c r="N104" s="155">
        <f>+IF(OR($Q104=Parametres!$G$2,$Q104=Parametres!$G$3),I104,C104)</f>
        <v>1378.6</v>
      </c>
      <c r="O104" s="580">
        <f>+IF(OR($Q104=Parametres!$G$2,$Q104=Parametres!$G$3),J104,D104)</f>
        <v>-310.7</v>
      </c>
      <c r="P104" s="581">
        <f>+IF(OR($Q104=Parametres!$G$2,$Q104=Parametres!$G$3),K104,E104)</f>
        <v>1067.9000000000001</v>
      </c>
      <c r="Q104" s="154" t="str">
        <f t="shared" si="7"/>
        <v>2-Actifs</v>
      </c>
      <c r="R104" s="153" t="str">
        <f t="shared" si="8"/>
        <v>1500</v>
      </c>
      <c r="S104" s="154">
        <f t="shared" si="9"/>
        <v>0</v>
      </c>
      <c r="T104" s="156" t="str">
        <f>+VLOOKUP($L104,Data_Validation!$A:$D,1,0)</f>
        <v>1586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4" t="s">
        <v>2803</v>
      </c>
      <c r="B105" s="1014" t="s">
        <v>2804</v>
      </c>
      <c r="C105" s="1016">
        <v>40525.870000000003</v>
      </c>
      <c r="D105" s="1016">
        <v>75673.66</v>
      </c>
      <c r="E105" s="1016">
        <v>116199.53</v>
      </c>
      <c r="F105" s="1014" t="s">
        <v>293</v>
      </c>
      <c r="G105" s="1014" t="s">
        <v>2106</v>
      </c>
      <c r="H105" s="949"/>
      <c r="I105" s="948"/>
      <c r="J105" s="948"/>
      <c r="K105" s="948"/>
      <c r="L105" s="153" t="str">
        <f t="shared" si="5"/>
        <v>1592</v>
      </c>
      <c r="M105" s="154" t="str">
        <f t="shared" si="6"/>
        <v>FPA AUTRES</v>
      </c>
      <c r="N105" s="155">
        <f>+IF(OR($Q105=Parametres!$G$2,$Q105=Parametres!$G$3),I105,C105)</f>
        <v>40525.870000000003</v>
      </c>
      <c r="O105" s="575">
        <f>+IF(OR($Q105=Parametres!$G$2,$Q105=Parametres!$G$3),J105,D105)</f>
        <v>75673.66</v>
      </c>
      <c r="P105" s="155">
        <f>+IF(OR($Q105=Parametres!$G$2,$Q105=Parametres!$G$3),K105,E105)</f>
        <v>116199.53</v>
      </c>
      <c r="Q105" s="154" t="str">
        <f t="shared" si="7"/>
        <v>2-Actifs</v>
      </c>
      <c r="R105" s="153" t="str">
        <f t="shared" si="8"/>
        <v>1500</v>
      </c>
      <c r="S105" s="154">
        <f t="shared" si="9"/>
        <v>0</v>
      </c>
      <c r="T105" s="156" t="str">
        <f>+VLOOKUP($L105,Data_Validation!$A:$D,1,0)</f>
        <v>1592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4" t="s">
        <v>2400</v>
      </c>
      <c r="B106" s="1014" t="s">
        <v>2401</v>
      </c>
      <c r="C106" s="1016">
        <v>96990.28</v>
      </c>
      <c r="D106" s="1016">
        <v>0</v>
      </c>
      <c r="E106" s="1016">
        <v>96990.28</v>
      </c>
      <c r="F106" s="1014" t="s">
        <v>293</v>
      </c>
      <c r="G106" s="1014" t="s">
        <v>2128</v>
      </c>
      <c r="H106" s="949"/>
      <c r="I106" s="948"/>
      <c r="J106" s="948"/>
      <c r="K106" s="948"/>
      <c r="L106" s="153" t="str">
        <f t="shared" si="5"/>
        <v>1732</v>
      </c>
      <c r="M106" s="154" t="str">
        <f t="shared" si="6"/>
        <v>AMELIOR. LOCATIVES</v>
      </c>
      <c r="N106" s="155">
        <f>+IF(OR($Q106=Parametres!$G$2,$Q106=Parametres!$G$3),I106,C106)</f>
        <v>96990.28</v>
      </c>
      <c r="O106" s="575">
        <f>+IF(OR($Q106=Parametres!$G$2,$Q106=Parametres!$G$3),J106,D106)</f>
        <v>0</v>
      </c>
      <c r="P106" s="155">
        <f>+IF(OR($Q106=Parametres!$G$2,$Q106=Parametres!$G$3),K106,E106)</f>
        <v>96990.28</v>
      </c>
      <c r="Q106" s="154" t="str">
        <f t="shared" si="7"/>
        <v>2-Actifs</v>
      </c>
      <c r="R106" s="153" t="str">
        <f t="shared" si="8"/>
        <v>1700</v>
      </c>
      <c r="S106" s="154">
        <f t="shared" si="9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4" t="s">
        <v>2156</v>
      </c>
      <c r="B107" s="1014" t="s">
        <v>2157</v>
      </c>
      <c r="C107" s="1016">
        <v>-97750.97</v>
      </c>
      <c r="D107" s="1016">
        <v>-1730</v>
      </c>
      <c r="E107" s="1016">
        <v>-99480.97</v>
      </c>
      <c r="F107" s="1014" t="s">
        <v>293</v>
      </c>
      <c r="G107" s="1014" t="s">
        <v>2128</v>
      </c>
      <c r="H107" s="949"/>
      <c r="I107" s="948"/>
      <c r="J107" s="948"/>
      <c r="K107" s="948"/>
      <c r="L107" s="153" t="str">
        <f t="shared" si="5"/>
        <v>1733</v>
      </c>
      <c r="M107" s="154" t="str">
        <f t="shared" si="6"/>
        <v>AMORT. CUM. AMEL. LOCAT.</v>
      </c>
      <c r="N107" s="155">
        <f>+IF(OR($Q107=Parametres!$G$2,$Q107=Parametres!$G$3),I107,C107)</f>
        <v>-97750.97</v>
      </c>
      <c r="O107" s="155">
        <f>+IF(OR($Q107=Parametres!$G$2,$Q107=Parametres!$G$3),J107,D107)</f>
        <v>-1730</v>
      </c>
      <c r="P107" s="155">
        <f>+IF(OR($Q107=Parametres!$G$2,$Q107=Parametres!$G$3),K107,E107)</f>
        <v>-99480.97</v>
      </c>
      <c r="Q107" s="154" t="str">
        <f t="shared" si="7"/>
        <v>2-Actifs</v>
      </c>
      <c r="R107" s="153" t="str">
        <f t="shared" si="8"/>
        <v>1700</v>
      </c>
      <c r="S107" s="154">
        <f t="shared" si="9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4" t="s">
        <v>2402</v>
      </c>
      <c r="B108" s="1014" t="s">
        <v>2403</v>
      </c>
      <c r="C108" s="1016">
        <v>942882.53</v>
      </c>
      <c r="D108" s="1016">
        <v>0</v>
      </c>
      <c r="E108" s="1016">
        <v>942882.53</v>
      </c>
      <c r="F108" s="1014" t="s">
        <v>293</v>
      </c>
      <c r="G108" s="1014" t="s">
        <v>2128</v>
      </c>
      <c r="H108" s="150"/>
      <c r="I108" s="157"/>
      <c r="J108" s="157"/>
      <c r="K108" s="157"/>
      <c r="L108" s="153" t="str">
        <f t="shared" si="5"/>
        <v>1742</v>
      </c>
      <c r="M108" s="154" t="str">
        <f t="shared" si="6"/>
        <v>MACHINERIE &amp; EQUIPEMENT</v>
      </c>
      <c r="N108" s="155">
        <f>+IF(OR($Q108=Parametres!$G$2,$Q108=Parametres!$G$3),I108,C108)</f>
        <v>942882.53</v>
      </c>
      <c r="O108" s="155">
        <f>+IF(OR($Q108=Parametres!$G$2,$Q108=Parametres!$G$3),J108,D108)</f>
        <v>0</v>
      </c>
      <c r="P108" s="155">
        <f>+IF(OR($Q108=Parametres!$G$2,$Q108=Parametres!$G$3),K108,E108)</f>
        <v>942882.53</v>
      </c>
      <c r="Q108" s="154" t="str">
        <f t="shared" si="7"/>
        <v>2-Actifs</v>
      </c>
      <c r="R108" s="153" t="str">
        <f t="shared" si="8"/>
        <v>1700</v>
      </c>
      <c r="S108" s="154">
        <f t="shared" si="9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4" t="s">
        <v>2126</v>
      </c>
      <c r="B109" s="1014" t="s">
        <v>2127</v>
      </c>
      <c r="C109" s="1016">
        <v>-761666.84</v>
      </c>
      <c r="D109" s="1016">
        <v>-3972</v>
      </c>
      <c r="E109" s="1016">
        <v>-765638.84</v>
      </c>
      <c r="F109" s="1014" t="s">
        <v>293</v>
      </c>
      <c r="G109" s="1014" t="s">
        <v>2128</v>
      </c>
      <c r="H109" s="150"/>
      <c r="I109" s="157"/>
      <c r="J109" s="157"/>
      <c r="K109" s="157"/>
      <c r="L109" s="153" t="str">
        <f t="shared" si="5"/>
        <v>1743</v>
      </c>
      <c r="M109" s="154" t="str">
        <f t="shared" si="6"/>
        <v>AMORTISS.MACHINERIE &amp; EQUIP.</v>
      </c>
      <c r="N109" s="155">
        <f>+IF(OR($Q109=Parametres!$G$2,$Q109=Parametres!$G$3),I109,C109)</f>
        <v>-761666.84</v>
      </c>
      <c r="O109" s="575">
        <f>+IF(OR($Q109=Parametres!$G$2,$Q109=Parametres!$G$3),J109,D109)</f>
        <v>-3972</v>
      </c>
      <c r="P109" s="155">
        <f>+IF(OR($Q109=Parametres!$G$2,$Q109=Parametres!$G$3),K109,E109)</f>
        <v>-765638.84</v>
      </c>
      <c r="Q109" s="154" t="str">
        <f t="shared" si="7"/>
        <v>2-Actifs</v>
      </c>
      <c r="R109" s="153" t="str">
        <f t="shared" si="8"/>
        <v>1700</v>
      </c>
      <c r="S109" s="154">
        <f t="shared" si="9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4" t="s">
        <v>2404</v>
      </c>
      <c r="B110" s="1014" t="s">
        <v>2405</v>
      </c>
      <c r="C110" s="1016">
        <v>47461.59</v>
      </c>
      <c r="D110" s="1016">
        <v>0</v>
      </c>
      <c r="E110" s="1016">
        <v>47461.59</v>
      </c>
      <c r="F110" s="1014" t="s">
        <v>293</v>
      </c>
      <c r="G110" s="1014" t="s">
        <v>2128</v>
      </c>
      <c r="H110" s="150"/>
      <c r="I110" s="157"/>
      <c r="J110" s="157"/>
      <c r="K110" s="157"/>
      <c r="L110" s="153" t="str">
        <f t="shared" si="5"/>
        <v>1744</v>
      </c>
      <c r="M110" s="154" t="str">
        <f t="shared" si="6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7"/>
        <v>2-Actifs</v>
      </c>
      <c r="R110" s="153" t="str">
        <f t="shared" si="8"/>
        <v>1700</v>
      </c>
      <c r="S110" s="154">
        <f t="shared" si="9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4" t="s">
        <v>2197</v>
      </c>
      <c r="B111" s="1014" t="s">
        <v>2198</v>
      </c>
      <c r="C111" s="1016">
        <v>-47653.48</v>
      </c>
      <c r="D111" s="1016">
        <v>-180</v>
      </c>
      <c r="E111" s="1016">
        <v>-47833.48</v>
      </c>
      <c r="F111" s="1014" t="s">
        <v>293</v>
      </c>
      <c r="G111" s="1014" t="s">
        <v>2128</v>
      </c>
      <c r="H111" s="150"/>
      <c r="I111" s="151"/>
      <c r="J111" s="151"/>
      <c r="K111" s="151"/>
      <c r="L111" s="153" t="str">
        <f t="shared" si="5"/>
        <v>1745</v>
      </c>
      <c r="M111" s="154" t="str">
        <f t="shared" si="6"/>
        <v>AMORTISS.EQUIPEMENTS PIECES</v>
      </c>
      <c r="N111" s="155">
        <f>+IF(OR($Q111=Parametres!$G$2,$Q111=Parametres!$G$3),I111,C111)</f>
        <v>-47653.48</v>
      </c>
      <c r="O111" s="155">
        <f>+IF(OR($Q111=Parametres!$G$2,$Q111=Parametres!$G$3),J111,D111)</f>
        <v>-180</v>
      </c>
      <c r="P111" s="155">
        <f>+IF(OR($Q111=Parametres!$G$2,$Q111=Parametres!$G$3),K111,E111)</f>
        <v>-47833.48</v>
      </c>
      <c r="Q111" s="154" t="str">
        <f t="shared" si="7"/>
        <v>2-Actifs</v>
      </c>
      <c r="R111" s="153" t="str">
        <f t="shared" si="8"/>
        <v>1700</v>
      </c>
      <c r="S111" s="154">
        <f t="shared" si="9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4" t="s">
        <v>2406</v>
      </c>
      <c r="B112" s="1014" t="s">
        <v>2407</v>
      </c>
      <c r="C112" s="1016">
        <v>155280.23000000001</v>
      </c>
      <c r="D112" s="1016">
        <v>0</v>
      </c>
      <c r="E112" s="1016">
        <v>155280.23000000001</v>
      </c>
      <c r="F112" s="1014" t="s">
        <v>293</v>
      </c>
      <c r="G112" s="1014" t="s">
        <v>2128</v>
      </c>
      <c r="H112" s="150"/>
      <c r="I112" s="157"/>
      <c r="J112" s="157"/>
      <c r="K112" s="157"/>
      <c r="L112" s="153" t="str">
        <f t="shared" si="5"/>
        <v>1760</v>
      </c>
      <c r="M112" s="154" t="str">
        <f t="shared" si="6"/>
        <v>EQUIPEMENT TELEPHONIQUE</v>
      </c>
      <c r="N112" s="155">
        <f>+IF(OR($Q112=Parametres!$G$2,$Q112=Parametres!$G$3),I112,C112)</f>
        <v>155280.23000000001</v>
      </c>
      <c r="O112" s="576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7"/>
        <v>2-Actifs</v>
      </c>
      <c r="R112" s="153" t="str">
        <f t="shared" si="8"/>
        <v>1700</v>
      </c>
      <c r="S112" s="154">
        <f t="shared" si="9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4" t="s">
        <v>2570</v>
      </c>
      <c r="B113" s="1014" t="s">
        <v>2571</v>
      </c>
      <c r="C113" s="1016">
        <v>-155240.23000000001</v>
      </c>
      <c r="D113" s="1016">
        <v>20</v>
      </c>
      <c r="E113" s="1016">
        <v>-155220.23000000001</v>
      </c>
      <c r="F113" s="1014" t="s">
        <v>293</v>
      </c>
      <c r="G113" s="1014" t="s">
        <v>2128</v>
      </c>
      <c r="H113" s="150"/>
      <c r="I113" s="157"/>
      <c r="J113" s="157"/>
      <c r="K113" s="157"/>
      <c r="L113" s="153" t="str">
        <f t="shared" si="5"/>
        <v>1761</v>
      </c>
      <c r="M113" s="154" t="str">
        <f t="shared" si="6"/>
        <v>AMORTISS.EQUIP.TELEPHONIQUES</v>
      </c>
      <c r="N113" s="155">
        <f>+IF(OR($Q113=Parametres!$G$2,$Q113=Parametres!$G$3),I113,C113)</f>
        <v>-155240.23000000001</v>
      </c>
      <c r="O113" s="155">
        <f>+IF(OR($Q113=Parametres!$G$2,$Q113=Parametres!$G$3),J113,D113)</f>
        <v>20</v>
      </c>
      <c r="P113" s="155">
        <f>+IF(OR($Q113=Parametres!$G$2,$Q113=Parametres!$G$3),K113,E113)</f>
        <v>-155220.23000000001</v>
      </c>
      <c r="Q113" s="154" t="str">
        <f t="shared" si="7"/>
        <v>2-Actifs</v>
      </c>
      <c r="R113" s="153" t="str">
        <f t="shared" si="8"/>
        <v>1700</v>
      </c>
      <c r="S113" s="154">
        <f t="shared" si="9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4" t="s">
        <v>2408</v>
      </c>
      <c r="B114" s="1014" t="s">
        <v>2409</v>
      </c>
      <c r="C114" s="1016">
        <v>433206.49</v>
      </c>
      <c r="D114" s="1016">
        <v>0</v>
      </c>
      <c r="E114" s="1016">
        <v>433206.49</v>
      </c>
      <c r="F114" s="1014" t="s">
        <v>293</v>
      </c>
      <c r="G114" s="1014" t="s">
        <v>2128</v>
      </c>
      <c r="H114" s="949"/>
      <c r="I114" s="948"/>
      <c r="J114" s="948"/>
      <c r="K114" s="948"/>
      <c r="L114" s="153" t="str">
        <f t="shared" si="5"/>
        <v>1762</v>
      </c>
      <c r="M114" s="154" t="str">
        <f t="shared" si="6"/>
        <v>AMEUBLEMENT &amp; INSTR.</v>
      </c>
      <c r="N114" s="155">
        <f>+IF(OR($Q114=Parametres!$G$2,$Q114=Parametres!$G$3),I114,C114)</f>
        <v>433206.49</v>
      </c>
      <c r="O114" s="155">
        <f>+IF(OR($Q114=Parametres!$G$2,$Q114=Parametres!$G$3),J114,D114)</f>
        <v>0</v>
      </c>
      <c r="P114" s="155">
        <f>+IF(OR($Q114=Parametres!$G$2,$Q114=Parametres!$G$3),K114,E114)</f>
        <v>433206.49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4" t="s">
        <v>2163</v>
      </c>
      <c r="B115" s="1014" t="s">
        <v>2164</v>
      </c>
      <c r="C115" s="1016">
        <v>-398742.54</v>
      </c>
      <c r="D115" s="1016">
        <v>-1250</v>
      </c>
      <c r="E115" s="1016">
        <v>-399992.54</v>
      </c>
      <c r="F115" s="1014" t="s">
        <v>293</v>
      </c>
      <c r="G115" s="1014" t="s">
        <v>2128</v>
      </c>
      <c r="H115" s="949"/>
      <c r="I115" s="948"/>
      <c r="J115" s="948"/>
      <c r="K115" s="948"/>
      <c r="L115" s="153" t="str">
        <f t="shared" si="5"/>
        <v>1763</v>
      </c>
      <c r="M115" s="154" t="str">
        <f t="shared" si="6"/>
        <v>AMORTISS.AMEUBL.INSTR.</v>
      </c>
      <c r="N115" s="155">
        <f>+IF(OR($Q115=Parametres!$G$2,$Q115=Parametres!$G$3),I115,C115)</f>
        <v>-398742.54</v>
      </c>
      <c r="O115" s="155">
        <f>+IF(OR($Q115=Parametres!$G$2,$Q115=Parametres!$G$3),J115,D115)</f>
        <v>-1250</v>
      </c>
      <c r="P115" s="155">
        <f>+IF(OR($Q115=Parametres!$G$2,$Q115=Parametres!$G$3),K115,E115)</f>
        <v>-399992.54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4" t="s">
        <v>2410</v>
      </c>
      <c r="B116" s="1014" t="s">
        <v>2411</v>
      </c>
      <c r="C116" s="1016">
        <v>3987.88</v>
      </c>
      <c r="D116" s="1016">
        <v>0</v>
      </c>
      <c r="E116" s="1016">
        <v>3987.88</v>
      </c>
      <c r="F116" s="1014" t="s">
        <v>293</v>
      </c>
      <c r="G116" s="1014" t="s">
        <v>2128</v>
      </c>
      <c r="H116" s="949"/>
      <c r="I116" s="948"/>
      <c r="J116" s="948"/>
      <c r="K116" s="948"/>
      <c r="L116" s="153" t="str">
        <f t="shared" si="5"/>
        <v>1772</v>
      </c>
      <c r="M116" s="154" t="str">
        <f t="shared" si="6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7"/>
        <v>2-Actifs</v>
      </c>
      <c r="R116" s="153" t="str">
        <f t="shared" si="8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4" t="s">
        <v>2412</v>
      </c>
      <c r="B117" s="1014" t="s">
        <v>2413</v>
      </c>
      <c r="C117" s="1016">
        <v>-3987.88</v>
      </c>
      <c r="D117" s="1016">
        <v>0</v>
      </c>
      <c r="E117" s="1016">
        <v>-3987.88</v>
      </c>
      <c r="F117" s="1014" t="s">
        <v>293</v>
      </c>
      <c r="G117" s="1014" t="s">
        <v>2128</v>
      </c>
      <c r="H117" s="949"/>
      <c r="I117" s="948"/>
      <c r="J117" s="948"/>
      <c r="K117" s="948"/>
      <c r="L117" s="153" t="str">
        <f t="shared" si="5"/>
        <v>1773</v>
      </c>
      <c r="M117" s="154" t="str">
        <f t="shared" si="6"/>
        <v>DEPRECIATION &amp; AMORT.</v>
      </c>
      <c r="N117" s="155">
        <f>+IF(OR($Q117=Parametres!$G$2,$Q117=Parametres!$G$3),I117,C117)</f>
        <v>-3987.88</v>
      </c>
      <c r="O117" s="155">
        <f>+IF(OR($Q117=Parametres!$G$2,$Q117=Parametres!$G$3),J117,D117)</f>
        <v>0</v>
      </c>
      <c r="P117" s="155">
        <f>+IF(OR($Q117=Parametres!$G$2,$Q117=Parametres!$G$3),K117,E117)</f>
        <v>-3987.88</v>
      </c>
      <c r="Q117" s="154" t="str">
        <f t="shared" si="7"/>
        <v>2-Actifs</v>
      </c>
      <c r="R117" s="153" t="str">
        <f t="shared" si="8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4" t="s">
        <v>2568</v>
      </c>
      <c r="B118" s="1014" t="s">
        <v>2569</v>
      </c>
      <c r="C118" s="1016">
        <v>270585.31</v>
      </c>
      <c r="D118" s="1016">
        <v>934.96</v>
      </c>
      <c r="E118" s="1016">
        <v>271520.27</v>
      </c>
      <c r="F118" s="1014" t="s">
        <v>293</v>
      </c>
      <c r="G118" s="1014" t="s">
        <v>2128</v>
      </c>
      <c r="H118" s="150"/>
      <c r="I118" s="151"/>
      <c r="J118" s="151"/>
      <c r="K118" s="151"/>
      <c r="L118" s="153" t="str">
        <f t="shared" si="5"/>
        <v>1786</v>
      </c>
      <c r="M118" s="154" t="str">
        <f t="shared" si="6"/>
        <v>EQUIPEMENT INFORMATIQUE</v>
      </c>
      <c r="N118" s="155">
        <f>+IF(OR($Q118=Parametres!$G$2,$Q118=Parametres!$G$3),I118,C118)</f>
        <v>270585.31</v>
      </c>
      <c r="O118" s="155">
        <f>+IF(OR($Q118=Parametres!$G$2,$Q118=Parametres!$G$3),J118,D118)</f>
        <v>934.96</v>
      </c>
      <c r="P118" s="155">
        <f>+IF(OR($Q118=Parametres!$G$2,$Q118=Parametres!$G$3),K118,E118)</f>
        <v>271520.27</v>
      </c>
      <c r="Q118" s="154" t="str">
        <f t="shared" si="7"/>
        <v>2-Actifs</v>
      </c>
      <c r="R118" s="153" t="str">
        <f t="shared" si="8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4" t="s">
        <v>2154</v>
      </c>
      <c r="B119" s="1014" t="s">
        <v>2155</v>
      </c>
      <c r="C119" s="1016">
        <v>-248044.65</v>
      </c>
      <c r="D119" s="1016">
        <v>-1870</v>
      </c>
      <c r="E119" s="1016">
        <v>-249914.65</v>
      </c>
      <c r="F119" s="1014" t="s">
        <v>293</v>
      </c>
      <c r="G119" s="1014" t="s">
        <v>2128</v>
      </c>
      <c r="H119" s="150"/>
      <c r="I119" s="157"/>
      <c r="J119" s="157"/>
      <c r="K119" s="157"/>
      <c r="L119" s="153" t="str">
        <f t="shared" si="5"/>
        <v>1787</v>
      </c>
      <c r="M119" s="154" t="str">
        <f t="shared" si="6"/>
        <v>AMORTISS.EQUIP.INFORMATIQUES</v>
      </c>
      <c r="N119" s="155">
        <f>+IF(OR($Q119=Parametres!$G$2,$Q119=Parametres!$G$3),I119,C119)</f>
        <v>-248044.65</v>
      </c>
      <c r="O119" s="575">
        <f>+IF(OR($Q119=Parametres!$G$2,$Q119=Parametres!$G$3),J119,D119)</f>
        <v>-1870</v>
      </c>
      <c r="P119" s="155">
        <f>+IF(OR($Q119=Parametres!$G$2,$Q119=Parametres!$G$3),K119,E119)</f>
        <v>-249914.65</v>
      </c>
      <c r="Q119" s="154" t="str">
        <f t="shared" si="7"/>
        <v>2-Actifs</v>
      </c>
      <c r="R119" s="153" t="str">
        <f t="shared" si="8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4" t="s">
        <v>822</v>
      </c>
      <c r="B120" s="1014" t="s">
        <v>2414</v>
      </c>
      <c r="C120" s="1016">
        <v>119393.66</v>
      </c>
      <c r="D120" s="1016">
        <v>0</v>
      </c>
      <c r="E120" s="1016">
        <v>119393.66</v>
      </c>
      <c r="F120" s="1014" t="s">
        <v>293</v>
      </c>
      <c r="G120" s="1014" t="s">
        <v>2128</v>
      </c>
      <c r="H120" s="949"/>
      <c r="I120" s="948"/>
      <c r="J120" s="948"/>
      <c r="K120" s="948"/>
      <c r="L120" s="153" t="str">
        <f t="shared" si="5"/>
        <v>1792</v>
      </c>
      <c r="M120" s="154" t="str">
        <f t="shared" si="6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7"/>
        <v>2-Actifs</v>
      </c>
      <c r="R120" s="153" t="str">
        <f t="shared" si="8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4" t="s">
        <v>2195</v>
      </c>
      <c r="B121" s="1014" t="s">
        <v>2196</v>
      </c>
      <c r="C121" s="1016">
        <v>-119763.65</v>
      </c>
      <c r="D121" s="1016">
        <v>-185</v>
      </c>
      <c r="E121" s="1016">
        <v>-119948.65</v>
      </c>
      <c r="F121" s="1014" t="s">
        <v>293</v>
      </c>
      <c r="G121" s="1014" t="s">
        <v>2128</v>
      </c>
      <c r="H121" s="1015"/>
      <c r="I121" s="1015"/>
      <c r="J121" s="1015"/>
      <c r="K121" s="1015"/>
      <c r="L121" s="153" t="str">
        <f t="shared" si="5"/>
        <v>1793</v>
      </c>
      <c r="M121" s="154" t="str">
        <f t="shared" si="6"/>
        <v>AMORT. CUM. ENSEIGNES</v>
      </c>
      <c r="N121" s="155">
        <f>+IF(OR($Q121=Parametres!$G$2,$Q121=Parametres!$G$3),I121,C121)</f>
        <v>-119763.65</v>
      </c>
      <c r="O121" s="575">
        <f>+IF(OR($Q121=Parametres!$G$2,$Q121=Parametres!$G$3),J121,D121)</f>
        <v>-185</v>
      </c>
      <c r="P121" s="155">
        <f>+IF(OR($Q121=Parametres!$G$2,$Q121=Parametres!$G$3),K121,E121)</f>
        <v>-119948.65</v>
      </c>
      <c r="Q121" s="154" t="str">
        <f t="shared" si="7"/>
        <v>2-Actifs</v>
      </c>
      <c r="R121" s="153" t="str">
        <f t="shared" si="8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4" t="s">
        <v>2415</v>
      </c>
      <c r="B122" s="1014" t="s">
        <v>2416</v>
      </c>
      <c r="C122" s="1016">
        <v>1623600</v>
      </c>
      <c r="D122" s="1016">
        <v>0</v>
      </c>
      <c r="E122" s="1016">
        <v>1623600</v>
      </c>
      <c r="F122" s="1014" t="s">
        <v>293</v>
      </c>
      <c r="G122" s="1014" t="s">
        <v>2416</v>
      </c>
      <c r="H122" s="1015"/>
      <c r="I122" s="1015"/>
      <c r="J122" s="1015"/>
      <c r="K122" s="1015"/>
      <c r="L122" s="153" t="str">
        <f t="shared" si="5"/>
        <v>1804</v>
      </c>
      <c r="M122" s="154" t="str">
        <f t="shared" si="6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7"/>
        <v>2-Actifs</v>
      </c>
      <c r="R122" s="153" t="str">
        <f t="shared" si="8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4" t="s">
        <v>2752</v>
      </c>
      <c r="B123" s="1014" t="s">
        <v>2753</v>
      </c>
      <c r="C123" s="1016">
        <v>9738.31</v>
      </c>
      <c r="D123" s="1016">
        <v>5266.88</v>
      </c>
      <c r="E123" s="1016">
        <v>15005.19</v>
      </c>
      <c r="F123" s="1014" t="s">
        <v>293</v>
      </c>
      <c r="G123" s="1014" t="s">
        <v>2623</v>
      </c>
      <c r="H123" s="1015"/>
      <c r="I123" s="1015"/>
      <c r="J123" s="1015"/>
      <c r="K123" s="1015"/>
      <c r="L123" s="153" t="str">
        <f t="shared" si="5"/>
        <v>1806</v>
      </c>
      <c r="M123" s="154" t="str">
        <f t="shared" si="6"/>
        <v>FINANCEMENT RECEVABLE</v>
      </c>
      <c r="N123" s="155">
        <f>+IF(OR($Q123=Parametres!$G$2,$Q123=Parametres!$G$3),I123,C123)</f>
        <v>9738.31</v>
      </c>
      <c r="O123" s="155">
        <f>+IF(OR($Q123=Parametres!$G$2,$Q123=Parametres!$G$3),J123,D123)</f>
        <v>5266.88</v>
      </c>
      <c r="P123" s="155">
        <f>+IF(OR($Q123=Parametres!$G$2,$Q123=Parametres!$G$3),K123,E123)</f>
        <v>15005.19</v>
      </c>
      <c r="Q123" s="154" t="str">
        <f t="shared" si="7"/>
        <v>2-Actifs</v>
      </c>
      <c r="R123" s="153" t="str">
        <f t="shared" si="8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4" t="s">
        <v>2846</v>
      </c>
      <c r="B124" s="1014" t="s">
        <v>2847</v>
      </c>
      <c r="C124" s="1016">
        <v>-7392168.4000000004</v>
      </c>
      <c r="D124" s="1016">
        <v>355624.87</v>
      </c>
      <c r="E124" s="1016">
        <v>-7036543.5300000003</v>
      </c>
      <c r="F124" s="1014" t="s">
        <v>282</v>
      </c>
      <c r="G124" s="1014" t="s">
        <v>2847</v>
      </c>
      <c r="H124" s="1015"/>
      <c r="I124" s="1015"/>
      <c r="J124" s="1015"/>
      <c r="K124" s="1015"/>
      <c r="L124" s="153" t="str">
        <f t="shared" si="5"/>
        <v>2101</v>
      </c>
      <c r="M124" s="154" t="str">
        <f t="shared" si="6"/>
        <v>NOTE A PAYER VEH. NEUFS VOLKS</v>
      </c>
      <c r="N124" s="155">
        <f>+IF(OR($Q124=Parametres!$G$2,$Q124=Parametres!$G$3),I124,C124)</f>
        <v>-7392168.4000000004</v>
      </c>
      <c r="O124" s="155">
        <f>+IF(OR($Q124=Parametres!$G$2,$Q124=Parametres!$G$3),J124,D124)</f>
        <v>355624.87</v>
      </c>
      <c r="P124" s="155">
        <f>+IF(OR($Q124=Parametres!$G$2,$Q124=Parametres!$G$3),K124,E124)</f>
        <v>-7036543.5300000003</v>
      </c>
      <c r="Q124" s="154" t="str">
        <f t="shared" si="7"/>
        <v>3-Passifs</v>
      </c>
      <c r="R124" s="153" t="str">
        <f t="shared" si="8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4" t="s">
        <v>2036</v>
      </c>
      <c r="B125" s="1014" t="s">
        <v>2037</v>
      </c>
      <c r="C125" s="1016">
        <v>-449932.75</v>
      </c>
      <c r="D125" s="1016">
        <v>163415.67000000001</v>
      </c>
      <c r="E125" s="1016">
        <v>-286517.08</v>
      </c>
      <c r="F125" s="1014" t="s">
        <v>282</v>
      </c>
      <c r="G125" s="1014" t="s">
        <v>2037</v>
      </c>
      <c r="H125" s="1015"/>
      <c r="I125" s="1015"/>
      <c r="J125" s="1015"/>
      <c r="K125" s="1015"/>
      <c r="L125" s="153" t="str">
        <f t="shared" si="5"/>
        <v>2103</v>
      </c>
      <c r="M125" s="154" t="str">
        <f t="shared" si="6"/>
        <v>NOTE PAYABLE-FIN. VEH. USAG.</v>
      </c>
      <c r="N125" s="155">
        <f>+IF(OR($Q125=Parametres!$G$2,$Q125=Parametres!$G$3),I125,C125)</f>
        <v>-449932.75</v>
      </c>
      <c r="O125" s="575">
        <f>+IF(OR($Q125=Parametres!$G$2,$Q125=Parametres!$G$3),J125,D125)</f>
        <v>163415.67000000001</v>
      </c>
      <c r="P125" s="155">
        <f>+IF(OR($Q125=Parametres!$G$2,$Q125=Parametres!$G$3),K125,E125)</f>
        <v>-286517.08</v>
      </c>
      <c r="Q125" s="154" t="str">
        <f t="shared" si="7"/>
        <v>3-Passifs</v>
      </c>
      <c r="R125" s="153" t="str">
        <f t="shared" si="8"/>
        <v>2103</v>
      </c>
      <c r="S125" s="154">
        <f t="shared" si="9"/>
        <v>0</v>
      </c>
      <c r="T125" s="156" t="str">
        <f>+VLOOKUP($L125,Data_Validation!$A:$D,1,0)</f>
        <v>2103</v>
      </c>
      <c r="U125" s="156" t="str">
        <f>+VLOOKUP($L125,Data_Validation!$A:$D,3,0)</f>
        <v>Bilan</v>
      </c>
      <c r="V125" s="156" t="str">
        <f>+VLOOKUP($L125,Data_Validation!$A:$D,4,0)</f>
        <v>Effet à Payer Véhicules Usagés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4" t="s">
        <v>2417</v>
      </c>
      <c r="B126" s="1014" t="s">
        <v>2418</v>
      </c>
      <c r="C126" s="1016">
        <v>-15810</v>
      </c>
      <c r="D126" s="1016">
        <v>0</v>
      </c>
      <c r="E126" s="1016">
        <v>-15810</v>
      </c>
      <c r="F126" s="1014" t="s">
        <v>282</v>
      </c>
      <c r="G126" s="1014" t="s">
        <v>2418</v>
      </c>
      <c r="H126" s="1015"/>
      <c r="I126" s="1015"/>
      <c r="J126" s="1015"/>
      <c r="K126" s="1015"/>
      <c r="L126" s="153" t="str">
        <f t="shared" si="5"/>
        <v>2131</v>
      </c>
      <c r="M126" s="154" t="str">
        <f t="shared" si="6"/>
        <v>PORTION COURANTE PRET</v>
      </c>
      <c r="N126" s="155">
        <f>+IF(OR($Q126=Parametres!$G$2,$Q126=Parametres!$G$3),I126,C126)</f>
        <v>-15810</v>
      </c>
      <c r="O126" s="155">
        <f>+IF(OR($Q126=Parametres!$G$2,$Q126=Parametres!$G$3),J126,D126)</f>
        <v>0</v>
      </c>
      <c r="P126" s="155">
        <f>+IF(OR($Q126=Parametres!$G$2,$Q126=Parametres!$G$3),K126,E126)</f>
        <v>-15810</v>
      </c>
      <c r="Q126" s="154" t="str">
        <f t="shared" si="7"/>
        <v>3-Passifs</v>
      </c>
      <c r="R126" s="153" t="str">
        <f t="shared" si="8"/>
        <v>2131</v>
      </c>
      <c r="S126" s="154">
        <f t="shared" si="9"/>
        <v>0</v>
      </c>
      <c r="T126" s="156" t="str">
        <f>+VLOOKUP($L126,Data_Validation!$A:$D,1,0)</f>
        <v>2131</v>
      </c>
      <c r="U126" s="156" t="str">
        <f>+VLOOKUP($L126,Data_Validation!$A:$D,3,0)</f>
        <v>Bilan</v>
      </c>
      <c r="V126" s="156" t="str">
        <f>+VLOOKUP($L126,Data_Validation!$A:$D,4,0)</f>
        <v>Portion Court Terme de la Dette Long Terme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4" t="s">
        <v>2203</v>
      </c>
      <c r="B127" s="1014" t="s">
        <v>2204</v>
      </c>
      <c r="C127" s="1016">
        <v>-143.61000000000001</v>
      </c>
      <c r="D127" s="1016">
        <v>-500.61</v>
      </c>
      <c r="E127" s="1016">
        <v>-644.22</v>
      </c>
      <c r="F127" s="1014" t="s">
        <v>282</v>
      </c>
      <c r="G127" s="1014" t="s">
        <v>2204</v>
      </c>
      <c r="H127" s="1015"/>
      <c r="I127" s="1015"/>
      <c r="J127" s="1015"/>
      <c r="K127" s="1015"/>
      <c r="L127" s="153" t="str">
        <f t="shared" si="5"/>
        <v>2220</v>
      </c>
      <c r="M127" s="579" t="str">
        <f t="shared" si="6"/>
        <v>TPA A PAYER</v>
      </c>
      <c r="N127" s="155">
        <f>+IF(OR($Q127=Parametres!$G$2,$Q127=Parametres!$G$3),I127,C127)</f>
        <v>-143.61000000000001</v>
      </c>
      <c r="O127" s="580">
        <f>+IF(OR($Q127=Parametres!$G$2,$Q127=Parametres!$G$3),J127,D127)</f>
        <v>-500.61</v>
      </c>
      <c r="P127" s="581">
        <f>+IF(OR($Q127=Parametres!$G$2,$Q127=Parametres!$G$3),K127,E127)</f>
        <v>-644.22</v>
      </c>
      <c r="Q127" s="154" t="str">
        <f t="shared" si="7"/>
        <v>3-Passifs</v>
      </c>
      <c r="R127" s="153" t="str">
        <f t="shared" si="8"/>
        <v>2220</v>
      </c>
      <c r="S127" s="154">
        <f t="shared" si="9"/>
        <v>0</v>
      </c>
      <c r="T127" s="156" t="str">
        <f>+VLOOKUP($L127,Data_Validation!$A:$D,1,0)</f>
        <v>2220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4" t="s">
        <v>2056</v>
      </c>
      <c r="B128" s="1014" t="s">
        <v>2057</v>
      </c>
      <c r="C128" s="1016">
        <v>-50535.81</v>
      </c>
      <c r="D128" s="1016">
        <v>-32108.03</v>
      </c>
      <c r="E128" s="1016">
        <v>-82643.839999999997</v>
      </c>
      <c r="F128" s="1014" t="s">
        <v>282</v>
      </c>
      <c r="G128" s="1014" t="s">
        <v>2057</v>
      </c>
      <c r="H128" s="1015"/>
      <c r="I128" s="1015"/>
      <c r="J128" s="1015"/>
      <c r="K128" s="1015"/>
      <c r="L128" s="153" t="str">
        <f t="shared" si="5"/>
        <v>2221</v>
      </c>
      <c r="M128" s="154" t="str">
        <f t="shared" si="6"/>
        <v>TVQ A PAYER</v>
      </c>
      <c r="N128" s="155">
        <f>+IF(OR($Q128=Parametres!$G$2,$Q128=Parametres!$G$3),I128,C128)</f>
        <v>-50535.81</v>
      </c>
      <c r="O128" s="155">
        <f>+IF(OR($Q128=Parametres!$G$2,$Q128=Parametres!$G$3),J128,D128)</f>
        <v>-32108.03</v>
      </c>
      <c r="P128" s="155">
        <f>+IF(OR($Q128=Parametres!$G$2,$Q128=Parametres!$G$3),K128,E128)</f>
        <v>-82643.839999999997</v>
      </c>
      <c r="Q128" s="154" t="str">
        <f t="shared" si="7"/>
        <v>3-Passifs</v>
      </c>
      <c r="R128" s="153" t="str">
        <f t="shared" si="8"/>
        <v>2221</v>
      </c>
      <c r="S128" s="154">
        <f t="shared" si="9"/>
        <v>0</v>
      </c>
      <c r="T128" s="156" t="str">
        <f>+VLOOKUP($L128,Data_Validation!$A:$D,1,0)</f>
        <v>2221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4" t="s">
        <v>2796</v>
      </c>
      <c r="B129" s="1014" t="s">
        <v>2797</v>
      </c>
      <c r="C129" s="1016">
        <v>31539.4</v>
      </c>
      <c r="D129" s="1016">
        <v>14708.91</v>
      </c>
      <c r="E129" s="1016">
        <v>46248.31</v>
      </c>
      <c r="F129" s="1014" t="s">
        <v>282</v>
      </c>
      <c r="G129" s="1014" t="s">
        <v>2057</v>
      </c>
      <c r="H129" s="1015"/>
      <c r="I129" s="1015"/>
      <c r="J129" s="1015"/>
      <c r="K129" s="1015"/>
      <c r="L129" s="153" t="str">
        <f t="shared" si="5"/>
        <v>2222</v>
      </c>
      <c r="M129" s="154" t="str">
        <f t="shared" si="6"/>
        <v>TVQ A RECEVOIR</v>
      </c>
      <c r="N129" s="155">
        <f>+IF(OR($Q129=Parametres!$G$2,$Q129=Parametres!$G$3),I129,C129)</f>
        <v>31539.4</v>
      </c>
      <c r="O129" s="155">
        <f>+IF(OR($Q129=Parametres!$G$2,$Q129=Parametres!$G$3),J129,D129)</f>
        <v>14708.91</v>
      </c>
      <c r="P129" s="155">
        <f>+IF(OR($Q129=Parametres!$G$2,$Q129=Parametres!$G$3),K129,E129)</f>
        <v>46248.31</v>
      </c>
      <c r="Q129" s="154" t="str">
        <f t="shared" si="7"/>
        <v>3-Passifs</v>
      </c>
      <c r="R129" s="153" t="str">
        <f t="shared" si="8"/>
        <v>2221</v>
      </c>
      <c r="S129" s="154">
        <f t="shared" si="9"/>
        <v>0</v>
      </c>
      <c r="T129" s="156" t="str">
        <f>+VLOOKUP($L129,Data_Validation!$A:$D,1,0)</f>
        <v>2222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4" t="s">
        <v>2813</v>
      </c>
      <c r="B130" s="1014" t="s">
        <v>2066</v>
      </c>
      <c r="C130" s="1016">
        <v>-176734.33</v>
      </c>
      <c r="D130" s="1016">
        <v>-142757.97</v>
      </c>
      <c r="E130" s="1016">
        <v>-319492.3</v>
      </c>
      <c r="F130" s="1014" t="s">
        <v>282</v>
      </c>
      <c r="G130" s="1014" t="s">
        <v>2066</v>
      </c>
      <c r="H130" s="1015"/>
      <c r="I130" s="1015"/>
      <c r="J130" s="1015"/>
      <c r="K130" s="1015"/>
      <c r="L130" s="153" t="str">
        <f t="shared" ref="L130:L162" si="10">+B130</f>
        <v>2223</v>
      </c>
      <c r="M130" s="154" t="str">
        <f t="shared" ref="M130:M162" si="11">+A130</f>
        <v>TPS A PAYER</v>
      </c>
      <c r="N130" s="155">
        <f>+IF(OR($Q130=Parametres!$G$2,$Q130=Parametres!$G$3),I130,C130)</f>
        <v>-176734.33</v>
      </c>
      <c r="O130" s="155">
        <f>+IF(OR($Q130=Parametres!$G$2,$Q130=Parametres!$G$3),J130,D130)</f>
        <v>-142757.97</v>
      </c>
      <c r="P130" s="155">
        <f>+IF(OR($Q130=Parametres!$G$2,$Q130=Parametres!$G$3),K130,E130)</f>
        <v>-319492.3</v>
      </c>
      <c r="Q130" s="154" t="str">
        <f t="shared" ref="Q130:Q162" si="12">+F130</f>
        <v>3-Passifs</v>
      </c>
      <c r="R130" s="153" t="str">
        <f t="shared" ref="R130:R162" si="13">+G130</f>
        <v>2223</v>
      </c>
      <c r="S130" s="154">
        <f t="shared" ref="S130:S162" si="14">+H130</f>
        <v>0</v>
      </c>
      <c r="T130" s="156" t="str">
        <f>+VLOOKUP($L130,Data_Validation!$A:$D,1,0)</f>
        <v>2223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4" t="s">
        <v>2064</v>
      </c>
      <c r="B131" s="1014" t="s">
        <v>2065</v>
      </c>
      <c r="C131" s="1016">
        <v>254732.44</v>
      </c>
      <c r="D131" s="1016">
        <v>24343.62</v>
      </c>
      <c r="E131" s="1016">
        <v>279076.06</v>
      </c>
      <c r="F131" s="1014" t="s">
        <v>282</v>
      </c>
      <c r="G131" s="1014" t="s">
        <v>2066</v>
      </c>
      <c r="H131" s="1015"/>
      <c r="I131" s="1015"/>
      <c r="J131" s="1015"/>
      <c r="K131" s="1015"/>
      <c r="L131" s="153" t="str">
        <f t="shared" si="10"/>
        <v>2224</v>
      </c>
      <c r="M131" s="154" t="str">
        <f t="shared" si="11"/>
        <v>TPS A RECEVOIR</v>
      </c>
      <c r="N131" s="155">
        <f>+IF(OR($Q131=Parametres!$G$2,$Q131=Parametres!$G$3),I131,C131)</f>
        <v>254732.44</v>
      </c>
      <c r="O131" s="155">
        <f>+IF(OR($Q131=Parametres!$G$2,$Q131=Parametres!$G$3),J131,D131)</f>
        <v>24343.62</v>
      </c>
      <c r="P131" s="155">
        <f>+IF(OR($Q131=Parametres!$G$2,$Q131=Parametres!$G$3),K131,E131)</f>
        <v>279076.06</v>
      </c>
      <c r="Q131" s="154" t="str">
        <f t="shared" si="12"/>
        <v>3-Passifs</v>
      </c>
      <c r="R131" s="153" t="str">
        <f t="shared" si="13"/>
        <v>2223</v>
      </c>
      <c r="S131" s="154">
        <f t="shared" si="14"/>
        <v>0</v>
      </c>
      <c r="T131" s="156" t="str">
        <f>+VLOOKUP($L131,Data_Validation!$A:$D,1,0)</f>
        <v>2224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4" t="s">
        <v>2616</v>
      </c>
      <c r="B132" s="1014" t="s">
        <v>2617</v>
      </c>
      <c r="C132" s="1016">
        <v>-1170</v>
      </c>
      <c r="D132" s="1016">
        <v>-489</v>
      </c>
      <c r="E132" s="1016">
        <v>-1659</v>
      </c>
      <c r="F132" s="1014" t="s">
        <v>282</v>
      </c>
      <c r="G132" s="1014" t="s">
        <v>2057</v>
      </c>
      <c r="H132" s="1015"/>
      <c r="I132" s="1015"/>
      <c r="J132" s="1015"/>
      <c r="K132" s="1015"/>
      <c r="L132" s="153" t="str">
        <f t="shared" si="10"/>
        <v>2225</v>
      </c>
      <c r="M132" s="154" t="str">
        <f t="shared" si="11"/>
        <v>DROIT SUR PNEUS</v>
      </c>
      <c r="N132" s="155">
        <f>+IF(OR($Q132=Parametres!$G$2,$Q132=Parametres!$G$3),I132,C132)</f>
        <v>-1170</v>
      </c>
      <c r="O132" s="155">
        <f>+IF(OR($Q132=Parametres!$G$2,$Q132=Parametres!$G$3),J132,D132)</f>
        <v>-489</v>
      </c>
      <c r="P132" s="155">
        <f>+IF(OR($Q132=Parametres!$G$2,$Q132=Parametres!$G$3),K132,E132)</f>
        <v>-1659</v>
      </c>
      <c r="Q132" s="154" t="str">
        <f t="shared" si="12"/>
        <v>3-Passifs</v>
      </c>
      <c r="R132" s="153" t="str">
        <f t="shared" si="13"/>
        <v>2221</v>
      </c>
      <c r="S132" s="154">
        <f t="shared" si="14"/>
        <v>0</v>
      </c>
      <c r="T132" s="156" t="str">
        <f>+VLOOKUP($L132,Data_Validation!$A:$D,1,0)</f>
        <v>2225</v>
      </c>
      <c r="U132" s="156" t="str">
        <f>+VLOOKUP($L132,Data_Validation!$A:$D,3,0)</f>
        <v>Bilan</v>
      </c>
      <c r="V132" s="156" t="str">
        <f>+VLOOKUP($L132,Data_Validation!$A:$D,4,0)</f>
        <v>Taxes de Vente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4" t="s">
        <v>2818</v>
      </c>
      <c r="B133" s="1014" t="s">
        <v>2819</v>
      </c>
      <c r="C133" s="1016">
        <v>-276030.46999999997</v>
      </c>
      <c r="D133" s="1016">
        <v>-202845.72</v>
      </c>
      <c r="E133" s="1016">
        <v>-478876.19</v>
      </c>
      <c r="F133" s="1014" t="s">
        <v>282</v>
      </c>
      <c r="G133" s="1014" t="s">
        <v>2134</v>
      </c>
      <c r="H133" s="1015"/>
      <c r="I133" s="1015"/>
      <c r="J133" s="1015"/>
      <c r="K133" s="1015"/>
      <c r="L133" s="153" t="str">
        <f t="shared" si="10"/>
        <v>2281</v>
      </c>
      <c r="M133" s="154" t="str">
        <f t="shared" si="11"/>
        <v>LIEN A PAYER</v>
      </c>
      <c r="N133" s="155">
        <f>+IF(OR($Q133=Parametres!$G$2,$Q133=Parametres!$G$3),I133,C133)</f>
        <v>-276030.46999999997</v>
      </c>
      <c r="O133" s="155">
        <f>+IF(OR($Q133=Parametres!$G$2,$Q133=Parametres!$G$3),J133,D133)</f>
        <v>-202845.72</v>
      </c>
      <c r="P133" s="155">
        <f>+IF(OR($Q133=Parametres!$G$2,$Q133=Parametres!$G$3),K133,E133)</f>
        <v>-478876.19</v>
      </c>
      <c r="Q133" s="154" t="str">
        <f t="shared" si="12"/>
        <v>3-Passifs</v>
      </c>
      <c r="R133" s="153" t="str">
        <f t="shared" si="13"/>
        <v>2283</v>
      </c>
      <c r="S133" s="154">
        <f t="shared" si="14"/>
        <v>0</v>
      </c>
      <c r="T133" s="156" t="str">
        <f>+VLOOKUP($L133,Data_Validation!$A:$D,1,0)</f>
        <v>2281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4" t="s">
        <v>2173</v>
      </c>
      <c r="B134" s="1014" t="s">
        <v>2134</v>
      </c>
      <c r="C134" s="1016">
        <v>-920</v>
      </c>
      <c r="D134" s="1016">
        <v>77.5</v>
      </c>
      <c r="E134" s="1016">
        <v>-842.5</v>
      </c>
      <c r="F134" s="1014" t="s">
        <v>282</v>
      </c>
      <c r="G134" s="1014" t="s">
        <v>2134</v>
      </c>
      <c r="H134" s="1015"/>
      <c r="I134" s="1015"/>
      <c r="J134" s="1015"/>
      <c r="K134" s="1015"/>
      <c r="L134" s="153" t="str">
        <f t="shared" si="10"/>
        <v>2283</v>
      </c>
      <c r="M134" s="154" t="str">
        <f t="shared" si="11"/>
        <v>PLAQUE A PAYER</v>
      </c>
      <c r="N134" s="155">
        <f>+IF(OR($Q134=Parametres!$G$2,$Q134=Parametres!$G$3),I134,C134)</f>
        <v>-920</v>
      </c>
      <c r="O134" s="155">
        <f>+IF(OR($Q134=Parametres!$G$2,$Q134=Parametres!$G$3),J134,D134)</f>
        <v>77.5</v>
      </c>
      <c r="P134" s="155">
        <f>+IF(OR($Q134=Parametres!$G$2,$Q134=Parametres!$G$3),K134,E134)</f>
        <v>-842.5</v>
      </c>
      <c r="Q134" s="154" t="str">
        <f t="shared" si="12"/>
        <v>3-Passifs</v>
      </c>
      <c r="R134" s="153" t="str">
        <f t="shared" si="13"/>
        <v>2283</v>
      </c>
      <c r="S134" s="154">
        <f t="shared" si="14"/>
        <v>0</v>
      </c>
      <c r="T134" s="156" t="str">
        <f>+VLOOKUP($L134,Data_Validation!$A:$D,1,0)</f>
        <v>2283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4" t="s">
        <v>2772</v>
      </c>
      <c r="B135" s="1014" t="s">
        <v>2773</v>
      </c>
      <c r="C135" s="1036">
        <v>-67556.929999999993</v>
      </c>
      <c r="D135" s="1036">
        <v>-13986.15</v>
      </c>
      <c r="E135" s="1036">
        <v>-81543.08</v>
      </c>
      <c r="F135" s="1014" t="s">
        <v>282</v>
      </c>
      <c r="G135" s="1014" t="s">
        <v>2134</v>
      </c>
      <c r="H135" s="1015"/>
      <c r="I135" s="1016"/>
      <c r="J135" s="1016"/>
      <c r="K135" s="1016"/>
      <c r="L135" s="153" t="str">
        <f t="shared" si="10"/>
        <v>2285</v>
      </c>
      <c r="M135" s="154" t="str">
        <f t="shared" si="11"/>
        <v>PROTECTIONS A PAYER</v>
      </c>
      <c r="N135" s="155">
        <f>+IF(OR($Q135=Parametres!$G$2,$Q135=Parametres!$G$3),I135,C135)</f>
        <v>-67556.929999999993</v>
      </c>
      <c r="O135" s="155">
        <f>+IF(OR($Q135=Parametres!$G$2,$Q135=Parametres!$G$3),J135,D135)</f>
        <v>-13986.15</v>
      </c>
      <c r="P135" s="155">
        <f>+IF(OR($Q135=Parametres!$G$2,$Q135=Parametres!$G$3),K135,E135)</f>
        <v>-81543.08</v>
      </c>
      <c r="Q135" s="154" t="str">
        <f t="shared" si="12"/>
        <v>3-Passifs</v>
      </c>
      <c r="R135" s="153" t="str">
        <f t="shared" si="13"/>
        <v>2283</v>
      </c>
      <c r="S135" s="154">
        <f t="shared" si="14"/>
        <v>0</v>
      </c>
      <c r="T135" s="156" t="str">
        <f>+VLOOKUP($L135,Data_Validation!$A:$D,1,0)</f>
        <v>2285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4" t="s">
        <v>2746</v>
      </c>
      <c r="B136" s="1014" t="s">
        <v>2747</v>
      </c>
      <c r="C136" s="1016">
        <v>-7944.87</v>
      </c>
      <c r="D136" s="1016">
        <v>-10489.23</v>
      </c>
      <c r="E136" s="1016">
        <v>-18434.099999999999</v>
      </c>
      <c r="F136" s="1014" t="s">
        <v>282</v>
      </c>
      <c r="G136" s="1014" t="s">
        <v>2134</v>
      </c>
      <c r="H136" s="1015"/>
      <c r="I136" s="1015"/>
      <c r="J136" s="1015"/>
      <c r="K136" s="1015"/>
      <c r="L136" s="153" t="str">
        <f t="shared" si="10"/>
        <v>2287</v>
      </c>
      <c r="M136" s="154" t="str">
        <f t="shared" si="11"/>
        <v>A PAYER INVAPLAN</v>
      </c>
      <c r="N136" s="155">
        <f>+IF(OR($Q136=Parametres!$G$2,$Q136=Parametres!$G$3),I136,C136)</f>
        <v>-7944.87</v>
      </c>
      <c r="O136" s="155">
        <f>+IF(OR($Q136=Parametres!$G$2,$Q136=Parametres!$G$3),J136,D136)</f>
        <v>-10489.23</v>
      </c>
      <c r="P136" s="155">
        <f>+IF(OR($Q136=Parametres!$G$2,$Q136=Parametres!$G$3),K136,E136)</f>
        <v>-18434.099999999999</v>
      </c>
      <c r="Q136" s="154" t="str">
        <f t="shared" si="12"/>
        <v>3-Passifs</v>
      </c>
      <c r="R136" s="153" t="str">
        <f t="shared" si="13"/>
        <v>2283</v>
      </c>
      <c r="S136" s="154">
        <f t="shared" si="14"/>
        <v>0</v>
      </c>
      <c r="T136" s="156" t="str">
        <f>+VLOOKUP($L136,Data_Validation!$A:$D,1,0)</f>
        <v>2287</v>
      </c>
      <c r="U136" s="156" t="str">
        <f>+VLOOKUP($L136,Data_Validation!$A:$D,3,0)</f>
        <v>Bilan</v>
      </c>
      <c r="V136" s="156" t="str">
        <f>+VLOOKUP($L136,Data_Validation!$A:$D,4,0)</f>
        <v>Autres Comptes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4" t="s">
        <v>2009</v>
      </c>
      <c r="B137" s="1014" t="s">
        <v>2010</v>
      </c>
      <c r="C137" s="1036">
        <v>-183582.68</v>
      </c>
      <c r="D137" s="1036">
        <v>108468.9</v>
      </c>
      <c r="E137" s="1036">
        <v>-75113.78</v>
      </c>
      <c r="F137" s="1014" t="s">
        <v>282</v>
      </c>
      <c r="G137" s="1014" t="s">
        <v>2010</v>
      </c>
      <c r="H137" s="1015"/>
      <c r="I137" s="1016"/>
      <c r="J137" s="1016"/>
      <c r="K137" s="1016"/>
      <c r="L137" s="153" t="str">
        <f t="shared" si="10"/>
        <v>2291</v>
      </c>
      <c r="M137" s="154" t="str">
        <f t="shared" si="11"/>
        <v>COMPTES FOURNISSEURS</v>
      </c>
      <c r="N137" s="155">
        <f>+IF(OR($Q137=Parametres!$G$2,$Q137=Parametres!$G$3),I137,C137)</f>
        <v>-183582.68</v>
      </c>
      <c r="O137" s="155">
        <f>+IF(OR($Q137=Parametres!$G$2,$Q137=Parametres!$G$3),J137,D137)</f>
        <v>108468.9</v>
      </c>
      <c r="P137" s="155">
        <f>+IF(OR($Q137=Parametres!$G$2,$Q137=Parametres!$G$3),K137,E137)</f>
        <v>-75113.78</v>
      </c>
      <c r="Q137" s="154" t="str">
        <f t="shared" si="12"/>
        <v>3-Passifs</v>
      </c>
      <c r="R137" s="153" t="str">
        <f t="shared" si="13"/>
        <v>2291</v>
      </c>
      <c r="S137" s="154">
        <f t="shared" si="14"/>
        <v>0</v>
      </c>
      <c r="T137" s="156" t="str">
        <f>+VLOOKUP($L137,Data_Validation!$A:$D,1,0)</f>
        <v>2291</v>
      </c>
      <c r="U137" s="156" t="str">
        <f>+VLOOKUP($L137,Data_Validation!$A:$D,3,0)</f>
        <v>Bilan</v>
      </c>
      <c r="V137" s="156" t="str">
        <f>+VLOOKUP($L137,Data_Validation!$A:$D,4,0)</f>
        <v>Comptes à Payer Fournisseurs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4" t="s">
        <v>2049</v>
      </c>
      <c r="B138" s="1014" t="s">
        <v>2050</v>
      </c>
      <c r="C138" s="1016">
        <v>-19000</v>
      </c>
      <c r="D138" s="1016">
        <v>-160903.70000000001</v>
      </c>
      <c r="E138" s="1016">
        <v>-179903.7</v>
      </c>
      <c r="F138" s="1014" t="s">
        <v>282</v>
      </c>
      <c r="G138" s="1014" t="s">
        <v>2010</v>
      </c>
      <c r="H138" s="1015"/>
      <c r="I138" s="1015"/>
      <c r="J138" s="1015"/>
      <c r="K138" s="1015"/>
      <c r="L138" s="153" t="str">
        <f t="shared" si="10"/>
        <v>2292</v>
      </c>
      <c r="M138" s="154" t="str">
        <f t="shared" si="11"/>
        <v>ECHANGE ENTRE CONCESSIONNAIRES</v>
      </c>
      <c r="N138" s="155">
        <f>+IF(OR($Q138=Parametres!$G$2,$Q138=Parametres!$G$3),I138,C138)</f>
        <v>-19000</v>
      </c>
      <c r="O138" s="155">
        <f>+IF(OR($Q138=Parametres!$G$2,$Q138=Parametres!$G$3),J138,D138)</f>
        <v>-160903.70000000001</v>
      </c>
      <c r="P138" s="155">
        <f>+IF(OR($Q138=Parametres!$G$2,$Q138=Parametres!$G$3),K138,E138)</f>
        <v>-179903.7</v>
      </c>
      <c r="Q138" s="154" t="str">
        <f t="shared" si="12"/>
        <v>3-Passifs</v>
      </c>
      <c r="R138" s="153" t="str">
        <f t="shared" si="13"/>
        <v>2291</v>
      </c>
      <c r="S138" s="154">
        <f t="shared" si="14"/>
        <v>0</v>
      </c>
      <c r="T138" s="156" t="str">
        <f>+VLOOKUP($L138,Data_Validation!$A:$D,1,0)</f>
        <v>2292</v>
      </c>
      <c r="U138" s="156" t="str">
        <f>+VLOOKUP($L138,Data_Validation!$A:$D,3,0)</f>
        <v>Bilan</v>
      </c>
      <c r="V138" s="156" t="str">
        <f>+VLOOKUP($L138,Data_Validation!$A:$D,4,0)</f>
        <v>Autres Comptes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4" t="s">
        <v>2132</v>
      </c>
      <c r="B139" s="1014" t="s">
        <v>2133</v>
      </c>
      <c r="C139" s="1036">
        <v>-6578.9</v>
      </c>
      <c r="D139" s="1036">
        <v>136.94</v>
      </c>
      <c r="E139" s="1036">
        <v>-6441.96</v>
      </c>
      <c r="F139" s="1014" t="s">
        <v>282</v>
      </c>
      <c r="G139" s="1014" t="s">
        <v>2134</v>
      </c>
      <c r="H139" s="1015"/>
      <c r="I139" s="1016"/>
      <c r="J139" s="1016"/>
      <c r="K139" s="1016"/>
      <c r="L139" s="153" t="str">
        <f t="shared" si="10"/>
        <v>2293</v>
      </c>
      <c r="M139" s="154" t="str">
        <f t="shared" si="11"/>
        <v>PROVISIONS GARANTIES USAGEES</v>
      </c>
      <c r="N139" s="155">
        <f>+IF(OR($Q139=Parametres!$G$2,$Q139=Parametres!$G$3),I139,C139)</f>
        <v>-6578.9</v>
      </c>
      <c r="O139" s="155">
        <f>+IF(OR($Q139=Parametres!$G$2,$Q139=Parametres!$G$3),J139,D139)</f>
        <v>136.94</v>
      </c>
      <c r="P139" s="155">
        <f>+IF(OR($Q139=Parametres!$G$2,$Q139=Parametres!$G$3),K139,E139)</f>
        <v>-6441.96</v>
      </c>
      <c r="Q139" s="154" t="str">
        <f t="shared" si="12"/>
        <v>3-Passifs</v>
      </c>
      <c r="R139" s="153" t="str">
        <f t="shared" si="13"/>
        <v>2283</v>
      </c>
      <c r="S139" s="154">
        <f t="shared" si="14"/>
        <v>0</v>
      </c>
      <c r="T139" s="156" t="str">
        <f>+VLOOKUP($L139,Data_Validation!$A:$D,1,0)</f>
        <v>2293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4" t="s">
        <v>2419</v>
      </c>
      <c r="B140" s="1014" t="s">
        <v>2420</v>
      </c>
      <c r="C140" s="1016">
        <v>-70.34</v>
      </c>
      <c r="D140" s="1016">
        <v>0</v>
      </c>
      <c r="E140" s="1016">
        <v>-70.34</v>
      </c>
      <c r="F140" s="1014" t="s">
        <v>282</v>
      </c>
      <c r="G140" s="1014" t="s">
        <v>2133</v>
      </c>
      <c r="H140" s="1015"/>
      <c r="I140" s="1015"/>
      <c r="J140" s="1015"/>
      <c r="K140" s="1015"/>
      <c r="L140" s="153" t="str">
        <f t="shared" si="10"/>
        <v>2295</v>
      </c>
      <c r="M140" s="154" t="str">
        <f t="shared" si="11"/>
        <v>RESERVE ESSENCE</v>
      </c>
      <c r="N140" s="155">
        <f>+IF(OR($Q140=Parametres!$G$2,$Q140=Parametres!$G$3),I140,C140)</f>
        <v>-70.34</v>
      </c>
      <c r="O140" s="155">
        <f>+IF(OR($Q140=Parametres!$G$2,$Q140=Parametres!$G$3),J140,D140)</f>
        <v>0</v>
      </c>
      <c r="P140" s="155">
        <f>+IF(OR($Q140=Parametres!$G$2,$Q140=Parametres!$G$3),K140,E140)</f>
        <v>-70.34</v>
      </c>
      <c r="Q140" s="154" t="str">
        <f t="shared" si="12"/>
        <v>3-Passifs</v>
      </c>
      <c r="R140" s="153" t="str">
        <f t="shared" si="13"/>
        <v>2293</v>
      </c>
      <c r="S140" s="154">
        <f t="shared" si="14"/>
        <v>0</v>
      </c>
      <c r="T140" s="156" t="str">
        <f>+VLOOKUP($L140,Data_Validation!$A:$D,1,0)</f>
        <v>2295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4" t="s">
        <v>2146</v>
      </c>
      <c r="B141" s="1014" t="s">
        <v>2147</v>
      </c>
      <c r="C141" s="1036">
        <v>-6300</v>
      </c>
      <c r="D141" s="1036">
        <v>-4100</v>
      </c>
      <c r="E141" s="1036">
        <v>-10400</v>
      </c>
      <c r="F141" s="1014" t="s">
        <v>282</v>
      </c>
      <c r="G141" s="1014" t="s">
        <v>2134</v>
      </c>
      <c r="H141" s="1015"/>
      <c r="I141" s="1016"/>
      <c r="J141" s="1016"/>
      <c r="K141" s="1016"/>
      <c r="L141" s="153" t="str">
        <f t="shared" si="10"/>
        <v>2297</v>
      </c>
      <c r="M141" s="154" t="str">
        <f t="shared" si="11"/>
        <v>RESERVE RENOUVELLEMENT</v>
      </c>
      <c r="N141" s="155">
        <f>+IF(OR($Q141=Parametres!$G$2,$Q141=Parametres!$G$3),I141,C141)</f>
        <v>-6300</v>
      </c>
      <c r="O141" s="155">
        <f>+IF(OR($Q141=Parametres!$G$2,$Q141=Parametres!$G$3),J141,D141)</f>
        <v>-4100</v>
      </c>
      <c r="P141" s="155">
        <f>+IF(OR($Q141=Parametres!$G$2,$Q141=Parametres!$G$3),K141,E141)</f>
        <v>-10400</v>
      </c>
      <c r="Q141" s="154" t="str">
        <f t="shared" si="12"/>
        <v>3-Passifs</v>
      </c>
      <c r="R141" s="153" t="str">
        <f t="shared" si="13"/>
        <v>2283</v>
      </c>
      <c r="S141" s="154">
        <f t="shared" si="14"/>
        <v>0</v>
      </c>
      <c r="T141" s="156" t="str">
        <f>+VLOOKUP($L141,Data_Validation!$A:$D,1,0)</f>
        <v>2297</v>
      </c>
      <c r="U141" s="156" t="str">
        <f>+VLOOKUP($L141,Data_Validation!$A:$D,3,0)</f>
        <v>Bilan</v>
      </c>
      <c r="V141" s="156" t="str">
        <f>+VLOOKUP($L141,Data_Validation!$A:$D,4,0)</f>
        <v>Autres Courus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4" t="s">
        <v>2710</v>
      </c>
      <c r="B142" s="1014" t="s">
        <v>2162</v>
      </c>
      <c r="C142" s="1016">
        <v>5905.47</v>
      </c>
      <c r="D142" s="1016">
        <v>46.18</v>
      </c>
      <c r="E142" s="1016">
        <v>5951.65</v>
      </c>
      <c r="F142" s="1014" t="s">
        <v>282</v>
      </c>
      <c r="G142" s="1014" t="s">
        <v>2162</v>
      </c>
      <c r="H142" s="1015"/>
      <c r="I142" s="1015"/>
      <c r="J142" s="1015"/>
      <c r="K142" s="1015"/>
      <c r="L142" s="153" t="str">
        <f t="shared" si="10"/>
        <v>2315</v>
      </c>
      <c r="M142" s="154" t="str">
        <f t="shared" si="11"/>
        <v>PRIME ASSURANCE GROUPE</v>
      </c>
      <c r="N142" s="155">
        <f>+IF(OR($Q142=Parametres!$G$2,$Q142=Parametres!$G$3),I142,C142)</f>
        <v>5905.47</v>
      </c>
      <c r="O142" s="155">
        <f>+IF(OR($Q142=Parametres!$G$2,$Q142=Parametres!$G$3),J142,D142)</f>
        <v>46.18</v>
      </c>
      <c r="P142" s="155">
        <f>+IF(OR($Q142=Parametres!$G$2,$Q142=Parametres!$G$3),K142,E142)</f>
        <v>5951.65</v>
      </c>
      <c r="Q142" s="154" t="str">
        <f t="shared" si="12"/>
        <v>3-Passifs</v>
      </c>
      <c r="R142" s="153" t="str">
        <f t="shared" si="13"/>
        <v>2315</v>
      </c>
      <c r="S142" s="154">
        <f t="shared" si="14"/>
        <v>0</v>
      </c>
      <c r="T142" s="156" t="str">
        <f>+VLOOKUP($L142,Data_Validation!$A:$D,1,0)</f>
        <v>2315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4" t="s">
        <v>2160</v>
      </c>
      <c r="B143" s="1014" t="s">
        <v>2161</v>
      </c>
      <c r="C143" s="1036">
        <v>13.41</v>
      </c>
      <c r="D143" s="1036">
        <v>24.69</v>
      </c>
      <c r="E143" s="1036">
        <v>38.1</v>
      </c>
      <c r="F143" s="1014" t="s">
        <v>282</v>
      </c>
      <c r="G143" s="1014" t="s">
        <v>2162</v>
      </c>
      <c r="H143" s="1015"/>
      <c r="I143" s="1016"/>
      <c r="J143" s="1016"/>
      <c r="K143" s="1016"/>
      <c r="L143" s="153" t="str">
        <f t="shared" si="10"/>
        <v>2335</v>
      </c>
      <c r="M143" s="154" t="str">
        <f t="shared" si="11"/>
        <v>COMITE SOCIAL</v>
      </c>
      <c r="N143" s="155">
        <f>+IF(OR($Q143=Parametres!$G$2,$Q143=Parametres!$G$3),I143,C143)</f>
        <v>13.41</v>
      </c>
      <c r="O143" s="155">
        <f>+IF(OR($Q143=Parametres!$G$2,$Q143=Parametres!$G$3),J143,D143)</f>
        <v>24.69</v>
      </c>
      <c r="P143" s="155">
        <f>+IF(OR($Q143=Parametres!$G$2,$Q143=Parametres!$G$3),K143,E143)</f>
        <v>38.1</v>
      </c>
      <c r="Q143" s="154" t="str">
        <f t="shared" si="12"/>
        <v>3-Passifs</v>
      </c>
      <c r="R143" s="153" t="str">
        <f t="shared" si="13"/>
        <v>2315</v>
      </c>
      <c r="S143" s="154">
        <f t="shared" si="14"/>
        <v>0</v>
      </c>
      <c r="T143" s="156" t="str">
        <f>+VLOOKUP($L143,Data_Validation!$A:$D,1,0)</f>
        <v>2335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4" t="s">
        <v>2749</v>
      </c>
      <c r="B144" s="1014" t="s">
        <v>2750</v>
      </c>
      <c r="C144" s="1016">
        <v>-20636.41</v>
      </c>
      <c r="D144" s="1016">
        <v>-7834.19</v>
      </c>
      <c r="E144" s="1016">
        <v>-28470.6</v>
      </c>
      <c r="F144" s="1014" t="s">
        <v>282</v>
      </c>
      <c r="G144" s="1014" t="s">
        <v>2162</v>
      </c>
      <c r="H144" s="1015"/>
      <c r="I144" s="1015"/>
      <c r="J144" s="1015"/>
      <c r="K144" s="1015"/>
      <c r="L144" s="153" t="str">
        <f t="shared" si="10"/>
        <v>2342</v>
      </c>
      <c r="M144" s="154" t="str">
        <f t="shared" si="11"/>
        <v>REER STANDARD LIFE</v>
      </c>
      <c r="N144" s="155">
        <f>+IF(OR($Q144=Parametres!$G$2,$Q144=Parametres!$G$3),I144,C144)</f>
        <v>-20636.41</v>
      </c>
      <c r="O144" s="155">
        <f>+IF(OR($Q144=Parametres!$G$2,$Q144=Parametres!$G$3),J144,D144)</f>
        <v>-7834.19</v>
      </c>
      <c r="P144" s="155">
        <f>+IF(OR($Q144=Parametres!$G$2,$Q144=Parametres!$G$3),K144,E144)</f>
        <v>-28470.6</v>
      </c>
      <c r="Q144" s="154" t="str">
        <f t="shared" si="12"/>
        <v>3-Passifs</v>
      </c>
      <c r="R144" s="153" t="str">
        <f t="shared" si="13"/>
        <v>2315</v>
      </c>
      <c r="S144" s="154">
        <f t="shared" si="14"/>
        <v>0</v>
      </c>
      <c r="T144" s="156" t="str">
        <f>+VLOOKUP($L144,Data_Validation!$A:$D,1,0)</f>
        <v>2342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4" t="s">
        <v>2582</v>
      </c>
      <c r="B145" s="1014" t="s">
        <v>2583</v>
      </c>
      <c r="C145" s="1036">
        <v>-343.06</v>
      </c>
      <c r="D145" s="1036">
        <v>-180.54</v>
      </c>
      <c r="E145" s="1036">
        <v>-523.6</v>
      </c>
      <c r="F145" s="1014" t="s">
        <v>282</v>
      </c>
      <c r="G145" s="1014" t="s">
        <v>2162</v>
      </c>
      <c r="H145" s="1015"/>
      <c r="I145" s="1016"/>
      <c r="J145" s="1016"/>
      <c r="K145" s="1016"/>
      <c r="L145" s="153" t="str">
        <f t="shared" si="10"/>
        <v>2343</v>
      </c>
      <c r="M145" s="154" t="str">
        <f t="shared" si="11"/>
        <v>COMITE PARITAIRE</v>
      </c>
      <c r="N145" s="155">
        <f>+IF(OR($Q145=Parametres!$G$2,$Q145=Parametres!$G$3),I145,C145)</f>
        <v>-343.06</v>
      </c>
      <c r="O145" s="155">
        <f>+IF(OR($Q145=Parametres!$G$2,$Q145=Parametres!$G$3),J145,D145)</f>
        <v>-180.54</v>
      </c>
      <c r="P145" s="155">
        <f>+IF(OR($Q145=Parametres!$G$2,$Q145=Parametres!$G$3),K145,E145)</f>
        <v>-523.6</v>
      </c>
      <c r="Q145" s="154" t="str">
        <f t="shared" si="12"/>
        <v>3-Passifs</v>
      </c>
      <c r="R145" s="153" t="str">
        <f t="shared" si="13"/>
        <v>2315</v>
      </c>
      <c r="S145" s="154">
        <f t="shared" si="14"/>
        <v>0</v>
      </c>
      <c r="T145" s="156" t="str">
        <f>+VLOOKUP($L145,Data_Validation!$A:$D,1,0)</f>
        <v>2343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4" t="s">
        <v>536</v>
      </c>
      <c r="B146" s="1014" t="s">
        <v>2185</v>
      </c>
      <c r="C146" s="1016">
        <v>-547</v>
      </c>
      <c r="D146" s="1016">
        <v>-304.5</v>
      </c>
      <c r="E146" s="1016">
        <v>-851.5</v>
      </c>
      <c r="F146" s="1014" t="s">
        <v>282</v>
      </c>
      <c r="G146" s="1014" t="s">
        <v>2162</v>
      </c>
      <c r="H146" s="1015"/>
      <c r="I146" s="1015"/>
      <c r="J146" s="1015"/>
      <c r="K146" s="1015"/>
      <c r="L146" s="153" t="str">
        <f t="shared" si="10"/>
        <v>2344</v>
      </c>
      <c r="M146" s="154" t="str">
        <f t="shared" si="11"/>
        <v>CENTRAIDE</v>
      </c>
      <c r="N146" s="155">
        <f>+IF(OR($Q146=Parametres!$G$2,$Q146=Parametres!$G$3),I146,C146)</f>
        <v>-547</v>
      </c>
      <c r="O146" s="155">
        <f>+IF(OR($Q146=Parametres!$G$2,$Q146=Parametres!$G$3),J146,D146)</f>
        <v>-304.5</v>
      </c>
      <c r="P146" s="155">
        <f>+IF(OR($Q146=Parametres!$G$2,$Q146=Parametres!$G$3),K146,E146)</f>
        <v>-851.5</v>
      </c>
      <c r="Q146" s="154" t="str">
        <f t="shared" si="12"/>
        <v>3-Passifs</v>
      </c>
      <c r="R146" s="153" t="str">
        <f t="shared" si="13"/>
        <v>2315</v>
      </c>
      <c r="S146" s="154">
        <f t="shared" si="14"/>
        <v>0</v>
      </c>
      <c r="T146" s="156" t="str">
        <f>+VLOOKUP($L146,Data_Validation!$A:$D,1,0)</f>
        <v>2344</v>
      </c>
      <c r="U146" s="156" t="str">
        <f>+VLOOKUP($L146,Data_Validation!$A:$D,3,0)</f>
        <v>Bilan</v>
      </c>
      <c r="V146" s="156" t="str">
        <f>+VLOOKUP($L146,Data_Validation!$A:$D,4,0)</f>
        <v>DAS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4" t="s">
        <v>2193</v>
      </c>
      <c r="B147" s="1014" t="s">
        <v>2194</v>
      </c>
      <c r="C147" s="1036">
        <v>-5900</v>
      </c>
      <c r="D147" s="1036">
        <v>450</v>
      </c>
      <c r="E147" s="1036">
        <v>-5450</v>
      </c>
      <c r="F147" s="1014" t="s">
        <v>282</v>
      </c>
      <c r="G147" s="1014" t="s">
        <v>2194</v>
      </c>
      <c r="H147" s="1015"/>
      <c r="I147" s="1016"/>
      <c r="J147" s="1016"/>
      <c r="K147" s="1016"/>
      <c r="L147" s="153" t="str">
        <f t="shared" si="10"/>
        <v>2401</v>
      </c>
      <c r="M147" s="154" t="str">
        <f t="shared" si="11"/>
        <v>DEPOTS FIDUCIE-VENTE CLIENTS</v>
      </c>
      <c r="N147" s="155">
        <f>+IF(OR($Q147=Parametres!$G$2,$Q147=Parametres!$G$3),I147,C147)</f>
        <v>-5900</v>
      </c>
      <c r="O147" s="155">
        <f>+IF(OR($Q147=Parametres!$G$2,$Q147=Parametres!$G$3),J147,D147)</f>
        <v>450</v>
      </c>
      <c r="P147" s="155">
        <f>+IF(OR($Q147=Parametres!$G$2,$Q147=Parametres!$G$3),K147,E147)</f>
        <v>-5450</v>
      </c>
      <c r="Q147" s="154" t="str">
        <f t="shared" si="12"/>
        <v>3-Passifs</v>
      </c>
      <c r="R147" s="153" t="str">
        <f t="shared" si="13"/>
        <v>2401</v>
      </c>
      <c r="S147" s="154">
        <f t="shared" si="14"/>
        <v>0</v>
      </c>
      <c r="T147" s="156" t="str">
        <f>+VLOOKUP($L147,Data_Validation!$A:$D,1,0)</f>
        <v>2401</v>
      </c>
      <c r="U147" s="156" t="str">
        <f>+VLOOKUP($L147,Data_Validation!$A:$D,3,0)</f>
        <v>Bilan</v>
      </c>
      <c r="V147" s="156" t="str">
        <f>+VLOOKUP($L147,Data_Validation!$A:$D,4,0)</f>
        <v>Dépôts de Client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4" t="s">
        <v>2600</v>
      </c>
      <c r="B148" s="1014" t="s">
        <v>2601</v>
      </c>
      <c r="C148" s="1016">
        <v>-23995.63</v>
      </c>
      <c r="D148" s="1016">
        <v>-2505.15</v>
      </c>
      <c r="E148" s="1016">
        <v>-26500.78</v>
      </c>
      <c r="F148" s="1014" t="s">
        <v>282</v>
      </c>
      <c r="G148" s="1014" t="s">
        <v>2601</v>
      </c>
      <c r="H148" s="1015"/>
      <c r="I148" s="1015"/>
      <c r="J148" s="1015"/>
      <c r="K148" s="1015"/>
      <c r="L148" s="153" t="str">
        <f t="shared" si="10"/>
        <v>2501</v>
      </c>
      <c r="M148" s="154" t="str">
        <f t="shared" si="11"/>
        <v>COMMISSION A PAYER</v>
      </c>
      <c r="N148" s="155">
        <f>+IF(OR($Q148=Parametres!$G$2,$Q148=Parametres!$G$3),I148,C148)</f>
        <v>-23995.63</v>
      </c>
      <c r="O148" s="575">
        <f>+IF(OR($Q148=Parametres!$G$2,$Q148=Parametres!$G$3),J148,D148)</f>
        <v>-2505.15</v>
      </c>
      <c r="P148" s="155">
        <f>+IF(OR($Q148=Parametres!$G$2,$Q148=Parametres!$G$3),K148,E148)</f>
        <v>-26500.78</v>
      </c>
      <c r="Q148" s="154" t="str">
        <f t="shared" si="12"/>
        <v>3-Passifs</v>
      </c>
      <c r="R148" s="153" t="str">
        <f t="shared" si="13"/>
        <v>2501</v>
      </c>
      <c r="S148" s="154">
        <f t="shared" si="14"/>
        <v>0</v>
      </c>
      <c r="T148" s="156" t="str">
        <f>+VLOOKUP($L148,Data_Validation!$A:$D,1,0)</f>
        <v>2501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4" t="s">
        <v>2058</v>
      </c>
      <c r="B149" s="1014" t="s">
        <v>2059</v>
      </c>
      <c r="C149" s="1036">
        <v>-140353.01</v>
      </c>
      <c r="D149" s="1036">
        <v>763.67</v>
      </c>
      <c r="E149" s="1036">
        <v>-139589.34</v>
      </c>
      <c r="F149" s="1014" t="s">
        <v>282</v>
      </c>
      <c r="G149" s="1014" t="s">
        <v>2059</v>
      </c>
      <c r="H149" s="1015"/>
      <c r="I149" s="1016"/>
      <c r="J149" s="1016"/>
      <c r="K149" s="1016"/>
      <c r="L149" s="153" t="str">
        <f t="shared" si="10"/>
        <v>2503</v>
      </c>
      <c r="M149" s="154" t="str">
        <f t="shared" si="11"/>
        <v>SALAIRES DES EMPLOYES</v>
      </c>
      <c r="N149" s="155">
        <f>+IF(OR($Q149=Parametres!$G$2,$Q149=Parametres!$G$3),I149,C149)</f>
        <v>-140353.01</v>
      </c>
      <c r="O149" s="155">
        <f>+IF(OR($Q149=Parametres!$G$2,$Q149=Parametres!$G$3),J149,D149)</f>
        <v>763.67</v>
      </c>
      <c r="P149" s="155">
        <f>+IF(OR($Q149=Parametres!$G$2,$Q149=Parametres!$G$3),K149,E149)</f>
        <v>-139589.34</v>
      </c>
      <c r="Q149" s="154" t="str">
        <f t="shared" si="12"/>
        <v>3-Passifs</v>
      </c>
      <c r="R149" s="153" t="str">
        <f t="shared" si="13"/>
        <v>2503</v>
      </c>
      <c r="S149" s="154">
        <f t="shared" si="14"/>
        <v>0</v>
      </c>
      <c r="T149" s="156" t="str">
        <f>+VLOOKUP($L149,Data_Validation!$A:$D,1,0)</f>
        <v>2503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4" t="s">
        <v>2098</v>
      </c>
      <c r="B150" s="1014" t="s">
        <v>2099</v>
      </c>
      <c r="C150" s="1016">
        <v>-23806.9</v>
      </c>
      <c r="D150" s="1016">
        <v>6249.44</v>
      </c>
      <c r="E150" s="1016">
        <v>-17557.46</v>
      </c>
      <c r="F150" s="1014" t="s">
        <v>282</v>
      </c>
      <c r="G150" s="1014" t="s">
        <v>2059</v>
      </c>
      <c r="H150" s="1015"/>
      <c r="I150" s="1015"/>
      <c r="J150" s="1015"/>
      <c r="K150" s="1015"/>
      <c r="L150" s="153" t="str">
        <f t="shared" si="10"/>
        <v>2505</v>
      </c>
      <c r="M150" s="154" t="str">
        <f t="shared" si="11"/>
        <v>JOURS FERIES</v>
      </c>
      <c r="N150" s="155">
        <f>+IF(OR($Q150=Parametres!$G$2,$Q150=Parametres!$G$3),I150,C150)</f>
        <v>-23806.9</v>
      </c>
      <c r="O150" s="155">
        <f>+IF(OR($Q150=Parametres!$G$2,$Q150=Parametres!$G$3),J150,D150)</f>
        <v>6249.44</v>
      </c>
      <c r="P150" s="155">
        <f>+IF(OR($Q150=Parametres!$G$2,$Q150=Parametres!$G$3),K150,E150)</f>
        <v>-17557.46</v>
      </c>
      <c r="Q150" s="154" t="str">
        <f t="shared" si="12"/>
        <v>3-Passifs</v>
      </c>
      <c r="R150" s="153" t="str">
        <f t="shared" si="13"/>
        <v>2503</v>
      </c>
      <c r="S150" s="154">
        <f t="shared" si="14"/>
        <v>0</v>
      </c>
      <c r="T150" s="156" t="str">
        <f>+VLOOKUP($L150,Data_Validation!$A:$D,1,0)</f>
        <v>2505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4" t="s">
        <v>2421</v>
      </c>
      <c r="B151" s="1014" t="s">
        <v>2422</v>
      </c>
      <c r="C151" s="1036">
        <v>9866.67</v>
      </c>
      <c r="D151" s="1036">
        <v>-9866.67</v>
      </c>
      <c r="E151" s="1036">
        <v>0</v>
      </c>
      <c r="F151" s="1014" t="s">
        <v>282</v>
      </c>
      <c r="G151" s="1014" t="s">
        <v>2422</v>
      </c>
      <c r="H151" s="1015"/>
      <c r="I151" s="1016"/>
      <c r="J151" s="1016"/>
      <c r="K151" s="1016"/>
      <c r="L151" s="153" t="str">
        <f t="shared" si="10"/>
        <v>2507</v>
      </c>
      <c r="M151" s="154" t="str">
        <f t="shared" si="11"/>
        <v>BONIS - EMPLOYES</v>
      </c>
      <c r="N151" s="155">
        <f>+IF(OR($Q151=Parametres!$G$2,$Q151=Parametres!$G$3),I151,C151)</f>
        <v>9866.67</v>
      </c>
      <c r="O151" s="155">
        <f>+IF(OR($Q151=Parametres!$G$2,$Q151=Parametres!$G$3),J151,D151)</f>
        <v>-9866.67</v>
      </c>
      <c r="P151" s="155">
        <f>+IF(OR($Q151=Parametres!$G$2,$Q151=Parametres!$G$3),K151,E151)</f>
        <v>0</v>
      </c>
      <c r="Q151" s="154" t="str">
        <f t="shared" si="12"/>
        <v>3-Passifs</v>
      </c>
      <c r="R151" s="153" t="str">
        <f t="shared" si="13"/>
        <v>2507</v>
      </c>
      <c r="S151" s="154">
        <f t="shared" si="14"/>
        <v>0</v>
      </c>
      <c r="T151" s="156" t="str">
        <f>+VLOOKUP($L151,Data_Validation!$A:$D,1,0)</f>
        <v>2507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4" t="s">
        <v>2094</v>
      </c>
      <c r="B152" s="1014" t="s">
        <v>2095</v>
      </c>
      <c r="C152" s="1016">
        <v>-190347.94</v>
      </c>
      <c r="D152" s="1016">
        <v>-5975.16</v>
      </c>
      <c r="E152" s="1016">
        <v>-196323.1</v>
      </c>
      <c r="F152" s="1014" t="s">
        <v>282</v>
      </c>
      <c r="G152" s="1014" t="s">
        <v>2059</v>
      </c>
      <c r="H152" s="1015"/>
      <c r="I152" s="1015"/>
      <c r="J152" s="1015"/>
      <c r="K152" s="1015"/>
      <c r="L152" s="153" t="str">
        <f t="shared" si="10"/>
        <v>2509</v>
      </c>
      <c r="M152" s="154" t="str">
        <f t="shared" si="11"/>
        <v>SALAIRES DE VACANCES</v>
      </c>
      <c r="N152" s="155">
        <f>+IF(OR($Q152=Parametres!$G$2,$Q152=Parametres!$G$3),I152,C152)</f>
        <v>-190347.94</v>
      </c>
      <c r="O152" s="155">
        <f>+IF(OR($Q152=Parametres!$G$2,$Q152=Parametres!$G$3),J152,D152)</f>
        <v>-5975.16</v>
      </c>
      <c r="P152" s="155">
        <f>+IF(OR($Q152=Parametres!$G$2,$Q152=Parametres!$G$3),K152,E152)</f>
        <v>-196323.1</v>
      </c>
      <c r="Q152" s="154" t="str">
        <f t="shared" si="12"/>
        <v>3-Passifs</v>
      </c>
      <c r="R152" s="153" t="str">
        <f t="shared" si="13"/>
        <v>2503</v>
      </c>
      <c r="S152" s="154">
        <f t="shared" si="14"/>
        <v>0</v>
      </c>
      <c r="T152" s="156" t="str">
        <f>+VLOOKUP($L152,Data_Validation!$A:$D,1,0)</f>
        <v>2509</v>
      </c>
      <c r="U152" s="156" t="str">
        <f>+VLOOKUP($L152,Data_Validation!$A:$D,3,0)</f>
        <v>Bilan</v>
      </c>
      <c r="V152" s="156" t="str">
        <f>+VLOOKUP($L152,Data_Validation!$A:$D,4,0)</f>
        <v>Salaires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4" t="s">
        <v>2188</v>
      </c>
      <c r="B153" s="1014" t="s">
        <v>2189</v>
      </c>
      <c r="C153" s="1036">
        <v>-5203.54</v>
      </c>
      <c r="D153" s="1036">
        <v>-4666.38</v>
      </c>
      <c r="E153" s="1036">
        <v>-9869.92</v>
      </c>
      <c r="F153" s="1014" t="s">
        <v>282</v>
      </c>
      <c r="G153" s="1014" t="s">
        <v>2059</v>
      </c>
      <c r="H153" s="1015"/>
      <c r="I153" s="1016"/>
      <c r="J153" s="1016"/>
      <c r="K153" s="1016"/>
      <c r="L153" s="153" t="str">
        <f t="shared" si="10"/>
        <v>2511</v>
      </c>
      <c r="M153" s="154" t="str">
        <f t="shared" si="11"/>
        <v>JOURNEE MALADIE</v>
      </c>
      <c r="N153" s="155">
        <f>+IF(OR($Q153=Parametres!$G$2,$Q153=Parametres!$G$3),I153,C153)</f>
        <v>-5203.54</v>
      </c>
      <c r="O153" s="155">
        <f>+IF(OR($Q153=Parametres!$G$2,$Q153=Parametres!$G$3),J153,D153)</f>
        <v>-4666.38</v>
      </c>
      <c r="P153" s="155">
        <f>+IF(OR($Q153=Parametres!$G$2,$Q153=Parametres!$G$3),K153,E153)</f>
        <v>-9869.92</v>
      </c>
      <c r="Q153" s="154" t="str">
        <f t="shared" si="12"/>
        <v>3-Passifs</v>
      </c>
      <c r="R153" s="153" t="str">
        <f t="shared" si="13"/>
        <v>2503</v>
      </c>
      <c r="S153" s="154">
        <f t="shared" si="14"/>
        <v>0</v>
      </c>
      <c r="T153" s="156" t="str">
        <f>+VLOOKUP($L153,Data_Validation!$A:$D,1,0)</f>
        <v>2511</v>
      </c>
      <c r="U153" s="156" t="str">
        <f>+VLOOKUP($L153,Data_Validation!$A:$D,3,0)</f>
        <v>Bilan</v>
      </c>
      <c r="V153" s="156" t="str">
        <f>+VLOOKUP($L153,Data_Validation!$A:$D,4,0)</f>
        <v>Salaires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4" t="s">
        <v>2689</v>
      </c>
      <c r="B154" s="1014" t="s">
        <v>2690</v>
      </c>
      <c r="C154" s="1016">
        <v>-25523.75</v>
      </c>
      <c r="D154" s="1016">
        <v>1317.5</v>
      </c>
      <c r="E154" s="1016">
        <v>-24206.25</v>
      </c>
      <c r="F154" s="1014" t="s">
        <v>282</v>
      </c>
      <c r="G154" s="1014" t="s">
        <v>2690</v>
      </c>
      <c r="H154" s="1015"/>
      <c r="I154" s="1015"/>
      <c r="J154" s="1015"/>
      <c r="K154" s="1015"/>
      <c r="L154" s="153" t="str">
        <f t="shared" si="10"/>
        <v>2801</v>
      </c>
      <c r="M154" s="154" t="str">
        <f t="shared" si="11"/>
        <v>PRET CIBC</v>
      </c>
      <c r="N154" s="155">
        <f>+IF(OR($Q154=Parametres!$G$2,$Q154=Parametres!$G$3),I154,C154)</f>
        <v>-25523.75</v>
      </c>
      <c r="O154" s="155">
        <f>+IF(OR($Q154=Parametres!$G$2,$Q154=Parametres!$G$3),J154,D154)</f>
        <v>1317.5</v>
      </c>
      <c r="P154" s="155">
        <f>+IF(OR($Q154=Parametres!$G$2,$Q154=Parametres!$G$3),K154,E154)</f>
        <v>-24206.25</v>
      </c>
      <c r="Q154" s="154" t="str">
        <f t="shared" si="12"/>
        <v>3-Passifs</v>
      </c>
      <c r="R154" s="153" t="str">
        <f t="shared" si="13"/>
        <v>2801</v>
      </c>
      <c r="S154" s="154">
        <f t="shared" si="14"/>
        <v>0</v>
      </c>
      <c r="T154" s="156" t="str">
        <f>+VLOOKUP($L154,Data_Validation!$A:$D,1,0)</f>
        <v>2801</v>
      </c>
      <c r="U154" s="156" t="str">
        <f>+VLOOKUP($L154,Data_Validation!$A:$D,3,0)</f>
        <v>Bilan</v>
      </c>
      <c r="V154" s="156" t="str">
        <f>+VLOOKUP($L154,Data_Validation!$A:$D,4,0)</f>
        <v>Dette à Long Terme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4" t="s">
        <v>827</v>
      </c>
      <c r="B155" s="1014" t="s">
        <v>2190</v>
      </c>
      <c r="C155" s="1036">
        <v>-23392.41</v>
      </c>
      <c r="D155" s="1036">
        <v>3789.02</v>
      </c>
      <c r="E155" s="1036">
        <v>-19603.39</v>
      </c>
      <c r="F155" s="1014" t="s">
        <v>282</v>
      </c>
      <c r="G155" s="1014" t="s">
        <v>2190</v>
      </c>
      <c r="H155" s="1015"/>
      <c r="I155" s="1016"/>
      <c r="J155" s="1016"/>
      <c r="K155" s="1016"/>
      <c r="L155" s="153" t="str">
        <f t="shared" si="10"/>
        <v>2901</v>
      </c>
      <c r="M155" s="154" t="str">
        <f t="shared" si="11"/>
        <v>RESERVE CARTES PRIVILEGE</v>
      </c>
      <c r="N155" s="155">
        <f>+IF(OR($Q155=Parametres!$G$2,$Q155=Parametres!$G$3),I155,C155)</f>
        <v>-23392.41</v>
      </c>
      <c r="O155" s="155">
        <f>+IF(OR($Q155=Parametres!$G$2,$Q155=Parametres!$G$3),J155,D155)</f>
        <v>3789.02</v>
      </c>
      <c r="P155" s="155">
        <f>+IF(OR($Q155=Parametres!$G$2,$Q155=Parametres!$G$3),K155,E155)</f>
        <v>-19603.39</v>
      </c>
      <c r="Q155" s="154" t="str">
        <f t="shared" si="12"/>
        <v>3-Passifs</v>
      </c>
      <c r="R155" s="153" t="str">
        <f t="shared" si="13"/>
        <v>2901</v>
      </c>
      <c r="S155" s="154">
        <f t="shared" si="14"/>
        <v>0</v>
      </c>
      <c r="T155" s="156" t="str">
        <f>+VLOOKUP($L155,Data_Validation!$A:$D,1,0)</f>
        <v>2901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4" t="s">
        <v>2423</v>
      </c>
      <c r="B156" s="1014" t="s">
        <v>2424</v>
      </c>
      <c r="C156" s="1016">
        <v>-2350000</v>
      </c>
      <c r="D156" s="1016">
        <v>0</v>
      </c>
      <c r="E156" s="1016">
        <v>-2350000</v>
      </c>
      <c r="F156" s="1014" t="s">
        <v>831</v>
      </c>
      <c r="G156" s="1014" t="s">
        <v>2424</v>
      </c>
      <c r="H156" s="1015"/>
      <c r="I156" s="1015"/>
      <c r="J156" s="1015"/>
      <c r="K156" s="1015"/>
      <c r="L156" s="153" t="str">
        <f t="shared" si="10"/>
        <v>3001</v>
      </c>
      <c r="M156" s="154" t="str">
        <f t="shared" si="11"/>
        <v>ACTIONS CATEGORIE 1</v>
      </c>
      <c r="N156" s="155">
        <f>+IF(OR($Q156=Parametres!$G$2,$Q156=Parametres!$G$3),I156,C156)</f>
        <v>-2350000</v>
      </c>
      <c r="O156" s="155">
        <f>+IF(OR($Q156=Parametres!$G$2,$Q156=Parametres!$G$3),J156,D156)</f>
        <v>0</v>
      </c>
      <c r="P156" s="155">
        <f>+IF(OR($Q156=Parametres!$G$2,$Q156=Parametres!$G$3),K156,E156)</f>
        <v>-2350000</v>
      </c>
      <c r="Q156" s="154" t="str">
        <f t="shared" si="12"/>
        <v>4-Valeur nette</v>
      </c>
      <c r="R156" s="153" t="str">
        <f t="shared" si="13"/>
        <v>3001</v>
      </c>
      <c r="S156" s="154">
        <f t="shared" si="14"/>
        <v>0</v>
      </c>
      <c r="T156" s="156" t="str">
        <f>+VLOOKUP($L156,Data_Validation!$A:$D,1,0)</f>
        <v>3001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4" t="s">
        <v>2425</v>
      </c>
      <c r="B157" s="1014" t="s">
        <v>2426</v>
      </c>
      <c r="C157" s="1036">
        <v>-1723617</v>
      </c>
      <c r="D157" s="1036">
        <v>0</v>
      </c>
      <c r="E157" s="1036">
        <v>-1723617</v>
      </c>
      <c r="F157" s="1014" t="s">
        <v>831</v>
      </c>
      <c r="G157" s="1014" t="s">
        <v>2424</v>
      </c>
      <c r="H157" s="1015"/>
      <c r="I157" s="1016"/>
      <c r="J157" s="1016"/>
      <c r="K157" s="1016"/>
      <c r="L157" s="153" t="str">
        <f t="shared" si="10"/>
        <v>3003</v>
      </c>
      <c r="M157" s="154" t="str">
        <f t="shared" si="11"/>
        <v>APPORT / RETRAIT</v>
      </c>
      <c r="N157" s="155">
        <f>+IF(OR($Q157=Parametres!$G$2,$Q157=Parametres!$G$3),I157,C157)</f>
        <v>-1723617</v>
      </c>
      <c r="O157" s="155">
        <f>+IF(OR($Q157=Parametres!$G$2,$Q157=Parametres!$G$3),J157,D157)</f>
        <v>0</v>
      </c>
      <c r="P157" s="155">
        <f>+IF(OR($Q157=Parametres!$G$2,$Q157=Parametres!$G$3),K157,E157)</f>
        <v>-1723617</v>
      </c>
      <c r="Q157" s="154" t="str">
        <f t="shared" si="12"/>
        <v>4-Valeur nette</v>
      </c>
      <c r="R157" s="153" t="str">
        <f t="shared" si="13"/>
        <v>3001</v>
      </c>
      <c r="S157" s="154">
        <f t="shared" si="14"/>
        <v>0</v>
      </c>
      <c r="T157" s="156" t="str">
        <f>+VLOOKUP($L157,Data_Validation!$A:$D,1,0)</f>
        <v>3003</v>
      </c>
      <c r="U157" s="156" t="str">
        <f>+VLOOKUP($L157,Data_Validation!$A:$D,3,0)</f>
        <v>Bilan</v>
      </c>
      <c r="V157" s="156" t="str">
        <f>+VLOOKUP($L157,Data_Validation!$A:$D,4,0)</f>
        <v>Apport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4" t="s">
        <v>2427</v>
      </c>
      <c r="B158" s="1014" t="s">
        <v>2428</v>
      </c>
      <c r="C158" s="1016">
        <v>-347547.5</v>
      </c>
      <c r="D158" s="1016">
        <v>0</v>
      </c>
      <c r="E158" s="1016">
        <v>-347547.5</v>
      </c>
      <c r="F158" s="1014" t="s">
        <v>831</v>
      </c>
      <c r="G158" s="1014" t="s">
        <v>2424</v>
      </c>
      <c r="H158" s="1015"/>
      <c r="I158" s="1015"/>
      <c r="J158" s="1015"/>
      <c r="K158" s="1015"/>
      <c r="L158" s="153" t="str">
        <f t="shared" si="10"/>
        <v>3007</v>
      </c>
      <c r="M158" s="154" t="str">
        <f t="shared" si="11"/>
        <v>ACTIONS PARTICIPANTES</v>
      </c>
      <c r="N158" s="155">
        <f>+IF(OR($Q158=Parametres!$G$2,$Q158=Parametres!$G$3),I158,C158)</f>
        <v>-347547.5</v>
      </c>
      <c r="O158" s="155">
        <f>+IF(OR($Q158=Parametres!$G$2,$Q158=Parametres!$G$3),J158,D158)</f>
        <v>0</v>
      </c>
      <c r="P158" s="155">
        <f>+IF(OR($Q158=Parametres!$G$2,$Q158=Parametres!$G$3),K158,E158)</f>
        <v>-347547.5</v>
      </c>
      <c r="Q158" s="154" t="str">
        <f t="shared" si="12"/>
        <v>4-Valeur nette</v>
      </c>
      <c r="R158" s="153" t="str">
        <f t="shared" si="13"/>
        <v>3001</v>
      </c>
      <c r="S158" s="154">
        <f t="shared" si="14"/>
        <v>0</v>
      </c>
      <c r="T158" s="156" t="str">
        <f>+VLOOKUP($L158,Data_Validation!$A:$D,1,0)</f>
        <v>3007</v>
      </c>
      <c r="U158" s="156" t="str">
        <f>+VLOOKUP($L158,Data_Validation!$A:$D,3,0)</f>
        <v>Bilan</v>
      </c>
      <c r="V158" s="156" t="str">
        <f>+VLOOKUP($L158,Data_Validation!$A:$D,4,0)</f>
        <v>Capital Actions</v>
      </c>
      <c r="W158" s="156">
        <f>+VLOOKUP($L158,Data_Validation!$A:$E,5,0)</f>
        <v>0</v>
      </c>
      <c r="X158" s="156">
        <f>+VLOOKUP($L158,Data_Validation!$A:$F,6,0)</f>
        <v>0</v>
      </c>
    </row>
    <row r="159" spans="1:24" ht="15.75" customHeight="1">
      <c r="A159" s="1014" t="s">
        <v>2429</v>
      </c>
      <c r="B159" s="1014" t="s">
        <v>2430</v>
      </c>
      <c r="C159" s="1036">
        <v>-973229.33</v>
      </c>
      <c r="D159" s="1036">
        <v>0</v>
      </c>
      <c r="E159" s="1036">
        <v>-973229.33</v>
      </c>
      <c r="F159" s="1014" t="s">
        <v>831</v>
      </c>
      <c r="G159" s="1014" t="s">
        <v>2424</v>
      </c>
      <c r="H159" s="1015"/>
      <c r="I159" s="1016"/>
      <c r="J159" s="1016"/>
      <c r="K159" s="1016"/>
      <c r="L159" s="153" t="str">
        <f t="shared" si="10"/>
        <v>3201</v>
      </c>
      <c r="M159" s="154" t="str">
        <f t="shared" si="11"/>
        <v>BENEFICES NON-REPARTIS</v>
      </c>
      <c r="N159" s="155">
        <f>+IF(OR($Q159=Parametres!$G$2,$Q159=Parametres!$G$3),I159,C159)</f>
        <v>-973229.33</v>
      </c>
      <c r="O159" s="575">
        <f>+IF(OR($Q159=Parametres!$G$2,$Q159=Parametres!$G$3),J159,D159)</f>
        <v>0</v>
      </c>
      <c r="P159" s="155">
        <f>+IF(OR($Q159=Parametres!$G$2,$Q159=Parametres!$G$3),K159,E159)</f>
        <v>-973229.33</v>
      </c>
      <c r="Q159" s="154" t="str">
        <f t="shared" si="12"/>
        <v>4-Valeur nette</v>
      </c>
      <c r="R159" s="153" t="str">
        <f t="shared" si="13"/>
        <v>3001</v>
      </c>
      <c r="S159" s="154">
        <f t="shared" si="14"/>
        <v>0</v>
      </c>
      <c r="T159" s="156" t="str">
        <f>+VLOOKUP($L159,Data_Validation!$A:$D,1,0)</f>
        <v>3201</v>
      </c>
      <c r="U159" s="156" t="str">
        <f>+VLOOKUP($L159,Data_Validation!$A:$D,3,0)</f>
        <v>Bilan</v>
      </c>
      <c r="V159" s="156" t="str">
        <f>+VLOOKUP($L159,Data_Validation!$A:$D,4,0)</f>
        <v>Bénéfices non répartis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4" t="s">
        <v>2025</v>
      </c>
      <c r="B160" s="1014" t="s">
        <v>2026</v>
      </c>
      <c r="C160" s="1016">
        <v>-188655.05</v>
      </c>
      <c r="D160" s="1016">
        <v>-215674.94</v>
      </c>
      <c r="E160" s="1016">
        <v>-404329.99</v>
      </c>
      <c r="F160" s="1014" t="s">
        <v>285</v>
      </c>
      <c r="G160" s="1014" t="s">
        <v>2026</v>
      </c>
      <c r="H160" s="1015"/>
      <c r="I160" s="1015"/>
      <c r="J160" s="1015"/>
      <c r="K160" s="1015"/>
      <c r="L160" s="153" t="str">
        <f t="shared" si="10"/>
        <v>4100</v>
      </c>
      <c r="M160" s="154" t="str">
        <f t="shared" si="11"/>
        <v>VTE - RACHAT BAIL VW</v>
      </c>
      <c r="N160" s="155">
        <f>+IF(OR($Q160=Parametres!$G$2,$Q160=Parametres!$G$3),I160,C160)</f>
        <v>-188655.05</v>
      </c>
      <c r="O160" s="155">
        <f>+IF(OR($Q160=Parametres!$G$2,$Q160=Parametres!$G$3),J160,D160)</f>
        <v>-215674.94</v>
      </c>
      <c r="P160" s="155">
        <f>+IF(OR($Q160=Parametres!$G$2,$Q160=Parametres!$G$3),K160,E160)</f>
        <v>-404329.99</v>
      </c>
      <c r="Q160" s="154" t="str">
        <f t="shared" si="12"/>
        <v>5-Ventes</v>
      </c>
      <c r="R160" s="153" t="str">
        <f t="shared" si="13"/>
        <v>4100</v>
      </c>
      <c r="S160" s="154">
        <f t="shared" si="14"/>
        <v>0</v>
      </c>
      <c r="T160" s="156" t="str">
        <f>+VLOOKUP($L160,Data_Validation!$A:$D,1,0)</f>
        <v>4100</v>
      </c>
      <c r="U160" s="156" t="str">
        <f>+VLOOKUP($L160,Data_Validation!$A:$D,3,0)</f>
        <v>Véhicules neufs</v>
      </c>
      <c r="V160" s="156" t="str">
        <f>+VLOOKUP($L160,Data_Validation!$A:$D,4,0)</f>
        <v>Rachat bail</v>
      </c>
      <c r="W160" s="156" t="str">
        <f>+VLOOKUP($L160,Data_Validation!$A:$E,5,0)</f>
        <v>$</v>
      </c>
      <c r="X160" s="156" t="str">
        <f>+VLOOKUP($L160,Data_Validation!$A:$F,6,0)</f>
        <v>Oui</v>
      </c>
    </row>
    <row r="161" spans="1:24" ht="15" customHeight="1">
      <c r="A161" s="1014" t="s">
        <v>2482</v>
      </c>
      <c r="B161" s="1014" t="s">
        <v>2483</v>
      </c>
      <c r="C161" s="1036"/>
      <c r="D161" s="1036"/>
      <c r="E161" s="1036"/>
      <c r="F161" s="1014" t="s">
        <v>4</v>
      </c>
      <c r="G161" s="1014" t="s">
        <v>2026</v>
      </c>
      <c r="H161" s="1015"/>
      <c r="I161" s="1016">
        <v>-12</v>
      </c>
      <c r="J161" s="1016">
        <v>-13</v>
      </c>
      <c r="K161" s="1016">
        <v>-25</v>
      </c>
      <c r="L161" s="153" t="str">
        <f t="shared" si="10"/>
        <v>4100@</v>
      </c>
      <c r="M161" s="154" t="str">
        <f t="shared" si="11"/>
        <v>RESERVE</v>
      </c>
      <c r="N161" s="155">
        <f>+IF(OR($Q161=Parametres!$G$2,$Q161=Parametres!$G$3),I161,C161)</f>
        <v>-12</v>
      </c>
      <c r="O161" s="155">
        <f>+IF(OR($Q161=Parametres!$G$2,$Q161=Parametres!$G$3),J161,D161)</f>
        <v>-13</v>
      </c>
      <c r="P161" s="155">
        <f>+IF(OR($Q161=Parametres!$G$2,$Q161=Parametres!$G$3),K161,E161)</f>
        <v>-25</v>
      </c>
      <c r="Q161" s="154" t="str">
        <f t="shared" si="12"/>
        <v>10-Compte compteur</v>
      </c>
      <c r="R161" s="153" t="str">
        <f t="shared" si="13"/>
        <v>4100</v>
      </c>
      <c r="S161" s="154">
        <f t="shared" si="14"/>
        <v>0</v>
      </c>
      <c r="T161" s="156" t="str">
        <f>+VLOOKUP($L161,Data_Validation!$A:$D,1,0)</f>
        <v>4100@</v>
      </c>
      <c r="U161" s="156" t="str">
        <f>+VLOOKUP($L161,Data_Validation!$A:$D,3,0)</f>
        <v>Véhicules neufs</v>
      </c>
      <c r="V161" s="156" t="str">
        <f>+VLOOKUP($L161,Data_Validation!$A:$D,4,0)</f>
        <v>Rachat bail</v>
      </c>
      <c r="W161" s="156" t="str">
        <f>+VLOOKUP($L161,Data_Validation!$A:$E,5,0)</f>
        <v>NB</v>
      </c>
      <c r="X161" s="156">
        <f>+VLOOKUP($L161,Data_Validation!$A:$F,6,0)</f>
        <v>0</v>
      </c>
    </row>
    <row r="162" spans="1:24" ht="15" customHeight="1">
      <c r="A162" s="1014" t="s">
        <v>2018</v>
      </c>
      <c r="B162" s="1014" t="s">
        <v>2019</v>
      </c>
      <c r="C162" s="1016">
        <v>-214427.93</v>
      </c>
      <c r="D162" s="1016">
        <v>-282967</v>
      </c>
      <c r="E162" s="1016">
        <v>-497394.93</v>
      </c>
      <c r="F162" s="1014" t="s">
        <v>285</v>
      </c>
      <c r="G162" s="1014" t="s">
        <v>2019</v>
      </c>
      <c r="H162" s="1015"/>
      <c r="I162" s="1015"/>
      <c r="J162" s="1015"/>
      <c r="K162" s="1015"/>
      <c r="L162" s="153" t="str">
        <f t="shared" si="10"/>
        <v>4107</v>
      </c>
      <c r="M162" s="154" t="str">
        <f t="shared" si="11"/>
        <v>VTE - GOLF A6</v>
      </c>
      <c r="N162" s="155">
        <f>+IF(OR($Q162=Parametres!$G$2,$Q162=Parametres!$G$3),I162,C162)</f>
        <v>-214427.93</v>
      </c>
      <c r="O162" s="155">
        <f>+IF(OR($Q162=Parametres!$G$2,$Q162=Parametres!$G$3),J162,D162)</f>
        <v>-282967</v>
      </c>
      <c r="P162" s="155">
        <f>+IF(OR($Q162=Parametres!$G$2,$Q162=Parametres!$G$3),K162,E162)</f>
        <v>-497394.93</v>
      </c>
      <c r="Q162" s="154" t="str">
        <f t="shared" si="12"/>
        <v>5-Ventes</v>
      </c>
      <c r="R162" s="153" t="str">
        <f t="shared" si="13"/>
        <v>4107</v>
      </c>
      <c r="S162" s="154">
        <f t="shared" si="14"/>
        <v>0</v>
      </c>
      <c r="T162" s="156" t="str">
        <f>+VLOOKUP($L162,Data_Validation!$A:$D,1,0)</f>
        <v>4107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$</v>
      </c>
      <c r="X162" s="156" t="str">
        <f>+VLOOKUP($L162,Data_Validation!$A:$F,6,0)</f>
        <v>Oui</v>
      </c>
    </row>
    <row r="163" spans="1:24" ht="15.75" customHeight="1">
      <c r="A163" s="1014" t="s">
        <v>2488</v>
      </c>
      <c r="B163" s="1014" t="s">
        <v>2489</v>
      </c>
      <c r="C163" s="1016"/>
      <c r="D163" s="1016"/>
      <c r="E163" s="1016"/>
      <c r="F163" s="1014" t="s">
        <v>4</v>
      </c>
      <c r="G163" s="1014" t="s">
        <v>2019</v>
      </c>
      <c r="H163" s="1015"/>
      <c r="I163" s="1015">
        <v>-8</v>
      </c>
      <c r="J163" s="1015">
        <v>-10</v>
      </c>
      <c r="K163" s="1015">
        <v>-18</v>
      </c>
      <c r="L163" s="153" t="str">
        <f t="shared" ref="L163:L194" si="15">+B163</f>
        <v>4107@</v>
      </c>
      <c r="M163" s="154" t="str">
        <f t="shared" ref="M163:M194" si="16">+A163</f>
        <v>UNITES VENDUES GOLF</v>
      </c>
      <c r="N163" s="155">
        <f>+IF(OR($Q163=Parametres!$G$2,$Q163=Parametres!$G$3),I163,C163)</f>
        <v>-8</v>
      </c>
      <c r="O163" s="155">
        <f>+IF(OR($Q163=Parametres!$G$2,$Q163=Parametres!$G$3),J163,D163)</f>
        <v>-10</v>
      </c>
      <c r="P163" s="155">
        <f>+IF(OR($Q163=Parametres!$G$2,$Q163=Parametres!$G$3),K163,E163)</f>
        <v>-18</v>
      </c>
      <c r="Q163" s="154" t="str">
        <f t="shared" ref="Q163:Q194" si="17">+F163</f>
        <v>10-Compte compteur</v>
      </c>
      <c r="R163" s="153" t="str">
        <f t="shared" ref="R163:R194" si="18">+G163</f>
        <v>4107</v>
      </c>
      <c r="S163" s="154">
        <f t="shared" ref="S163:S194" si="19">+H163</f>
        <v>0</v>
      </c>
      <c r="T163" s="156" t="str">
        <f>+VLOOKUP($L163,Data_Validation!$A:$D,1,0)</f>
        <v>4107@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NB</v>
      </c>
      <c r="X163" s="156">
        <f>+VLOOKUP($L163,Data_Validation!$A:$F,6,0)</f>
        <v>0</v>
      </c>
    </row>
    <row r="164" spans="1:24" ht="15" customHeight="1">
      <c r="A164" s="1014" t="s">
        <v>2013</v>
      </c>
      <c r="B164" s="1014" t="s">
        <v>2014</v>
      </c>
      <c r="C164" s="1036">
        <v>-260591.56</v>
      </c>
      <c r="D164" s="1036">
        <v>-244402.74</v>
      </c>
      <c r="E164" s="1036">
        <v>-504994.3</v>
      </c>
      <c r="F164" s="1014" t="s">
        <v>285</v>
      </c>
      <c r="G164" s="1014" t="s">
        <v>2014</v>
      </c>
      <c r="H164" s="1015"/>
      <c r="I164" s="1016"/>
      <c r="J164" s="1016"/>
      <c r="K164" s="1016"/>
      <c r="L164" s="153" t="str">
        <f t="shared" si="15"/>
        <v>4111</v>
      </c>
      <c r="M164" s="154" t="str">
        <f t="shared" si="16"/>
        <v>VTE - JETTA</v>
      </c>
      <c r="N164" s="155">
        <f>+IF(OR($Q164=Parametres!$G$2,$Q164=Parametres!$G$3),I164,C164)</f>
        <v>-260591.56</v>
      </c>
      <c r="O164" s="155">
        <f>+IF(OR($Q164=Parametres!$G$2,$Q164=Parametres!$G$3),J164,D164)</f>
        <v>-244402.74</v>
      </c>
      <c r="P164" s="155">
        <f>+IF(OR($Q164=Parametres!$G$2,$Q164=Parametres!$G$3),K164,E164)</f>
        <v>-504994.3</v>
      </c>
      <c r="Q164" s="154" t="str">
        <f t="shared" si="17"/>
        <v>5-Ventes</v>
      </c>
      <c r="R164" s="153" t="str">
        <f t="shared" si="18"/>
        <v>4111</v>
      </c>
      <c r="S164" s="154">
        <f t="shared" si="19"/>
        <v>0</v>
      </c>
      <c r="T164" s="156" t="str">
        <f>+VLOOKUP($L164,Data_Validation!$A:$D,1,0)</f>
        <v>4111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$</v>
      </c>
      <c r="X164" s="156" t="str">
        <f>+VLOOKUP($L164,Data_Validation!$A:$F,6,0)</f>
        <v>Oui</v>
      </c>
    </row>
    <row r="165" spans="1:24" ht="15" customHeight="1">
      <c r="A165" s="1014" t="s">
        <v>2492</v>
      </c>
      <c r="B165" s="1014" t="s">
        <v>2493</v>
      </c>
      <c r="C165" s="1016"/>
      <c r="D165" s="1016"/>
      <c r="E165" s="1016"/>
      <c r="F165" s="1014" t="s">
        <v>4</v>
      </c>
      <c r="G165" s="1014" t="s">
        <v>2014</v>
      </c>
      <c r="H165" s="1015"/>
      <c r="I165" s="1015">
        <v>-9</v>
      </c>
      <c r="J165" s="1015">
        <v>-9</v>
      </c>
      <c r="K165" s="1015">
        <v>-18</v>
      </c>
      <c r="L165" s="153" t="str">
        <f t="shared" si="15"/>
        <v>4111@</v>
      </c>
      <c r="M165" s="154" t="str">
        <f t="shared" si="16"/>
        <v>UNITES VENDUES - JETTA</v>
      </c>
      <c r="N165" s="155">
        <f>+IF(OR($Q165=Parametres!$G$2,$Q165=Parametres!$G$3),I165,C165)</f>
        <v>-9</v>
      </c>
      <c r="O165" s="575">
        <f>+IF(OR($Q165=Parametres!$G$2,$Q165=Parametres!$G$3),J165,D165)</f>
        <v>-9</v>
      </c>
      <c r="P165" s="155">
        <f>+IF(OR($Q165=Parametres!$G$2,$Q165=Parametres!$G$3),K165,E165)</f>
        <v>-18</v>
      </c>
      <c r="Q165" s="154" t="str">
        <f t="shared" si="17"/>
        <v>10-Compte compteur</v>
      </c>
      <c r="R165" s="153" t="str">
        <f t="shared" si="18"/>
        <v>4111</v>
      </c>
      <c r="S165" s="154">
        <f t="shared" si="19"/>
        <v>0</v>
      </c>
      <c r="T165" s="156" t="str">
        <f>+VLOOKUP($L165,Data_Validation!$A:$D,1,0)</f>
        <v>4111@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NB</v>
      </c>
      <c r="X165" s="156">
        <f>+VLOOKUP($L165,Data_Validation!$A:$F,6,0)</f>
        <v>0</v>
      </c>
    </row>
    <row r="166" spans="1:24" ht="15" customHeight="1">
      <c r="A166" s="1014" t="s">
        <v>2002</v>
      </c>
      <c r="B166" s="1014" t="s">
        <v>2003</v>
      </c>
      <c r="C166" s="1036">
        <v>-385566.01</v>
      </c>
      <c r="D166" s="1036">
        <v>-620801.87</v>
      </c>
      <c r="E166" s="1036">
        <v>-1006367.88</v>
      </c>
      <c r="F166" s="1014" t="s">
        <v>285</v>
      </c>
      <c r="G166" s="1014" t="s">
        <v>2003</v>
      </c>
      <c r="H166" s="1015"/>
      <c r="I166" s="1016"/>
      <c r="J166" s="1016"/>
      <c r="K166" s="1016"/>
      <c r="L166" s="153" t="str">
        <f t="shared" si="15"/>
        <v>4119</v>
      </c>
      <c r="M166" s="154" t="str">
        <f t="shared" si="16"/>
        <v>VTE - ATLAS</v>
      </c>
      <c r="N166" s="155">
        <f>+IF(OR($Q166=Parametres!$G$2,$Q166=Parametres!$G$3),I166,C166)</f>
        <v>-385566.01</v>
      </c>
      <c r="O166" s="155">
        <f>+IF(OR($Q166=Parametres!$G$2,$Q166=Parametres!$G$3),J166,D166)</f>
        <v>-620801.87</v>
      </c>
      <c r="P166" s="155">
        <f>+IF(OR($Q166=Parametres!$G$2,$Q166=Parametres!$G$3),K166,E166)</f>
        <v>-1006367.88</v>
      </c>
      <c r="Q166" s="154" t="str">
        <f t="shared" si="17"/>
        <v>5-Ventes</v>
      </c>
      <c r="R166" s="153" t="str">
        <f t="shared" si="18"/>
        <v>4119</v>
      </c>
      <c r="S166" s="154">
        <f t="shared" si="19"/>
        <v>0</v>
      </c>
      <c r="T166" s="156" t="str">
        <f>+VLOOKUP($L166,Data_Validation!$A:$D,1,0)</f>
        <v>4119</v>
      </c>
      <c r="U166" s="156" t="str">
        <f>+VLOOKUP($L166,Data_Validation!$A:$D,3,0)</f>
        <v>Véhicules neufs</v>
      </c>
      <c r="V166" s="156" t="str">
        <f>+VLOOKUP($L166,Data_Validation!$A:$D,4,0)</f>
        <v>Camions détail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customHeight="1">
      <c r="A167" s="1014" t="s">
        <v>2498</v>
      </c>
      <c r="B167" s="1014" t="s">
        <v>2499</v>
      </c>
      <c r="C167" s="1016"/>
      <c r="D167" s="1016"/>
      <c r="E167" s="1016"/>
      <c r="F167" s="1014" t="s">
        <v>4</v>
      </c>
      <c r="G167" s="1014" t="s">
        <v>2003</v>
      </c>
      <c r="H167" s="1015"/>
      <c r="I167" s="1015">
        <v>-7</v>
      </c>
      <c r="J167" s="1015">
        <v>-12</v>
      </c>
      <c r="K167" s="1015">
        <v>-19</v>
      </c>
      <c r="L167" s="153" t="str">
        <f t="shared" si="15"/>
        <v>4119@</v>
      </c>
      <c r="M167" s="154" t="str">
        <f t="shared" si="16"/>
        <v># DE VTE - ATLAS</v>
      </c>
      <c r="N167" s="155">
        <f>+IF(OR($Q167=Parametres!$G$2,$Q167=Parametres!$G$3),I167,C167)</f>
        <v>-7</v>
      </c>
      <c r="O167" s="575">
        <f>+IF(OR($Q167=Parametres!$G$2,$Q167=Parametres!$G$3),J167,D167)</f>
        <v>-12</v>
      </c>
      <c r="P167" s="155">
        <f>+IF(OR($Q167=Parametres!$G$2,$Q167=Parametres!$G$3),K167,E167)</f>
        <v>-19</v>
      </c>
      <c r="Q167" s="154" t="str">
        <f t="shared" si="17"/>
        <v>10-Compte compteur</v>
      </c>
      <c r="R167" s="153" t="str">
        <f t="shared" si="18"/>
        <v>4119</v>
      </c>
      <c r="S167" s="154">
        <f t="shared" si="19"/>
        <v>0</v>
      </c>
      <c r="T167" s="156" t="str">
        <f>+VLOOKUP($L167,Data_Validation!$A:$D,1,0)</f>
        <v>4119@</v>
      </c>
      <c r="U167" s="156" t="str">
        <f>+VLOOKUP($L167,Data_Validation!$A:$D,3,0)</f>
        <v>Véhicules neufs</v>
      </c>
      <c r="V167" s="156" t="str">
        <f>+VLOOKUP($L167,Data_Validation!$A:$D,4,0)</f>
        <v>Camions détail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4" t="s">
        <v>2908</v>
      </c>
      <c r="B168" s="1014" t="s">
        <v>2909</v>
      </c>
      <c r="C168" s="1036">
        <v>-42307</v>
      </c>
      <c r="D168" s="1036">
        <v>-46878.12</v>
      </c>
      <c r="E168" s="1036">
        <v>-89185.12</v>
      </c>
      <c r="F168" s="1014" t="s">
        <v>285</v>
      </c>
      <c r="G168" s="1014" t="s">
        <v>2909</v>
      </c>
      <c r="H168" s="1015"/>
      <c r="I168" s="1016"/>
      <c r="J168" s="1016"/>
      <c r="K168" s="1016"/>
      <c r="L168" s="153" t="str">
        <f t="shared" si="15"/>
        <v>4121</v>
      </c>
      <c r="M168" s="154" t="str">
        <f t="shared" si="16"/>
        <v>VTES -VTE - ATLAS CROSS SPORT</v>
      </c>
      <c r="N168" s="155">
        <f>+IF(OR($Q168=Parametres!$G$2,$Q168=Parametres!$G$3),I168,C168)</f>
        <v>-42307</v>
      </c>
      <c r="O168" s="155">
        <f>+IF(OR($Q168=Parametres!$G$2,$Q168=Parametres!$G$3),J168,D168)</f>
        <v>-46878.12</v>
      </c>
      <c r="P168" s="155">
        <f>+IF(OR($Q168=Parametres!$G$2,$Q168=Parametres!$G$3),K168,E168)</f>
        <v>-89185.12</v>
      </c>
      <c r="Q168" s="154" t="str">
        <f t="shared" si="17"/>
        <v>5-Ventes</v>
      </c>
      <c r="R168" s="153" t="str">
        <f t="shared" si="18"/>
        <v>4121</v>
      </c>
      <c r="S168" s="154">
        <f t="shared" si="19"/>
        <v>0</v>
      </c>
      <c r="T168" s="156" t="str">
        <f>+VLOOKUP($L168,Data_Validation!$A:$D,1,0)</f>
        <v>4121</v>
      </c>
      <c r="U168" s="156" t="str">
        <f>+VLOOKUP($L168,Data_Validation!$A:$D,3,0)</f>
        <v>Véhicules neufs</v>
      </c>
      <c r="V168" s="156" t="str">
        <f>+VLOOKUP($L168,Data_Validation!$A:$D,4,0)</f>
        <v>Camions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customHeight="1">
      <c r="A169" s="1014" t="s">
        <v>2910</v>
      </c>
      <c r="B169" s="1014" t="s">
        <v>2911</v>
      </c>
      <c r="C169" s="1016"/>
      <c r="D169" s="1016"/>
      <c r="E169" s="1016"/>
      <c r="F169" s="1014" t="s">
        <v>4</v>
      </c>
      <c r="G169" s="1014" t="s">
        <v>2909</v>
      </c>
      <c r="H169" s="1015"/>
      <c r="I169" s="1015">
        <v>-1</v>
      </c>
      <c r="J169" s="1015">
        <v>-1</v>
      </c>
      <c r="K169" s="1015">
        <v>-2</v>
      </c>
      <c r="L169" s="153" t="str">
        <f t="shared" si="15"/>
        <v>4121@</v>
      </c>
      <c r="M169" s="154" t="str">
        <f t="shared" si="16"/>
        <v># DE VTE - ATLAS CROSS SPORT</v>
      </c>
      <c r="N169" s="155">
        <f>+IF(OR($Q169=Parametres!$G$2,$Q169=Parametres!$G$3),I169,C169)</f>
        <v>-1</v>
      </c>
      <c r="O169" s="155">
        <f>+IF(OR($Q169=Parametres!$G$2,$Q169=Parametres!$G$3),J169,D169)</f>
        <v>-1</v>
      </c>
      <c r="P169" s="155">
        <f>+IF(OR($Q169=Parametres!$G$2,$Q169=Parametres!$G$3),K169,E169)</f>
        <v>-2</v>
      </c>
      <c r="Q169" s="154" t="str">
        <f t="shared" si="17"/>
        <v>10-Compte compteur</v>
      </c>
      <c r="R169" s="153" t="str">
        <f t="shared" si="18"/>
        <v>4121</v>
      </c>
      <c r="S169" s="154">
        <f t="shared" si="19"/>
        <v>0</v>
      </c>
      <c r="T169" s="156" t="str">
        <f>+VLOOKUP($L169,Data_Validation!$A:$D,1,0)</f>
        <v>4121@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4" t="s">
        <v>2030</v>
      </c>
      <c r="B170" s="1014" t="s">
        <v>2031</v>
      </c>
      <c r="C170" s="1036">
        <v>-150274.9</v>
      </c>
      <c r="D170" s="1036">
        <v>-153663.64000000001</v>
      </c>
      <c r="E170" s="1036">
        <v>-303938.53999999998</v>
      </c>
      <c r="F170" s="1014" t="s">
        <v>285</v>
      </c>
      <c r="G170" s="1014" t="s">
        <v>2031</v>
      </c>
      <c r="H170" s="1015"/>
      <c r="I170" s="1016"/>
      <c r="J170" s="1016"/>
      <c r="K170" s="1016"/>
      <c r="L170" s="153" t="str">
        <f t="shared" si="15"/>
        <v>4127</v>
      </c>
      <c r="M170" s="154" t="str">
        <f t="shared" si="16"/>
        <v>VTE - GOLF GTI</v>
      </c>
      <c r="N170" s="155">
        <f>+IF(OR($Q170=Parametres!$G$2,$Q170=Parametres!$G$3),I170,C170)</f>
        <v>-150274.9</v>
      </c>
      <c r="O170" s="155">
        <f>+IF(OR($Q170=Parametres!$G$2,$Q170=Parametres!$G$3),J170,D170)</f>
        <v>-153663.64000000001</v>
      </c>
      <c r="P170" s="155">
        <f>+IF(OR($Q170=Parametres!$G$2,$Q170=Parametres!$G$3),K170,E170)</f>
        <v>-303938.53999999998</v>
      </c>
      <c r="Q170" s="154" t="str">
        <f t="shared" si="17"/>
        <v>5-Ventes</v>
      </c>
      <c r="R170" s="153" t="str">
        <f t="shared" si="18"/>
        <v>4127</v>
      </c>
      <c r="S170" s="154">
        <f t="shared" si="19"/>
        <v>0</v>
      </c>
      <c r="T170" s="156" t="str">
        <f>+VLOOKUP($L170,Data_Validation!$A:$D,1,0)</f>
        <v>4127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customHeight="1">
      <c r="A171" s="1014" t="s">
        <v>2500</v>
      </c>
      <c r="B171" s="1014" t="s">
        <v>2501</v>
      </c>
      <c r="C171" s="1016"/>
      <c r="D171" s="1016"/>
      <c r="E171" s="1016"/>
      <c r="F171" s="1014" t="s">
        <v>4</v>
      </c>
      <c r="G171" s="1014" t="s">
        <v>2031</v>
      </c>
      <c r="H171" s="1015"/>
      <c r="I171" s="1015">
        <v>-4</v>
      </c>
      <c r="J171" s="1015">
        <v>-4</v>
      </c>
      <c r="K171" s="1015">
        <v>-8</v>
      </c>
      <c r="L171" s="153" t="str">
        <f t="shared" si="15"/>
        <v>4127@</v>
      </c>
      <c r="M171" s="154" t="str">
        <f t="shared" si="16"/>
        <v># DE VENTE - GOLF GTI</v>
      </c>
      <c r="N171" s="155">
        <f>+IF(OR($Q171=Parametres!$G$2,$Q171=Parametres!$G$3),I171,C171)</f>
        <v>-4</v>
      </c>
      <c r="O171" s="575">
        <f>+IF(OR($Q171=Parametres!$G$2,$Q171=Parametres!$G$3),J171,D171)</f>
        <v>-4</v>
      </c>
      <c r="P171" s="155">
        <f>+IF(OR($Q171=Parametres!$G$2,$Q171=Parametres!$G$3),K171,E171)</f>
        <v>-8</v>
      </c>
      <c r="Q171" s="154" t="str">
        <f t="shared" si="17"/>
        <v>10-Compte compteur</v>
      </c>
      <c r="R171" s="153" t="str">
        <f t="shared" si="18"/>
        <v>4127</v>
      </c>
      <c r="S171" s="154">
        <f t="shared" si="19"/>
        <v>0</v>
      </c>
      <c r="T171" s="156" t="str">
        <f>+VLOOKUP($L171,Data_Validation!$A:$D,1,0)</f>
        <v>4127@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4" t="s">
        <v>1998</v>
      </c>
      <c r="B172" s="1014" t="s">
        <v>1999</v>
      </c>
      <c r="C172" s="1036">
        <v>-1026818.75</v>
      </c>
      <c r="D172" s="1036">
        <v>-934780.79</v>
      </c>
      <c r="E172" s="1036">
        <v>-1961599.54</v>
      </c>
      <c r="F172" s="1014" t="s">
        <v>285</v>
      </c>
      <c r="G172" s="1014" t="s">
        <v>1999</v>
      </c>
      <c r="H172" s="1015"/>
      <c r="I172" s="1016"/>
      <c r="J172" s="1016"/>
      <c r="K172" s="1016"/>
      <c r="L172" s="153" t="str">
        <f t="shared" si="15"/>
        <v>4131</v>
      </c>
      <c r="M172" s="154" t="str">
        <f t="shared" si="16"/>
        <v>VTE - TIGUAN LWB</v>
      </c>
      <c r="N172" s="155">
        <f>+IF(OR($Q172=Parametres!$G$2,$Q172=Parametres!$G$3),I172,C172)</f>
        <v>-1026818.75</v>
      </c>
      <c r="O172" s="155">
        <f>+IF(OR($Q172=Parametres!$G$2,$Q172=Parametres!$G$3),J172,D172)</f>
        <v>-934780.79</v>
      </c>
      <c r="P172" s="155">
        <f>+IF(OR($Q172=Parametres!$G$2,$Q172=Parametres!$G$3),K172,E172)</f>
        <v>-1961599.54</v>
      </c>
      <c r="Q172" s="154" t="str">
        <f t="shared" si="17"/>
        <v>5-Ventes</v>
      </c>
      <c r="R172" s="153" t="str">
        <f t="shared" si="18"/>
        <v>4131</v>
      </c>
      <c r="S172" s="154">
        <f t="shared" si="19"/>
        <v>0</v>
      </c>
      <c r="T172" s="156" t="str">
        <f>+VLOOKUP($L172,Data_Validation!$A:$D,1,0)</f>
        <v>4131</v>
      </c>
      <c r="U172" s="156" t="str">
        <f>+VLOOKUP($L172,Data_Validation!$A:$D,3,0)</f>
        <v>Véhicules neufs</v>
      </c>
      <c r="V172" s="156" t="str">
        <f>+VLOOKUP($L172,Data_Validation!$A:$D,4,0)</f>
        <v>Camions détail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customHeight="1">
      <c r="A173" s="1014" t="s">
        <v>2502</v>
      </c>
      <c r="B173" s="1014" t="s">
        <v>2503</v>
      </c>
      <c r="C173" s="1016"/>
      <c r="D173" s="1016"/>
      <c r="E173" s="1016"/>
      <c r="F173" s="1014" t="s">
        <v>4</v>
      </c>
      <c r="G173" s="1014" t="s">
        <v>1999</v>
      </c>
      <c r="H173" s="1015"/>
      <c r="I173" s="1015">
        <v>-26</v>
      </c>
      <c r="J173" s="1015">
        <v>-24</v>
      </c>
      <c r="K173" s="1015">
        <v>-50</v>
      </c>
      <c r="L173" s="153" t="str">
        <f t="shared" si="15"/>
        <v>4131@</v>
      </c>
      <c r="M173" s="154" t="str">
        <f t="shared" si="16"/>
        <v># DE VTE - TIGUAN LWB</v>
      </c>
      <c r="N173" s="155">
        <f>+IF(OR($Q173=Parametres!$G$2,$Q173=Parametres!$G$3),I173,C173)</f>
        <v>-26</v>
      </c>
      <c r="O173" s="155">
        <f>+IF(OR($Q173=Parametres!$G$2,$Q173=Parametres!$G$3),J173,D173)</f>
        <v>-24</v>
      </c>
      <c r="P173" s="155">
        <f>+IF(OR($Q173=Parametres!$G$2,$Q173=Parametres!$G$3),K173,E173)</f>
        <v>-50</v>
      </c>
      <c r="Q173" s="154" t="str">
        <f t="shared" si="17"/>
        <v>10-Compte compteur</v>
      </c>
      <c r="R173" s="153" t="str">
        <f t="shared" si="18"/>
        <v>4131</v>
      </c>
      <c r="S173" s="154">
        <f t="shared" si="19"/>
        <v>0</v>
      </c>
      <c r="T173" s="156" t="str">
        <f>+VLOOKUP($L173,Data_Validation!$A:$D,1,0)</f>
        <v>4131@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4" t="s">
        <v>2028</v>
      </c>
      <c r="B174" s="1014" t="s">
        <v>2029</v>
      </c>
      <c r="C174" s="1036">
        <v>-32615.99</v>
      </c>
      <c r="D174" s="1036">
        <v>-322346.21999999997</v>
      </c>
      <c r="E174" s="1036">
        <v>-354962.21</v>
      </c>
      <c r="F174" s="1014" t="s">
        <v>285</v>
      </c>
      <c r="G174" s="1014" t="s">
        <v>2029</v>
      </c>
      <c r="H174" s="1015"/>
      <c r="I174" s="1016"/>
      <c r="J174" s="1016"/>
      <c r="K174" s="1016"/>
      <c r="L174" s="153" t="str">
        <f t="shared" si="15"/>
        <v>4135</v>
      </c>
      <c r="M174" s="154" t="str">
        <f t="shared" si="16"/>
        <v>VTE - EGOLF</v>
      </c>
      <c r="N174" s="155">
        <f>+IF(OR($Q174=Parametres!$G$2,$Q174=Parametres!$G$3),I174,C174)</f>
        <v>-32615.99</v>
      </c>
      <c r="O174" s="155">
        <f>+IF(OR($Q174=Parametres!$G$2,$Q174=Parametres!$G$3),J174,D174)</f>
        <v>-322346.21999999997</v>
      </c>
      <c r="P174" s="155">
        <f>+IF(OR($Q174=Parametres!$G$2,$Q174=Parametres!$G$3),K174,E174)</f>
        <v>-354962.21</v>
      </c>
      <c r="Q174" s="154" t="str">
        <f t="shared" si="17"/>
        <v>5-Ventes</v>
      </c>
      <c r="R174" s="153" t="str">
        <f t="shared" si="18"/>
        <v>4135</v>
      </c>
      <c r="S174" s="154">
        <f t="shared" si="19"/>
        <v>0</v>
      </c>
      <c r="T174" s="156" t="str">
        <f>+VLOOKUP($L174,Data_Validation!$A:$D,1,0)</f>
        <v>4135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4" t="s">
        <v>2504</v>
      </c>
      <c r="B175" s="1014" t="s">
        <v>2505</v>
      </c>
      <c r="C175" s="1016"/>
      <c r="D175" s="1016"/>
      <c r="E175" s="1016"/>
      <c r="F175" s="1014" t="s">
        <v>4</v>
      </c>
      <c r="G175" s="1014" t="s">
        <v>2506</v>
      </c>
      <c r="H175" s="1015"/>
      <c r="I175" s="1015">
        <v>-1</v>
      </c>
      <c r="J175" s="1015">
        <v>-9</v>
      </c>
      <c r="K175" s="1015">
        <v>-10</v>
      </c>
      <c r="L175" s="153" t="str">
        <f t="shared" si="15"/>
        <v>4135@</v>
      </c>
      <c r="M175" s="154" t="str">
        <f t="shared" si="16"/>
        <v>UNITES VENDUES - EGOLF</v>
      </c>
      <c r="N175" s="155">
        <f>+IF(OR($Q175=Parametres!$G$2,$Q175=Parametres!$G$3),I175,C175)</f>
        <v>-1</v>
      </c>
      <c r="O175" s="575">
        <f>+IF(OR($Q175=Parametres!$G$2,$Q175=Parametres!$G$3),J175,D175)</f>
        <v>-9</v>
      </c>
      <c r="P175" s="155">
        <f>+IF(OR($Q175=Parametres!$G$2,$Q175=Parametres!$G$3),K175,E175)</f>
        <v>-10</v>
      </c>
      <c r="Q175" s="154" t="str">
        <f t="shared" si="17"/>
        <v>10-Compte compteur</v>
      </c>
      <c r="R175" s="153" t="str">
        <f t="shared" si="18"/>
        <v>84135</v>
      </c>
      <c r="S175" s="154">
        <f t="shared" si="19"/>
        <v>0</v>
      </c>
      <c r="T175" s="156" t="str">
        <f>+VLOOKUP($L175,Data_Validation!$A:$D,1,0)</f>
        <v>4135@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4" t="s">
        <v>2441</v>
      </c>
      <c r="B176" s="1014" t="s">
        <v>2442</v>
      </c>
      <c r="C176" s="1036">
        <v>-152905</v>
      </c>
      <c r="D176" s="1036">
        <v>-105910</v>
      </c>
      <c r="E176" s="1036">
        <v>-258815</v>
      </c>
      <c r="F176" s="1014" t="s">
        <v>285</v>
      </c>
      <c r="G176" s="1014" t="s">
        <v>2442</v>
      </c>
      <c r="H176" s="1015"/>
      <c r="I176" s="1016"/>
      <c r="J176" s="1016"/>
      <c r="K176" s="1016"/>
      <c r="L176" s="153" t="str">
        <f t="shared" si="15"/>
        <v>4137</v>
      </c>
      <c r="M176" s="154" t="str">
        <f t="shared" si="16"/>
        <v>VTE - VW-FLOTTE/VENTES ENTR/EMPLOYE/VEH DEMON</v>
      </c>
      <c r="N176" s="155">
        <f>+IF(OR($Q176=Parametres!$G$2,$Q176=Parametres!$G$3),I176,C176)</f>
        <v>-152905</v>
      </c>
      <c r="O176" s="155">
        <f>+IF(OR($Q176=Parametres!$G$2,$Q176=Parametres!$G$3),J176,D176)</f>
        <v>-105910</v>
      </c>
      <c r="P176" s="155">
        <f>+IF(OR($Q176=Parametres!$G$2,$Q176=Parametres!$G$3),K176,E176)</f>
        <v>-258815</v>
      </c>
      <c r="Q176" s="154" t="str">
        <f t="shared" si="17"/>
        <v>5-Ventes</v>
      </c>
      <c r="R176" s="153" t="str">
        <f t="shared" si="18"/>
        <v>4137</v>
      </c>
      <c r="S176" s="154">
        <f t="shared" si="19"/>
        <v>0</v>
      </c>
      <c r="T176" s="156" t="str">
        <f>+VLOOKUP($L176,Data_Validation!$A:$D,1,0)</f>
        <v>4137</v>
      </c>
      <c r="U176" s="156" t="str">
        <f>+VLOOKUP($L176,Data_Validation!$A:$D,3,0)</f>
        <v>Véhicules neufs</v>
      </c>
      <c r="V176" s="156" t="str">
        <f>+VLOOKUP($L176,Data_Validation!$A:$D,4,0)</f>
        <v>Flottes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4" t="s">
        <v>2507</v>
      </c>
      <c r="B177" s="1014" t="s">
        <v>2508</v>
      </c>
      <c r="C177" s="1016"/>
      <c r="D177" s="1016"/>
      <c r="E177" s="1016"/>
      <c r="F177" s="1014" t="s">
        <v>4</v>
      </c>
      <c r="G177" s="1014" t="s">
        <v>2442</v>
      </c>
      <c r="H177" s="1015"/>
      <c r="I177" s="1015">
        <v>-5</v>
      </c>
      <c r="J177" s="1015">
        <v>-3</v>
      </c>
      <c r="K177" s="1015">
        <v>-8</v>
      </c>
      <c r="L177" s="153" t="str">
        <f t="shared" si="15"/>
        <v>4137@</v>
      </c>
      <c r="M177" s="154" t="str">
        <f t="shared" si="16"/>
        <v>VW FLOTTE/VENTE ENTR/EMPLOYE/VEH DEMONST</v>
      </c>
      <c r="N177" s="155">
        <f>+IF(OR($Q177=Parametres!$G$2,$Q177=Parametres!$G$3),I177,C177)</f>
        <v>-5</v>
      </c>
      <c r="O177" s="575">
        <f>+IF(OR($Q177=Parametres!$G$2,$Q177=Parametres!$G$3),J177,D177)</f>
        <v>-3</v>
      </c>
      <c r="P177" s="155">
        <f>+IF(OR($Q177=Parametres!$G$2,$Q177=Parametres!$G$3),K177,E177)</f>
        <v>-8</v>
      </c>
      <c r="Q177" s="154" t="str">
        <f t="shared" si="17"/>
        <v>10-Compte compteur</v>
      </c>
      <c r="R177" s="153" t="str">
        <f t="shared" si="18"/>
        <v>4137</v>
      </c>
      <c r="S177" s="154">
        <f t="shared" si="19"/>
        <v>0</v>
      </c>
      <c r="T177" s="156" t="str">
        <f>+VLOOKUP($L177,Data_Validation!$A:$D,1,0)</f>
        <v>4137@</v>
      </c>
      <c r="U177" s="156" t="str">
        <f>+VLOOKUP($L177,Data_Validation!$A:$D,3,0)</f>
        <v>Véhicules neufs</v>
      </c>
      <c r="V177" s="156" t="str">
        <f>+VLOOKUP($L177,Data_Validation!$A:$D,4,0)</f>
        <v>Flottes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4" t="s">
        <v>2004</v>
      </c>
      <c r="B178" s="1014" t="s">
        <v>2005</v>
      </c>
      <c r="C178" s="1036">
        <v>-516582.78</v>
      </c>
      <c r="D178" s="1036">
        <v>-259601</v>
      </c>
      <c r="E178" s="1036">
        <v>-776183.78</v>
      </c>
      <c r="F178" s="1014" t="s">
        <v>285</v>
      </c>
      <c r="G178" s="1014" t="s">
        <v>2005</v>
      </c>
      <c r="H178" s="1015"/>
      <c r="I178" s="1016"/>
      <c r="J178" s="1016"/>
      <c r="K178" s="1016"/>
      <c r="L178" s="153" t="str">
        <f t="shared" si="15"/>
        <v>4139</v>
      </c>
      <c r="M178" s="154" t="str">
        <f t="shared" si="16"/>
        <v>VTE - VW FLOTTE/VENTE ENTR/EMPLOYE/VEH DEMONS</v>
      </c>
      <c r="N178" s="155">
        <f>+IF(OR($Q178=Parametres!$G$2,$Q178=Parametres!$G$3),I178,C178)</f>
        <v>-516582.78</v>
      </c>
      <c r="O178" s="155">
        <f>+IF(OR($Q178=Parametres!$G$2,$Q178=Parametres!$G$3),J178,D178)</f>
        <v>-259601</v>
      </c>
      <c r="P178" s="155">
        <f>+IF(OR($Q178=Parametres!$G$2,$Q178=Parametres!$G$3),K178,E178)</f>
        <v>-776183.78</v>
      </c>
      <c r="Q178" s="154" t="str">
        <f t="shared" si="17"/>
        <v>5-Ventes</v>
      </c>
      <c r="R178" s="153" t="str">
        <f t="shared" si="18"/>
        <v>4139</v>
      </c>
      <c r="S178" s="154">
        <f t="shared" si="19"/>
        <v>0</v>
      </c>
      <c r="T178" s="156" t="str">
        <f>+VLOOKUP($L178,Data_Validation!$A:$D,1,0)</f>
        <v>4139</v>
      </c>
      <c r="U178" s="156" t="str">
        <f>+VLOOKUP($L178,Data_Validation!$A:$D,3,0)</f>
        <v>Véhicules neufs</v>
      </c>
      <c r="V178" s="156" t="str">
        <f>+VLOOKUP($L178,Data_Validation!$A:$D,4,0)</f>
        <v>Ex-Démos et courtoisies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4" t="s">
        <v>2509</v>
      </c>
      <c r="B179" s="1014" t="s">
        <v>2510</v>
      </c>
      <c r="C179" s="1016"/>
      <c r="D179" s="1016"/>
      <c r="E179" s="1016"/>
      <c r="F179" s="1014" t="s">
        <v>4</v>
      </c>
      <c r="G179" s="1014" t="s">
        <v>2005</v>
      </c>
      <c r="H179" s="1015"/>
      <c r="I179" s="1015">
        <v>-15</v>
      </c>
      <c r="J179" s="1015">
        <v>-9</v>
      </c>
      <c r="K179" s="1015">
        <v>-24</v>
      </c>
      <c r="L179" s="153" t="str">
        <f t="shared" si="15"/>
        <v>4139@</v>
      </c>
      <c r="M179" s="154" t="str">
        <f t="shared" si="16"/>
        <v>VENTES A PARK AVENUE LOCATION</v>
      </c>
      <c r="N179" s="155">
        <f>+IF(OR($Q179=Parametres!$G$2,$Q179=Parametres!$G$3),I179,C179)</f>
        <v>-15</v>
      </c>
      <c r="O179" s="155">
        <f>+IF(OR($Q179=Parametres!$G$2,$Q179=Parametres!$G$3),J179,D179)</f>
        <v>-9</v>
      </c>
      <c r="P179" s="155">
        <f>+IF(OR($Q179=Parametres!$G$2,$Q179=Parametres!$G$3),K179,E179)</f>
        <v>-24</v>
      </c>
      <c r="Q179" s="154" t="str">
        <f t="shared" si="17"/>
        <v>10-Compte compteur</v>
      </c>
      <c r="R179" s="153" t="str">
        <f t="shared" si="18"/>
        <v>4139</v>
      </c>
      <c r="S179" s="154">
        <f t="shared" si="19"/>
        <v>0</v>
      </c>
      <c r="T179" s="156" t="str">
        <f>+VLOOKUP($L179,Data_Validation!$A:$D,1,0)</f>
        <v>4139@</v>
      </c>
      <c r="U179" s="156" t="str">
        <f>+VLOOKUP($L179,Data_Validation!$A:$D,3,0)</f>
        <v>Véhicules neufs</v>
      </c>
      <c r="V179" s="156" t="str">
        <f>+VLOOKUP($L179,Data_Validation!$A:$D,4,0)</f>
        <v>Ex-Démos et courtoisies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4" t="s">
        <v>2000</v>
      </c>
      <c r="B180" s="1014" t="s">
        <v>2001</v>
      </c>
      <c r="C180" s="1036">
        <v>-948620.6</v>
      </c>
      <c r="D180" s="1036">
        <v>-862714.93</v>
      </c>
      <c r="E180" s="1036">
        <v>-1811335.53</v>
      </c>
      <c r="F180" s="1014" t="s">
        <v>285</v>
      </c>
      <c r="G180" s="1014" t="s">
        <v>2001</v>
      </c>
      <c r="H180" s="1015"/>
      <c r="I180" s="1016"/>
      <c r="J180" s="1016"/>
      <c r="K180" s="1016"/>
      <c r="L180" s="153" t="str">
        <f t="shared" si="15"/>
        <v>4201</v>
      </c>
      <c r="M180" s="154" t="str">
        <f t="shared" si="16"/>
        <v>VTE - VEH.USAGE VW DETAIL CERTIFIE</v>
      </c>
      <c r="N180" s="155">
        <f>+IF(OR($Q180=Parametres!$G$2,$Q180=Parametres!$G$3),I180,C180)</f>
        <v>-948620.6</v>
      </c>
      <c r="O180" s="155">
        <f>+IF(OR($Q180=Parametres!$G$2,$Q180=Parametres!$G$3),J180,D180)</f>
        <v>-862714.93</v>
      </c>
      <c r="P180" s="155">
        <f>+IF(OR($Q180=Parametres!$G$2,$Q180=Parametres!$G$3),K180,E180)</f>
        <v>-1811335.53</v>
      </c>
      <c r="Q180" s="154" t="str">
        <f t="shared" si="17"/>
        <v>5-Ventes</v>
      </c>
      <c r="R180" s="153" t="str">
        <f t="shared" si="18"/>
        <v>4201</v>
      </c>
      <c r="S180" s="154">
        <f t="shared" si="19"/>
        <v>0</v>
      </c>
      <c r="T180" s="156" t="str">
        <f>+VLOOKUP($L180,Data_Validation!$A:$D,1,0)</f>
        <v>4201</v>
      </c>
      <c r="U180" s="156" t="str">
        <f>+VLOOKUP($L180,Data_Validation!$A:$D,3,0)</f>
        <v>Véhicules usagés</v>
      </c>
      <c r="V180" s="156" t="str">
        <f>+VLOOKUP($L180,Data_Validation!$A:$D,4,0)</f>
        <v>Certifié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4" t="s">
        <v>2511</v>
      </c>
      <c r="B181" s="1014" t="s">
        <v>2512</v>
      </c>
      <c r="C181" s="1016"/>
      <c r="D181" s="1016"/>
      <c r="E181" s="1016"/>
      <c r="F181" s="1014" t="s">
        <v>4</v>
      </c>
      <c r="G181" s="1014" t="s">
        <v>2001</v>
      </c>
      <c r="H181" s="1015"/>
      <c r="I181" s="1015">
        <v>-44</v>
      </c>
      <c r="J181" s="1015">
        <v>-42</v>
      </c>
      <c r="K181" s="1015">
        <v>-86</v>
      </c>
      <c r="L181" s="153" t="str">
        <f t="shared" si="15"/>
        <v>4201@</v>
      </c>
      <c r="M181" s="154" t="str">
        <f t="shared" si="16"/>
        <v># DE VTE - VEH.USAGE VW DET.CERT.</v>
      </c>
      <c r="N181" s="155">
        <f>+IF(OR($Q181=Parametres!$G$2,$Q181=Parametres!$G$3),I181,C181)</f>
        <v>-44</v>
      </c>
      <c r="O181" s="155">
        <f>+IF(OR($Q181=Parametres!$G$2,$Q181=Parametres!$G$3),J181,D181)</f>
        <v>-42</v>
      </c>
      <c r="P181" s="155">
        <f>+IF(OR($Q181=Parametres!$G$2,$Q181=Parametres!$G$3),K181,E181)</f>
        <v>-86</v>
      </c>
      <c r="Q181" s="154" t="str">
        <f t="shared" si="17"/>
        <v>10-Compte compteur</v>
      </c>
      <c r="R181" s="153" t="str">
        <f t="shared" si="18"/>
        <v>4201</v>
      </c>
      <c r="S181" s="154">
        <f t="shared" si="19"/>
        <v>0</v>
      </c>
      <c r="T181" s="156" t="str">
        <f>+VLOOKUP($L181,Data_Validation!$A:$D,1,0)</f>
        <v>4201@</v>
      </c>
      <c r="U181" s="156" t="str">
        <f>+VLOOKUP($L181,Data_Validation!$A:$D,3,0)</f>
        <v>Véhicules usagés</v>
      </c>
      <c r="V181" s="156" t="str">
        <f>+VLOOKUP($L181,Data_Validation!$A:$D,4,0)</f>
        <v>Certifié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4" t="s">
        <v>2038</v>
      </c>
      <c r="B182" s="1014" t="s">
        <v>2039</v>
      </c>
      <c r="C182" s="1036">
        <v>-28930</v>
      </c>
      <c r="D182" s="1015">
        <v>0</v>
      </c>
      <c r="E182" s="1036">
        <v>-28930</v>
      </c>
      <c r="F182" s="1014" t="s">
        <v>285</v>
      </c>
      <c r="G182" s="1014" t="s">
        <v>2040</v>
      </c>
      <c r="H182" s="1015"/>
      <c r="I182" s="1016"/>
      <c r="J182" s="1016"/>
      <c r="K182" s="1016"/>
      <c r="L182" s="153" t="str">
        <f t="shared" si="15"/>
        <v>4285</v>
      </c>
      <c r="M182" s="154" t="str">
        <f t="shared" si="16"/>
        <v>VEH. D'OCC. AUTRE DETAIL</v>
      </c>
      <c r="N182" s="155">
        <f>+IF(OR($Q182=Parametres!$G$2,$Q182=Parametres!$G$3),I182,C182)</f>
        <v>-28930</v>
      </c>
      <c r="O182" s="155">
        <f>+IF(OR($Q182=Parametres!$G$2,$Q182=Parametres!$G$3),J182,D182)</f>
        <v>0</v>
      </c>
      <c r="P182" s="155">
        <f>+IF(OR($Q182=Parametres!$G$2,$Q182=Parametres!$G$3),K182,E182)</f>
        <v>-28930</v>
      </c>
      <c r="Q182" s="154" t="str">
        <f t="shared" si="17"/>
        <v>5-Ventes</v>
      </c>
      <c r="R182" s="153" t="str">
        <f t="shared" si="18"/>
        <v>4261</v>
      </c>
      <c r="S182" s="154">
        <f t="shared" si="19"/>
        <v>0</v>
      </c>
      <c r="T182" s="156" t="str">
        <f>+VLOOKUP($L182,Data_Validation!$A:$D,1,0)</f>
        <v>4285</v>
      </c>
      <c r="U182" s="156" t="str">
        <f>+VLOOKUP($L182,Data_Validation!$A:$D,3,0)</f>
        <v>Véhicules usagés</v>
      </c>
      <c r="V182" s="156" t="str">
        <f>+VLOOKUP($L182,Data_Validation!$A:$D,4,0)</f>
        <v>Non Certifié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4" t="s">
        <v>2515</v>
      </c>
      <c r="B183" s="1014" t="s">
        <v>2516</v>
      </c>
      <c r="C183" s="1016"/>
      <c r="D183" s="1016"/>
      <c r="E183" s="1016"/>
      <c r="F183" s="1014" t="s">
        <v>4</v>
      </c>
      <c r="G183" s="1014" t="s">
        <v>2040</v>
      </c>
      <c r="H183" s="1015"/>
      <c r="I183" s="1015">
        <v>-1</v>
      </c>
      <c r="J183" s="1015">
        <v>0</v>
      </c>
      <c r="K183" s="1015">
        <v>-1</v>
      </c>
      <c r="L183" s="153" t="str">
        <f t="shared" si="15"/>
        <v>4285@</v>
      </c>
      <c r="M183" s="154" t="str">
        <f t="shared" si="16"/>
        <v>AUTRE MARQUES DETAIL - USAGE</v>
      </c>
      <c r="N183" s="155">
        <f>+IF(OR($Q183=Parametres!$G$2,$Q183=Parametres!$G$3),I183,C183)</f>
        <v>-1</v>
      </c>
      <c r="O183" s="155">
        <f>+IF(OR($Q183=Parametres!$G$2,$Q183=Parametres!$G$3),J183,D183)</f>
        <v>0</v>
      </c>
      <c r="P183" s="155">
        <f>+IF(OR($Q183=Parametres!$G$2,$Q183=Parametres!$G$3),K183,E183)</f>
        <v>-1</v>
      </c>
      <c r="Q183" s="154" t="str">
        <f t="shared" si="17"/>
        <v>10-Compte compteur</v>
      </c>
      <c r="R183" s="153" t="str">
        <f t="shared" si="18"/>
        <v>4261</v>
      </c>
      <c r="S183" s="154">
        <f t="shared" si="19"/>
        <v>0</v>
      </c>
      <c r="T183" s="156" t="str">
        <f>+VLOOKUP($L183,Data_Validation!$A:$D,1,0)</f>
        <v>4285@</v>
      </c>
      <c r="U183" s="156" t="str">
        <f>+VLOOKUP($L183,Data_Validation!$A:$D,3,0)</f>
        <v>Véhicules usagés</v>
      </c>
      <c r="V183" s="156" t="str">
        <f>+VLOOKUP($L183,Data_Validation!$A:$D,4,0)</f>
        <v>Non Certifié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customHeight="1">
      <c r="A184" s="1014" t="s">
        <v>2006</v>
      </c>
      <c r="B184" s="1014" t="s">
        <v>2007</v>
      </c>
      <c r="C184" s="1016">
        <v>-455401</v>
      </c>
      <c r="D184" s="1016">
        <v>-648800</v>
      </c>
      <c r="E184" s="1016">
        <v>-1104201</v>
      </c>
      <c r="F184" s="1014" t="s">
        <v>285</v>
      </c>
      <c r="G184" s="1014" t="s">
        <v>2008</v>
      </c>
      <c r="H184" s="1015"/>
      <c r="I184" s="1015"/>
      <c r="J184" s="1015"/>
      <c r="K184" s="1015"/>
      <c r="L184" s="153" t="str">
        <f t="shared" si="15"/>
        <v>4291</v>
      </c>
      <c r="M184" s="154" t="str">
        <f t="shared" si="16"/>
        <v>VEH. D'OCC. AU GROS</v>
      </c>
      <c r="N184" s="155">
        <f>+IF(OR($Q184=Parametres!$G$2,$Q184=Parametres!$G$3),I184,C184)</f>
        <v>-455401</v>
      </c>
      <c r="O184" s="155">
        <f>+IF(OR($Q184=Parametres!$G$2,$Q184=Parametres!$G$3),J184,D184)</f>
        <v>-648800</v>
      </c>
      <c r="P184" s="155">
        <f>+IF(OR($Q184=Parametres!$G$2,$Q184=Parametres!$G$3),K184,E184)</f>
        <v>-1104201</v>
      </c>
      <c r="Q184" s="154" t="str">
        <f t="shared" si="17"/>
        <v>5-Ventes</v>
      </c>
      <c r="R184" s="153" t="str">
        <f t="shared" si="18"/>
        <v>4281</v>
      </c>
      <c r="S184" s="154">
        <f t="shared" si="19"/>
        <v>0</v>
      </c>
      <c r="T184" s="156" t="str">
        <f>+VLOOKUP($L184,Data_Validation!$A:$D,1,0)</f>
        <v>4291</v>
      </c>
      <c r="U184" s="156" t="str">
        <f>+VLOOKUP($L184,Data_Validation!$A:$D,3,0)</f>
        <v>Véhicules usagés</v>
      </c>
      <c r="V184" s="156" t="str">
        <f>+VLOOKUP($L184,Data_Validation!$A:$D,4,0)</f>
        <v>Ventes au Gros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customHeight="1">
      <c r="A185" s="1014" t="s">
        <v>2517</v>
      </c>
      <c r="B185" s="1014" t="s">
        <v>2518</v>
      </c>
      <c r="C185" s="1036"/>
      <c r="D185" s="1036"/>
      <c r="E185" s="1036"/>
      <c r="F185" s="1014" t="s">
        <v>4</v>
      </c>
      <c r="G185" s="1014" t="s">
        <v>2008</v>
      </c>
      <c r="H185" s="1015"/>
      <c r="I185" s="1016">
        <v>-43</v>
      </c>
      <c r="J185" s="1016">
        <v>-49</v>
      </c>
      <c r="K185" s="1016">
        <v>-92</v>
      </c>
      <c r="L185" s="153" t="str">
        <f t="shared" si="15"/>
        <v>4291@</v>
      </c>
      <c r="M185" s="154" t="str">
        <f t="shared" si="16"/>
        <v>VENTE AU GROS - USAGES</v>
      </c>
      <c r="N185" s="155">
        <f>+IF(OR($Q185=Parametres!$G$2,$Q185=Parametres!$G$3),I185,C185)</f>
        <v>-43</v>
      </c>
      <c r="O185" s="155">
        <f>+IF(OR($Q185=Parametres!$G$2,$Q185=Parametres!$G$3),J185,D185)</f>
        <v>-49</v>
      </c>
      <c r="P185" s="155">
        <f>+IF(OR($Q185=Parametres!$G$2,$Q185=Parametres!$G$3),K185,E185)</f>
        <v>-92</v>
      </c>
      <c r="Q185" s="154" t="str">
        <f t="shared" si="17"/>
        <v>10-Compte compteur</v>
      </c>
      <c r="R185" s="153" t="str">
        <f t="shared" si="18"/>
        <v>4281</v>
      </c>
      <c r="S185" s="154">
        <f t="shared" si="19"/>
        <v>0</v>
      </c>
      <c r="T185" s="156" t="str">
        <f>+VLOOKUP($L185,Data_Validation!$A:$D,1,0)</f>
        <v>4291@</v>
      </c>
      <c r="U185" s="156" t="str">
        <f>+VLOOKUP($L185,Data_Validation!$A:$D,3,0)</f>
        <v>Véhicules usagés</v>
      </c>
      <c r="V185" s="156" t="str">
        <f>+VLOOKUP($L185,Data_Validation!$A:$D,4,0)</f>
        <v>Ventes au Gros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customHeight="1">
      <c r="A186" s="1014" t="s">
        <v>2011</v>
      </c>
      <c r="B186" s="1014" t="s">
        <v>2012</v>
      </c>
      <c r="C186" s="1016">
        <v>-103734.32</v>
      </c>
      <c r="D186" s="1016">
        <v>-89196.36</v>
      </c>
      <c r="E186" s="1016">
        <v>-192930.68</v>
      </c>
      <c r="F186" s="1014" t="s">
        <v>285</v>
      </c>
      <c r="G186" s="1014" t="s">
        <v>2012</v>
      </c>
      <c r="H186" s="1015"/>
      <c r="I186" s="1015"/>
      <c r="J186" s="1015"/>
      <c r="K186" s="1015"/>
      <c r="L186" s="153" t="str">
        <f t="shared" si="15"/>
        <v>4401</v>
      </c>
      <c r="M186" s="154" t="str">
        <f t="shared" si="16"/>
        <v>M.O. MECANIQUE-VENTE CLIENTS</v>
      </c>
      <c r="N186" s="155">
        <f>+IF(OR($Q186=Parametres!$G$2,$Q186=Parametres!$G$3),I186,C186)</f>
        <v>-103734.32</v>
      </c>
      <c r="O186" s="155">
        <f>+IF(OR($Q186=Parametres!$G$2,$Q186=Parametres!$G$3),J186,D186)</f>
        <v>-89196.36</v>
      </c>
      <c r="P186" s="155">
        <f>+IF(OR($Q186=Parametres!$G$2,$Q186=Parametres!$G$3),K186,E186)</f>
        <v>-192930.68</v>
      </c>
      <c r="Q186" s="154" t="str">
        <f t="shared" si="17"/>
        <v>5-Ventes</v>
      </c>
      <c r="R186" s="153" t="str">
        <f t="shared" si="18"/>
        <v>4401</v>
      </c>
      <c r="S186" s="154">
        <f t="shared" si="19"/>
        <v>0</v>
      </c>
      <c r="T186" s="156" t="str">
        <f>+VLOOKUP($L186,Data_Validation!$A:$D,1,0)</f>
        <v>4401</v>
      </c>
      <c r="U186" s="156" t="str">
        <f>+VLOOKUP($L186,Data_Validation!$A:$D,3,0)</f>
        <v>Service</v>
      </c>
      <c r="V186" s="156" t="str">
        <f>+VLOOKUP($L186,Data_Validation!$A:$D,4,0)</f>
        <v>M/O Client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customHeight="1">
      <c r="A187" s="1014" t="s">
        <v>2011</v>
      </c>
      <c r="B187" s="1014" t="s">
        <v>2519</v>
      </c>
      <c r="C187" s="1036"/>
      <c r="D187" s="1036"/>
      <c r="E187" s="1036"/>
      <c r="F187" s="1014" t="s">
        <v>4</v>
      </c>
      <c r="G187" s="1014" t="s">
        <v>2012</v>
      </c>
      <c r="H187" s="1015"/>
      <c r="I187" s="1016">
        <v>-443</v>
      </c>
      <c r="J187" s="1016">
        <v>-399</v>
      </c>
      <c r="K187" s="1016">
        <v>-842</v>
      </c>
      <c r="L187" s="153" t="str">
        <f t="shared" si="15"/>
        <v>4401@</v>
      </c>
      <c r="M187" s="154" t="str">
        <f t="shared" si="16"/>
        <v>M.O. MECANIQUE-VENTE CLIENTS</v>
      </c>
      <c r="N187" s="155">
        <f>+IF(OR($Q187=Parametres!$G$2,$Q187=Parametres!$G$3),I187,C187)</f>
        <v>-443</v>
      </c>
      <c r="O187" s="155">
        <f>+IF(OR($Q187=Parametres!$G$2,$Q187=Parametres!$G$3),J187,D187)</f>
        <v>-399</v>
      </c>
      <c r="P187" s="155">
        <f>+IF(OR($Q187=Parametres!$G$2,$Q187=Parametres!$G$3),K187,E187)</f>
        <v>-842</v>
      </c>
      <c r="Q187" s="154" t="str">
        <f t="shared" si="17"/>
        <v>10-Compte compteur</v>
      </c>
      <c r="R187" s="153" t="str">
        <f t="shared" si="18"/>
        <v>4401</v>
      </c>
      <c r="S187" s="154">
        <f t="shared" si="19"/>
        <v>0</v>
      </c>
      <c r="T187" s="156" t="str">
        <f>+VLOOKUP($L187,Data_Validation!$A:$D,1,0)</f>
        <v>4401@</v>
      </c>
      <c r="U187" s="156" t="str">
        <f>+VLOOKUP($L187,Data_Validation!$A:$D,3,0)</f>
        <v>Service</v>
      </c>
      <c r="V187" s="156" t="str">
        <f>+VLOOKUP($L187,Data_Validation!$A:$D,4,0)</f>
        <v>M/O Client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customHeight="1">
      <c r="A188" s="1014" t="s">
        <v>2191</v>
      </c>
      <c r="B188" s="1014" t="s">
        <v>2192</v>
      </c>
      <c r="C188" s="1016">
        <v>-209.85</v>
      </c>
      <c r="D188" s="1016">
        <v>-572.42999999999995</v>
      </c>
      <c r="E188" s="1016">
        <v>-782.28</v>
      </c>
      <c r="F188" s="1014" t="s">
        <v>285</v>
      </c>
      <c r="G188" s="1014" t="s">
        <v>2192</v>
      </c>
      <c r="H188" s="1015"/>
      <c r="I188" s="1015"/>
      <c r="J188" s="1015"/>
      <c r="K188" s="1015"/>
      <c r="L188" s="153" t="str">
        <f t="shared" si="15"/>
        <v>4402</v>
      </c>
      <c r="M188" s="154" t="str">
        <f t="shared" si="16"/>
        <v>VTE - M.O. ESTHETIQUE CLIENT</v>
      </c>
      <c r="N188" s="155">
        <f>+IF(OR($Q188=Parametres!$G$2,$Q188=Parametres!$G$3),I188,C188)</f>
        <v>-209.85</v>
      </c>
      <c r="O188" s="155">
        <f>+IF(OR($Q188=Parametres!$G$2,$Q188=Parametres!$G$3),J188,D188)</f>
        <v>-572.42999999999995</v>
      </c>
      <c r="P188" s="155">
        <f>+IF(OR($Q188=Parametres!$G$2,$Q188=Parametres!$G$3),K188,E188)</f>
        <v>-782.28</v>
      </c>
      <c r="Q188" s="154" t="str">
        <f t="shared" si="17"/>
        <v>5-Ventes</v>
      </c>
      <c r="R188" s="153" t="str">
        <f t="shared" si="18"/>
        <v>4402</v>
      </c>
      <c r="S188" s="154">
        <f t="shared" si="19"/>
        <v>0</v>
      </c>
      <c r="T188" s="156" t="str">
        <f>+VLOOKUP($L188,Data_Validation!$A:$D,1,0)</f>
        <v>4402</v>
      </c>
      <c r="U188" s="156" t="str">
        <f>+VLOOKUP($L188,Data_Validation!$A:$D,3,0)</f>
        <v>Service</v>
      </c>
      <c r="V188" s="156" t="str">
        <f>+VLOOKUP($L188,Data_Validation!$A:$D,4,0)</f>
        <v>M/O Esthétique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customHeight="1">
      <c r="A189" s="1014" t="s">
        <v>2041</v>
      </c>
      <c r="B189" s="1014" t="s">
        <v>2042</v>
      </c>
      <c r="C189" s="1016">
        <v>-116840.23</v>
      </c>
      <c r="D189" s="1016">
        <v>-42296.04</v>
      </c>
      <c r="E189" s="1016">
        <v>-159136.26999999999</v>
      </c>
      <c r="F189" s="1014" t="s">
        <v>285</v>
      </c>
      <c r="G189" s="1014" t="s">
        <v>2042</v>
      </c>
      <c r="H189" s="1015"/>
      <c r="I189" s="1015"/>
      <c r="J189" s="1015"/>
      <c r="K189" s="1015"/>
      <c r="L189" s="153" t="str">
        <f t="shared" si="15"/>
        <v>4403</v>
      </c>
      <c r="M189" s="154" t="str">
        <f t="shared" si="16"/>
        <v>M.O. MECANIQUE-VENTE GAR. MANU</v>
      </c>
      <c r="N189" s="155">
        <f>+IF(OR($Q189=Parametres!$G$2,$Q189=Parametres!$G$3),I189,C189)</f>
        <v>-116840.23</v>
      </c>
      <c r="O189" s="155">
        <f>+IF(OR($Q189=Parametres!$G$2,$Q189=Parametres!$G$3),J189,D189)</f>
        <v>-42296.04</v>
      </c>
      <c r="P189" s="155">
        <f>+IF(OR($Q189=Parametres!$G$2,$Q189=Parametres!$G$3),K189,E189)</f>
        <v>-159136.26999999999</v>
      </c>
      <c r="Q189" s="154" t="str">
        <f t="shared" si="17"/>
        <v>5-Ventes</v>
      </c>
      <c r="R189" s="153" t="str">
        <f t="shared" si="18"/>
        <v>4403</v>
      </c>
      <c r="S189" s="154">
        <f t="shared" si="19"/>
        <v>0</v>
      </c>
      <c r="T189" s="156" t="str">
        <f>+VLOOKUP($L189,Data_Validation!$A:$D,1,0)</f>
        <v>4403</v>
      </c>
      <c r="U189" s="156" t="str">
        <f>+VLOOKUP($L189,Data_Validation!$A:$D,3,0)</f>
        <v>Service</v>
      </c>
      <c r="V189" s="156" t="str">
        <f>+VLOOKUP($L189,Data_Validation!$A:$D,4,0)</f>
        <v>M/O Garantie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014" t="s">
        <v>2041</v>
      </c>
      <c r="B190" s="1014" t="s">
        <v>2522</v>
      </c>
      <c r="C190" s="1036"/>
      <c r="D190" s="1036"/>
      <c r="E190" s="1036"/>
      <c r="F190" s="1014" t="s">
        <v>4</v>
      </c>
      <c r="G190" s="1014" t="s">
        <v>2042</v>
      </c>
      <c r="H190" s="1015"/>
      <c r="I190" s="1016">
        <v>-542</v>
      </c>
      <c r="J190" s="1016">
        <v>-204</v>
      </c>
      <c r="K190" s="1016">
        <v>-746</v>
      </c>
      <c r="L190" s="153" t="str">
        <f t="shared" si="15"/>
        <v>4403@</v>
      </c>
      <c r="M190" s="154" t="str">
        <f t="shared" si="16"/>
        <v>M.O. MECANIQUE-VENTE GAR. MANU</v>
      </c>
      <c r="N190" s="155">
        <f>+IF(OR($Q190=Parametres!$G$2,$Q190=Parametres!$G$3),I190,C190)</f>
        <v>-542</v>
      </c>
      <c r="O190" s="155">
        <f>+IF(OR($Q190=Parametres!$G$2,$Q190=Parametres!$G$3),J190,D190)</f>
        <v>-204</v>
      </c>
      <c r="P190" s="155">
        <f>+IF(OR($Q190=Parametres!$G$2,$Q190=Parametres!$G$3),K190,E190)</f>
        <v>-746</v>
      </c>
      <c r="Q190" s="154" t="str">
        <f t="shared" si="17"/>
        <v>10-Compte compteur</v>
      </c>
      <c r="R190" s="153" t="str">
        <f t="shared" si="18"/>
        <v>4403</v>
      </c>
      <c r="S190" s="154">
        <f t="shared" si="19"/>
        <v>0</v>
      </c>
      <c r="T190" s="156" t="str">
        <f>+VLOOKUP($L190,Data_Validation!$A:$D,1,0)</f>
        <v>4403@</v>
      </c>
      <c r="U190" s="156" t="str">
        <f>+VLOOKUP($L190,Data_Validation!$A:$D,3,0)</f>
        <v>Service</v>
      </c>
      <c r="V190" s="156" t="str">
        <f>+VLOOKUP($L190,Data_Validation!$A:$D,4,0)</f>
        <v>M/O Garantie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014" t="s">
        <v>2051</v>
      </c>
      <c r="B191" s="1014" t="s">
        <v>2052</v>
      </c>
      <c r="C191" s="1016">
        <v>-77290.95</v>
      </c>
      <c r="D191" s="1016">
        <v>-74680.899999999994</v>
      </c>
      <c r="E191" s="1016">
        <v>-151971.85</v>
      </c>
      <c r="F191" s="1014" t="s">
        <v>285</v>
      </c>
      <c r="G191" s="1014" t="s">
        <v>2052</v>
      </c>
      <c r="H191" s="1015"/>
      <c r="I191" s="1015"/>
      <c r="J191" s="1015"/>
      <c r="K191" s="1015"/>
      <c r="L191" s="153" t="str">
        <f t="shared" si="15"/>
        <v>4405</v>
      </c>
      <c r="M191" s="154" t="str">
        <f t="shared" si="16"/>
        <v>M.O. MECANIQUE-VENTE INTERNE</v>
      </c>
      <c r="N191" s="155">
        <f>+IF(OR($Q191=Parametres!$G$2,$Q191=Parametres!$G$3),I191,C191)</f>
        <v>-77290.95</v>
      </c>
      <c r="O191" s="155">
        <f>+IF(OR($Q191=Parametres!$G$2,$Q191=Parametres!$G$3),J191,D191)</f>
        <v>-74680.899999999994</v>
      </c>
      <c r="P191" s="155">
        <f>+IF(OR($Q191=Parametres!$G$2,$Q191=Parametres!$G$3),K191,E191)</f>
        <v>-151971.85</v>
      </c>
      <c r="Q191" s="154" t="str">
        <f t="shared" si="17"/>
        <v>5-Ventes</v>
      </c>
      <c r="R191" s="153" t="str">
        <f t="shared" si="18"/>
        <v>4405</v>
      </c>
      <c r="S191" s="154">
        <f t="shared" si="19"/>
        <v>0</v>
      </c>
      <c r="T191" s="156" t="str">
        <f>+VLOOKUP($L191,Data_Validation!$A:$D,1,0)</f>
        <v>4405</v>
      </c>
      <c r="U191" s="156" t="str">
        <f>+VLOOKUP($L191,Data_Validation!$A:$D,3,0)</f>
        <v>Service</v>
      </c>
      <c r="V191" s="156" t="str">
        <f>+VLOOKUP($L191,Data_Validation!$A:$D,4,0)</f>
        <v>M/O Interne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014" t="s">
        <v>2051</v>
      </c>
      <c r="B192" s="1014" t="s">
        <v>2523</v>
      </c>
      <c r="C192" s="1036"/>
      <c r="D192" s="1036"/>
      <c r="E192" s="1036"/>
      <c r="F192" s="1014" t="s">
        <v>4</v>
      </c>
      <c r="G192" s="1014" t="s">
        <v>2052</v>
      </c>
      <c r="H192" s="1015"/>
      <c r="I192" s="1016">
        <v>-371</v>
      </c>
      <c r="J192" s="1016">
        <v>-397</v>
      </c>
      <c r="K192" s="1016">
        <v>-768</v>
      </c>
      <c r="L192" s="153" t="str">
        <f t="shared" si="15"/>
        <v>4405@</v>
      </c>
      <c r="M192" s="154" t="str">
        <f t="shared" si="16"/>
        <v>M.O. MECANIQUE-VENTE INTERNE</v>
      </c>
      <c r="N192" s="155">
        <f>+IF(OR($Q192=Parametres!$G$2,$Q192=Parametres!$G$3),I192,C192)</f>
        <v>-371</v>
      </c>
      <c r="O192" s="155">
        <f>+IF(OR($Q192=Parametres!$G$2,$Q192=Parametres!$G$3),J192,D192)</f>
        <v>-397</v>
      </c>
      <c r="P192" s="155">
        <f>+IF(OR($Q192=Parametres!$G$2,$Q192=Parametres!$G$3),K192,E192)</f>
        <v>-768</v>
      </c>
      <c r="Q192" s="154" t="str">
        <f t="shared" si="17"/>
        <v>10-Compte compteur</v>
      </c>
      <c r="R192" s="153" t="str">
        <f t="shared" si="18"/>
        <v>4405</v>
      </c>
      <c r="S192" s="154">
        <f t="shared" si="19"/>
        <v>0</v>
      </c>
      <c r="T192" s="156" t="str">
        <f>+VLOOKUP($L192,Data_Validation!$A:$D,1,0)</f>
        <v>4405@</v>
      </c>
      <c r="U192" s="156" t="str">
        <f>+VLOOKUP($L192,Data_Validation!$A:$D,3,0)</f>
        <v>Service</v>
      </c>
      <c r="V192" s="156" t="str">
        <f>+VLOOKUP($L192,Data_Validation!$A:$D,4,0)</f>
        <v>M/O Interne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014" t="s">
        <v>2071</v>
      </c>
      <c r="B193" s="1014" t="s">
        <v>2072</v>
      </c>
      <c r="C193" s="1016">
        <v>-22786.18</v>
      </c>
      <c r="D193" s="1016">
        <v>-16473.04</v>
      </c>
      <c r="E193" s="1016">
        <v>-39259.22</v>
      </c>
      <c r="F193" s="1014" t="s">
        <v>285</v>
      </c>
      <c r="G193" s="1014" t="s">
        <v>2073</v>
      </c>
      <c r="H193" s="1015"/>
      <c r="I193" s="1015"/>
      <c r="J193" s="1015"/>
      <c r="K193" s="1015"/>
      <c r="L193" s="153" t="str">
        <f t="shared" si="15"/>
        <v>4451</v>
      </c>
      <c r="M193" s="154" t="str">
        <f t="shared" si="16"/>
        <v>CARBURANT/HUILE/GRAISSE</v>
      </c>
      <c r="N193" s="155">
        <f>+IF(OR($Q193=Parametres!$G$2,$Q193=Parametres!$G$3),I193,C193)</f>
        <v>-22786.18</v>
      </c>
      <c r="O193" s="155">
        <f>+IF(OR($Q193=Parametres!$G$2,$Q193=Parametres!$G$3),J193,D193)</f>
        <v>-16473.04</v>
      </c>
      <c r="P193" s="155">
        <f>+IF(OR($Q193=Parametres!$G$2,$Q193=Parametres!$G$3),K193,E193)</f>
        <v>-39259.22</v>
      </c>
      <c r="Q193" s="154" t="str">
        <f t="shared" si="17"/>
        <v>5-Ventes</v>
      </c>
      <c r="R193" s="153" t="str">
        <f t="shared" si="18"/>
        <v>4782</v>
      </c>
      <c r="S193" s="154">
        <f t="shared" si="19"/>
        <v>0</v>
      </c>
      <c r="T193" s="156" t="str">
        <f>+VLOOKUP($L193,Data_Validation!$A:$D,1,0)</f>
        <v>4451</v>
      </c>
      <c r="U193" s="156" t="str">
        <f>+VLOOKUP($L193,Data_Validation!$A:$D,3,0)</f>
        <v>Pièces</v>
      </c>
      <c r="V193" s="156" t="str">
        <f>+VLOOKUP($L193,Data_Validation!$A:$D,4,0)</f>
        <v>Huiles et Graisse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customHeight="1">
      <c r="A194" s="1014" t="s">
        <v>2071</v>
      </c>
      <c r="B194" s="1014" t="s">
        <v>2526</v>
      </c>
      <c r="C194" s="1036"/>
      <c r="D194" s="1036"/>
      <c r="E194" s="1036"/>
      <c r="F194" s="1014" t="s">
        <v>4</v>
      </c>
      <c r="G194" s="1014" t="s">
        <v>2073</v>
      </c>
      <c r="H194" s="1015"/>
      <c r="I194" s="1016">
        <v>-382</v>
      </c>
      <c r="J194" s="1016">
        <v>-331</v>
      </c>
      <c r="K194" s="1016">
        <v>-713</v>
      </c>
      <c r="L194" s="153" t="str">
        <f t="shared" si="15"/>
        <v>4451@</v>
      </c>
      <c r="M194" s="154" t="str">
        <f t="shared" si="16"/>
        <v>CARBURANT/HUILE/GRAISSE</v>
      </c>
      <c r="N194" s="155">
        <f>+IF(OR($Q194=Parametres!$G$2,$Q194=Parametres!$G$3),I194,C194)</f>
        <v>-382</v>
      </c>
      <c r="O194" s="155">
        <f>+IF(OR($Q194=Parametres!$G$2,$Q194=Parametres!$G$3),J194,D194)</f>
        <v>-331</v>
      </c>
      <c r="P194" s="155">
        <f>+IF(OR($Q194=Parametres!$G$2,$Q194=Parametres!$G$3),K194,E194)</f>
        <v>-713</v>
      </c>
      <c r="Q194" s="154" t="str">
        <f t="shared" si="17"/>
        <v>10-Compte compteur</v>
      </c>
      <c r="R194" s="153" t="str">
        <f t="shared" si="18"/>
        <v>4782</v>
      </c>
      <c r="S194" s="154">
        <f t="shared" si="19"/>
        <v>0</v>
      </c>
      <c r="T194" s="156" t="str">
        <f>+VLOOKUP($L194,Data_Validation!$A:$D,1,0)</f>
        <v>4451@</v>
      </c>
      <c r="U194" s="156" t="str">
        <f>+VLOOKUP($L194,Data_Validation!$A:$D,3,0)</f>
        <v>Pièces</v>
      </c>
      <c r="V194" s="156" t="str">
        <f>+VLOOKUP($L194,Data_Validation!$A:$D,4,0)</f>
        <v>Huiles et Graisse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customHeight="1">
      <c r="A195" s="1014" t="s">
        <v>2144</v>
      </c>
      <c r="B195" s="1014" t="s">
        <v>2145</v>
      </c>
      <c r="C195" s="1016">
        <v>-1215.3699999999999</v>
      </c>
      <c r="D195" s="1016">
        <v>-1968.65</v>
      </c>
      <c r="E195" s="1016">
        <v>-3184.02</v>
      </c>
      <c r="F195" s="1014" t="s">
        <v>285</v>
      </c>
      <c r="G195" s="1014" t="s">
        <v>2145</v>
      </c>
      <c r="H195" s="1015"/>
      <c r="I195" s="1015"/>
      <c r="J195" s="1015"/>
      <c r="K195" s="1015"/>
      <c r="L195" s="153" t="str">
        <f t="shared" ref="L195:L226" si="20">+B195</f>
        <v>4491</v>
      </c>
      <c r="M195" s="154" t="str">
        <f t="shared" ref="M195:M226" si="21">+A195</f>
        <v>REPARATION SOUS-LOC. - GENERAL</v>
      </c>
      <c r="N195" s="155">
        <f>+IF(OR($Q195=Parametres!$G$2,$Q195=Parametres!$G$3),I195,C195)</f>
        <v>-1215.3699999999999</v>
      </c>
      <c r="O195" s="155">
        <f>+IF(OR($Q195=Parametres!$G$2,$Q195=Parametres!$G$3),J195,D195)</f>
        <v>-1968.65</v>
      </c>
      <c r="P195" s="155">
        <f>+IF(OR($Q195=Parametres!$G$2,$Q195=Parametres!$G$3),K195,E195)</f>
        <v>-3184.02</v>
      </c>
      <c r="Q195" s="154" t="str">
        <f t="shared" ref="Q195:Q226" si="22">+F195</f>
        <v>5-Ventes</v>
      </c>
      <c r="R195" s="153" t="str">
        <f t="shared" ref="R195:R226" si="23">+G195</f>
        <v>4491</v>
      </c>
      <c r="S195" s="154">
        <f t="shared" ref="S195:S226" si="24">+H195</f>
        <v>0</v>
      </c>
      <c r="T195" s="156" t="str">
        <f>+VLOOKUP($L195,Data_Validation!$A:$D,1,0)</f>
        <v>4491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4" t="s">
        <v>2144</v>
      </c>
      <c r="B196" s="1014" t="s">
        <v>2527</v>
      </c>
      <c r="C196" s="1036"/>
      <c r="D196" s="1036"/>
      <c r="E196" s="1036"/>
      <c r="F196" s="1014" t="s">
        <v>4</v>
      </c>
      <c r="G196" s="1014" t="s">
        <v>2145</v>
      </c>
      <c r="H196" s="1015"/>
      <c r="I196" s="1016">
        <v>-5</v>
      </c>
      <c r="J196" s="1016">
        <v>-9</v>
      </c>
      <c r="K196" s="1016">
        <v>-14</v>
      </c>
      <c r="L196" s="153" t="str">
        <f t="shared" si="20"/>
        <v>4491@</v>
      </c>
      <c r="M196" s="154" t="str">
        <f t="shared" si="21"/>
        <v>REPARATION SOUS-LOC. - GENERAL</v>
      </c>
      <c r="N196" s="155">
        <f>+IF(OR($Q196=Parametres!$G$2,$Q196=Parametres!$G$3),I196,C196)</f>
        <v>-5</v>
      </c>
      <c r="O196" s="575">
        <f>+IF(OR($Q196=Parametres!$G$2,$Q196=Parametres!$G$3),J196,D196)</f>
        <v>-9</v>
      </c>
      <c r="P196" s="155">
        <f>+IF(OR($Q196=Parametres!$G$2,$Q196=Parametres!$G$3),K196,E196)</f>
        <v>-14</v>
      </c>
      <c r="Q196" s="154" t="str">
        <f t="shared" si="22"/>
        <v>10-Compte compteur</v>
      </c>
      <c r="R196" s="153" t="str">
        <f t="shared" si="23"/>
        <v>4491</v>
      </c>
      <c r="S196" s="154">
        <f t="shared" si="24"/>
        <v>0</v>
      </c>
      <c r="T196" s="156" t="str">
        <f>+VLOOKUP($L196,Data_Validation!$A:$D,1,0)</f>
        <v>4491@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4" t="s">
        <v>2167</v>
      </c>
      <c r="B197" s="1014" t="s">
        <v>2168</v>
      </c>
      <c r="C197" s="1016">
        <v>-4199.6000000000004</v>
      </c>
      <c r="D197" s="1016">
        <v>-275</v>
      </c>
      <c r="E197" s="1016">
        <v>-4474.6000000000004</v>
      </c>
      <c r="F197" s="1014" t="s">
        <v>285</v>
      </c>
      <c r="G197" s="1014" t="s">
        <v>2168</v>
      </c>
      <c r="H197" s="1015"/>
      <c r="I197" s="1015"/>
      <c r="J197" s="1015"/>
      <c r="K197" s="1015"/>
      <c r="L197" s="153" t="str">
        <f t="shared" si="20"/>
        <v>4493</v>
      </c>
      <c r="M197" s="154" t="str">
        <f t="shared" si="21"/>
        <v>VTE - SOUS-TRAITANCE GARANTIE</v>
      </c>
      <c r="N197" s="155">
        <f>+IF(OR($Q197=Parametres!$G$2,$Q197=Parametres!$G$3),I197,C197)</f>
        <v>-4199.6000000000004</v>
      </c>
      <c r="O197" s="155">
        <f>+IF(OR($Q197=Parametres!$G$2,$Q197=Parametres!$G$3),J197,D197)</f>
        <v>-275</v>
      </c>
      <c r="P197" s="155">
        <f>+IF(OR($Q197=Parametres!$G$2,$Q197=Parametres!$G$3),K197,E197)</f>
        <v>-4474.6000000000004</v>
      </c>
      <c r="Q197" s="154" t="str">
        <f t="shared" si="22"/>
        <v>5-Ventes</v>
      </c>
      <c r="R197" s="153" t="str">
        <f t="shared" si="23"/>
        <v>4493</v>
      </c>
      <c r="S197" s="154">
        <f t="shared" si="24"/>
        <v>0</v>
      </c>
      <c r="T197" s="156" t="str">
        <f>+VLOOKUP($L197,Data_Validation!$A:$D,1,0)</f>
        <v>4493</v>
      </c>
      <c r="U197" s="156" t="str">
        <f>+VLOOKUP($L197,Data_Validation!$A:$D,3,0)</f>
        <v>Service</v>
      </c>
      <c r="V197" s="156" t="str">
        <f>+VLOOKUP($L197,Data_Validation!$A:$D,4,0)</f>
        <v>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4" t="s">
        <v>2528</v>
      </c>
      <c r="B198" s="1014" t="s">
        <v>2529</v>
      </c>
      <c r="C198" s="1036"/>
      <c r="D198" s="1036"/>
      <c r="E198" s="1036"/>
      <c r="F198" s="1014" t="s">
        <v>4</v>
      </c>
      <c r="G198" s="1014" t="s">
        <v>2168</v>
      </c>
      <c r="H198" s="1015"/>
      <c r="I198" s="1016">
        <v>-6</v>
      </c>
      <c r="J198" s="1016">
        <v>-1</v>
      </c>
      <c r="K198" s="1016">
        <v>-7</v>
      </c>
      <c r="L198" s="153" t="str">
        <f t="shared" si="20"/>
        <v>4493@</v>
      </c>
      <c r="M198" s="154" t="str">
        <f t="shared" si="21"/>
        <v># DE VTE - SOUS-TRAITANCE GARANTIE</v>
      </c>
      <c r="N198" s="155">
        <f>+IF(OR($Q198=Parametres!$G$2,$Q198=Parametres!$G$3),I198,C198)</f>
        <v>-6</v>
      </c>
      <c r="O198" s="155">
        <f>+IF(OR($Q198=Parametres!$G$2,$Q198=Parametres!$G$3),J198,D198)</f>
        <v>-1</v>
      </c>
      <c r="P198" s="155">
        <f>+IF(OR($Q198=Parametres!$G$2,$Q198=Parametres!$G$3),K198,E198)</f>
        <v>-7</v>
      </c>
      <c r="Q198" s="154" t="str">
        <f t="shared" si="22"/>
        <v>10-Compte compteur</v>
      </c>
      <c r="R198" s="153" t="str">
        <f t="shared" si="23"/>
        <v>4493</v>
      </c>
      <c r="S198" s="154">
        <f t="shared" si="24"/>
        <v>0</v>
      </c>
      <c r="T198" s="156" t="str">
        <f>+VLOOKUP($L198,Data_Validation!$A:$D,1,0)</f>
        <v>4493@</v>
      </c>
      <c r="U198" s="156" t="str">
        <f>+VLOOKUP($L198,Data_Validation!$A:$D,3,0)</f>
        <v>Service</v>
      </c>
      <c r="V198" s="156" t="str">
        <f>+VLOOKUP($L198,Data_Validation!$A:$D,4,0)</f>
        <v>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4" t="s">
        <v>2086</v>
      </c>
      <c r="B199" s="1014" t="s">
        <v>2087</v>
      </c>
      <c r="C199" s="1016">
        <v>-22599.47</v>
      </c>
      <c r="D199" s="1016">
        <v>-20037.099999999999</v>
      </c>
      <c r="E199" s="1016">
        <v>-42636.57</v>
      </c>
      <c r="F199" s="1014" t="s">
        <v>285</v>
      </c>
      <c r="G199" s="1014" t="s">
        <v>2087</v>
      </c>
      <c r="H199" s="1015"/>
      <c r="I199" s="1015"/>
      <c r="J199" s="1015"/>
      <c r="K199" s="1015"/>
      <c r="L199" s="153" t="str">
        <f t="shared" si="20"/>
        <v>4495</v>
      </c>
      <c r="M199" s="154" t="str">
        <f t="shared" si="21"/>
        <v>VTE - S-TRAITANCE MEC.INTERNE VW</v>
      </c>
      <c r="N199" s="155">
        <f>+IF(OR($Q199=Parametres!$G$2,$Q199=Parametres!$G$3),I199,C199)</f>
        <v>-22599.47</v>
      </c>
      <c r="O199" s="155">
        <f>+IF(OR($Q199=Parametres!$G$2,$Q199=Parametres!$G$3),J199,D199)</f>
        <v>-20037.099999999999</v>
      </c>
      <c r="P199" s="155">
        <f>+IF(OR($Q199=Parametres!$G$2,$Q199=Parametres!$G$3),K199,E199)</f>
        <v>-42636.57</v>
      </c>
      <c r="Q199" s="154" t="str">
        <f t="shared" si="22"/>
        <v>5-Ventes</v>
      </c>
      <c r="R199" s="153" t="str">
        <f t="shared" si="23"/>
        <v>4495</v>
      </c>
      <c r="S199" s="154">
        <f t="shared" si="24"/>
        <v>0</v>
      </c>
      <c r="T199" s="156" t="str">
        <f>+VLOOKUP($L199,Data_Validation!$A:$D,1,0)</f>
        <v>4495</v>
      </c>
      <c r="U199" s="156" t="str">
        <f>+VLOOKUP($L199,Data_Validation!$A:$D,3,0)</f>
        <v>Service</v>
      </c>
      <c r="V199" s="156" t="str">
        <f>+VLOOKUP($L199,Data_Validation!$A:$D,4,0)</f>
        <v>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4" t="s">
        <v>2530</v>
      </c>
      <c r="B200" s="1014" t="s">
        <v>2531</v>
      </c>
      <c r="C200" s="1036"/>
      <c r="D200" s="1036"/>
      <c r="E200" s="1036"/>
      <c r="F200" s="1014" t="s">
        <v>4</v>
      </c>
      <c r="G200" s="1014" t="s">
        <v>2087</v>
      </c>
      <c r="H200" s="1015"/>
      <c r="I200" s="1016">
        <v>-97</v>
      </c>
      <c r="J200" s="1016">
        <v>-89</v>
      </c>
      <c r="K200" s="1016">
        <v>-186</v>
      </c>
      <c r="L200" s="153" t="str">
        <f t="shared" si="20"/>
        <v>4495@</v>
      </c>
      <c r="M200" s="154" t="str">
        <f t="shared" si="21"/>
        <v># DE VTE - S-TRAITANCE MEC.INTERNE VW</v>
      </c>
      <c r="N200" s="155">
        <f>+IF(OR($Q200=Parametres!$G$2,$Q200=Parametres!$G$3),I200,C200)</f>
        <v>-97</v>
      </c>
      <c r="O200" s="575">
        <f>+IF(OR($Q200=Parametres!$G$2,$Q200=Parametres!$G$3),J200,D200)</f>
        <v>-89</v>
      </c>
      <c r="P200" s="155">
        <f>+IF(OR($Q200=Parametres!$G$2,$Q200=Parametres!$G$3),K200,E200)</f>
        <v>-186</v>
      </c>
      <c r="Q200" s="154" t="str">
        <f t="shared" si="22"/>
        <v>10-Compte compteur</v>
      </c>
      <c r="R200" s="153" t="str">
        <f t="shared" si="23"/>
        <v>4495</v>
      </c>
      <c r="S200" s="154">
        <f t="shared" si="24"/>
        <v>0</v>
      </c>
      <c r="T200" s="156" t="str">
        <f>+VLOOKUP($L200,Data_Validation!$A:$D,1,0)</f>
        <v>4495@</v>
      </c>
      <c r="U200" s="156" t="str">
        <f>+VLOOKUP($L200,Data_Validation!$A:$D,3,0)</f>
        <v>Service</v>
      </c>
      <c r="V200" s="156" t="str">
        <f>+VLOOKUP($L200,Data_Validation!$A:$D,4,0)</f>
        <v>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4" t="s">
        <v>2069</v>
      </c>
      <c r="B201" s="1014" t="s">
        <v>2070</v>
      </c>
      <c r="C201" s="1016">
        <v>-56165.01</v>
      </c>
      <c r="D201" s="1016">
        <v>-31559.919999999998</v>
      </c>
      <c r="E201" s="1016">
        <v>-87724.93</v>
      </c>
      <c r="F201" s="1014" t="s">
        <v>285</v>
      </c>
      <c r="G201" s="1014" t="s">
        <v>2070</v>
      </c>
      <c r="H201" s="1015"/>
      <c r="I201" s="1015"/>
      <c r="J201" s="1015"/>
      <c r="K201" s="1015"/>
      <c r="L201" s="153" t="str">
        <f t="shared" si="20"/>
        <v>4591</v>
      </c>
      <c r="M201" s="154" t="str">
        <f t="shared" si="21"/>
        <v>VTE - S-TRAIT. CARR.</v>
      </c>
      <c r="N201" s="155">
        <f>+IF(OR($Q201=Parametres!$G$2,$Q201=Parametres!$G$3),I201,C201)</f>
        <v>-56165.01</v>
      </c>
      <c r="O201" s="155">
        <f>+IF(OR($Q201=Parametres!$G$2,$Q201=Parametres!$G$3),J201,D201)</f>
        <v>-31559.919999999998</v>
      </c>
      <c r="P201" s="155">
        <f>+IF(OR($Q201=Parametres!$G$2,$Q201=Parametres!$G$3),K201,E201)</f>
        <v>-87724.93</v>
      </c>
      <c r="Q201" s="154" t="str">
        <f t="shared" si="22"/>
        <v>5-Ventes</v>
      </c>
      <c r="R201" s="153" t="str">
        <f t="shared" si="23"/>
        <v>4591</v>
      </c>
      <c r="S201" s="154">
        <f t="shared" si="24"/>
        <v>0</v>
      </c>
      <c r="T201" s="156" t="str">
        <f>+VLOOKUP($L201,Data_Validation!$A:$D,1,0)</f>
        <v>4591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4" t="s">
        <v>2532</v>
      </c>
      <c r="B202" s="1014" t="s">
        <v>2533</v>
      </c>
      <c r="C202" s="1036"/>
      <c r="D202" s="1036"/>
      <c r="E202" s="1036"/>
      <c r="F202" s="1014" t="s">
        <v>4</v>
      </c>
      <c r="G202" s="1014" t="s">
        <v>2070</v>
      </c>
      <c r="H202" s="1015"/>
      <c r="I202" s="1016">
        <v>-34</v>
      </c>
      <c r="J202" s="1016">
        <v>-22</v>
      </c>
      <c r="K202" s="1016">
        <v>-56</v>
      </c>
      <c r="L202" s="153" t="str">
        <f t="shared" si="20"/>
        <v>4591@</v>
      </c>
      <c r="M202" s="154" t="str">
        <f t="shared" si="21"/>
        <v>REPARATION SOUS-LOC.-PEINT/DEB</v>
      </c>
      <c r="N202" s="155">
        <f>+IF(OR($Q202=Parametres!$G$2,$Q202=Parametres!$G$3),I202,C202)</f>
        <v>-34</v>
      </c>
      <c r="O202" s="575">
        <f>+IF(OR($Q202=Parametres!$G$2,$Q202=Parametres!$G$3),J202,D202)</f>
        <v>-22</v>
      </c>
      <c r="P202" s="155">
        <f>+IF(OR($Q202=Parametres!$G$2,$Q202=Parametres!$G$3),K202,E202)</f>
        <v>-56</v>
      </c>
      <c r="Q202" s="154" t="str">
        <f t="shared" si="22"/>
        <v>10-Compte compteur</v>
      </c>
      <c r="R202" s="153" t="str">
        <f t="shared" si="23"/>
        <v>4591</v>
      </c>
      <c r="S202" s="154">
        <f t="shared" si="24"/>
        <v>0</v>
      </c>
      <c r="T202" s="156" t="str">
        <f>+VLOOKUP($L202,Data_Validation!$A:$D,1,0)</f>
        <v>4591@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4" t="s">
        <v>2067</v>
      </c>
      <c r="B203" s="1014" t="s">
        <v>2068</v>
      </c>
      <c r="C203" s="1016">
        <v>-117459.08</v>
      </c>
      <c r="D203" s="1016">
        <v>-63601.89</v>
      </c>
      <c r="E203" s="1016">
        <v>-181060.97</v>
      </c>
      <c r="F203" s="1014" t="s">
        <v>285</v>
      </c>
      <c r="G203" s="1014" t="s">
        <v>2068</v>
      </c>
      <c r="H203" s="1015"/>
      <c r="I203" s="1015"/>
      <c r="J203" s="1015"/>
      <c r="K203" s="1015"/>
      <c r="L203" s="153" t="str">
        <f t="shared" si="20"/>
        <v>4593</v>
      </c>
      <c r="M203" s="154" t="str">
        <f t="shared" si="21"/>
        <v>VTE - SOUS-TRAITANCE GARANTIE CARR.</v>
      </c>
      <c r="N203" s="155">
        <f>+IF(OR($Q203=Parametres!$G$2,$Q203=Parametres!$G$3),I203,C203)</f>
        <v>-117459.08</v>
      </c>
      <c r="O203" s="155">
        <f>+IF(OR($Q203=Parametres!$G$2,$Q203=Parametres!$G$3),J203,D203)</f>
        <v>-63601.89</v>
      </c>
      <c r="P203" s="155">
        <f>+IF(OR($Q203=Parametres!$G$2,$Q203=Parametres!$G$3),K203,E203)</f>
        <v>-181060.97</v>
      </c>
      <c r="Q203" s="154" t="str">
        <f t="shared" si="22"/>
        <v>5-Ventes</v>
      </c>
      <c r="R203" s="153" t="str">
        <f t="shared" si="23"/>
        <v>4593</v>
      </c>
      <c r="S203" s="154">
        <f t="shared" si="24"/>
        <v>0</v>
      </c>
      <c r="T203" s="156" t="str">
        <f>+VLOOKUP($L203,Data_Validation!$A:$D,1,0)</f>
        <v>4593</v>
      </c>
      <c r="U203" s="156" t="str">
        <f>+VLOOKUP($L203,Data_Validation!$A:$D,3,0)</f>
        <v>Carrosserie</v>
      </c>
      <c r="V203" s="156" t="str">
        <f>+VLOOKUP($L203,Data_Validation!$A:$D,4,0)</f>
        <v>M/O Sous-traitement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4" t="s">
        <v>2534</v>
      </c>
      <c r="B204" s="1014" t="s">
        <v>2535</v>
      </c>
      <c r="C204" s="1016"/>
      <c r="D204" s="1016"/>
      <c r="E204" s="1016"/>
      <c r="F204" s="1014" t="s">
        <v>4</v>
      </c>
      <c r="G204" s="1014" t="s">
        <v>2068</v>
      </c>
      <c r="H204" s="1015"/>
      <c r="I204" s="1015">
        <v>-56</v>
      </c>
      <c r="J204" s="1015">
        <v>-35</v>
      </c>
      <c r="K204" s="1015">
        <v>-91</v>
      </c>
      <c r="L204" s="153" t="str">
        <f t="shared" si="20"/>
        <v>4593@</v>
      </c>
      <c r="M204" s="154" t="str">
        <f t="shared" si="21"/>
        <v># DE VTE - S-TRAITANCE GAR.CARR.</v>
      </c>
      <c r="N204" s="155">
        <f>+IF(OR($Q204=Parametres!$G$2,$Q204=Parametres!$G$3),I204,C204)</f>
        <v>-56</v>
      </c>
      <c r="O204" s="155">
        <f>+IF(OR($Q204=Parametres!$G$2,$Q204=Parametres!$G$3),J204,D204)</f>
        <v>-35</v>
      </c>
      <c r="P204" s="155">
        <f>+IF(OR($Q204=Parametres!$G$2,$Q204=Parametres!$G$3),K204,E204)</f>
        <v>-91</v>
      </c>
      <c r="Q204" s="154" t="str">
        <f t="shared" si="22"/>
        <v>10-Compte compteur</v>
      </c>
      <c r="R204" s="153" t="str">
        <f t="shared" si="23"/>
        <v>4593</v>
      </c>
      <c r="S204" s="154">
        <f t="shared" si="24"/>
        <v>0</v>
      </c>
      <c r="T204" s="156" t="str">
        <f>+VLOOKUP($L204,Data_Validation!$A:$D,1,0)</f>
        <v>4593@</v>
      </c>
      <c r="U204" s="156" t="str">
        <f>+VLOOKUP($L204,Data_Validation!$A:$D,3,0)</f>
        <v>Carrosserie</v>
      </c>
      <c r="V204" s="156" t="str">
        <f>+VLOOKUP($L204,Data_Validation!$A:$D,4,0)</f>
        <v>M/O Sous-traitement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customHeight="1">
      <c r="A205" s="1014" t="s">
        <v>2100</v>
      </c>
      <c r="B205" s="1014" t="s">
        <v>2101</v>
      </c>
      <c r="C205" s="1016">
        <v>-3647.5</v>
      </c>
      <c r="D205" s="1016">
        <v>-6859.66</v>
      </c>
      <c r="E205" s="1016">
        <v>-10507.16</v>
      </c>
      <c r="F205" s="1014" t="s">
        <v>285</v>
      </c>
      <c r="G205" s="1014" t="s">
        <v>2101</v>
      </c>
      <c r="H205" s="1015"/>
      <c r="I205" s="1015"/>
      <c r="J205" s="1015"/>
      <c r="K205" s="1015"/>
      <c r="L205" s="153" t="str">
        <f t="shared" si="20"/>
        <v>4595</v>
      </c>
      <c r="M205" s="154" t="str">
        <f t="shared" si="21"/>
        <v>VTE - SOUS-TRAITANCE INTERNE CARR.</v>
      </c>
      <c r="N205" s="155">
        <f>+IF(OR($Q205=Parametres!$G$2,$Q205=Parametres!$G$3),I205,C205)</f>
        <v>-3647.5</v>
      </c>
      <c r="O205" s="155">
        <f>+IF(OR($Q205=Parametres!$G$2,$Q205=Parametres!$G$3),J205,D205)</f>
        <v>-6859.66</v>
      </c>
      <c r="P205" s="155">
        <f>+IF(OR($Q205=Parametres!$G$2,$Q205=Parametres!$G$3),K205,E205)</f>
        <v>-10507.16</v>
      </c>
      <c r="Q205" s="154" t="str">
        <f t="shared" si="22"/>
        <v>5-Ventes</v>
      </c>
      <c r="R205" s="153" t="str">
        <f t="shared" si="23"/>
        <v>4595</v>
      </c>
      <c r="S205" s="154">
        <f t="shared" si="24"/>
        <v>0</v>
      </c>
      <c r="T205" s="156" t="str">
        <f>+VLOOKUP($L205,Data_Validation!$A:$D,1,0)</f>
        <v>4595</v>
      </c>
      <c r="U205" s="156" t="str">
        <f>+VLOOKUP($L205,Data_Validation!$A:$D,3,0)</f>
        <v>Carrosserie</v>
      </c>
      <c r="V205" s="156" t="str">
        <f>+VLOOKUP($L205,Data_Validation!$A:$D,4,0)</f>
        <v>M/O Sous-traitement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4" t="s">
        <v>2536</v>
      </c>
      <c r="B206" s="1014" t="s">
        <v>2537</v>
      </c>
      <c r="C206" s="1016"/>
      <c r="D206" s="1016"/>
      <c r="E206" s="1016"/>
      <c r="F206" s="1014" t="s">
        <v>4</v>
      </c>
      <c r="G206" s="1014" t="s">
        <v>2101</v>
      </c>
      <c r="H206" s="1015"/>
      <c r="I206" s="1015">
        <v>-13</v>
      </c>
      <c r="J206" s="1015">
        <v>-16</v>
      </c>
      <c r="K206" s="1015">
        <v>-29</v>
      </c>
      <c r="L206" s="153" t="str">
        <f t="shared" si="20"/>
        <v>4595@</v>
      </c>
      <c r="M206" s="154" t="str">
        <f t="shared" si="21"/>
        <v># DE VTE - S-TRAIT.INTERNE CARR.</v>
      </c>
      <c r="N206" s="155">
        <f>+IF(OR($Q206=Parametres!$G$2,$Q206=Parametres!$G$3),I206,C206)</f>
        <v>-13</v>
      </c>
      <c r="O206" s="575">
        <f>+IF(OR($Q206=Parametres!$G$2,$Q206=Parametres!$G$3),J206,D206)</f>
        <v>-16</v>
      </c>
      <c r="P206" s="155">
        <f>+IF(OR($Q206=Parametres!$G$2,$Q206=Parametres!$G$3),K206,E206)</f>
        <v>-29</v>
      </c>
      <c r="Q206" s="154" t="str">
        <f t="shared" si="22"/>
        <v>10-Compte compteur</v>
      </c>
      <c r="R206" s="153" t="str">
        <f t="shared" si="23"/>
        <v>4595</v>
      </c>
      <c r="S206" s="154">
        <f t="shared" si="24"/>
        <v>0</v>
      </c>
      <c r="T206" s="156" t="str">
        <f>+VLOOKUP($L206,Data_Validation!$A:$D,1,0)</f>
        <v>4595@</v>
      </c>
      <c r="U206" s="156" t="str">
        <f>+VLOOKUP($L206,Data_Validation!$A:$D,3,0)</f>
        <v>Carrosserie</v>
      </c>
      <c r="V206" s="156" t="str">
        <f>+VLOOKUP($L206,Data_Validation!$A:$D,4,0)</f>
        <v>M/O Sous-traitement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4" t="s">
        <v>2023</v>
      </c>
      <c r="B207" s="1014" t="s">
        <v>2024</v>
      </c>
      <c r="C207" s="1016">
        <v>-88925.98</v>
      </c>
      <c r="D207" s="1016">
        <v>-46591.11</v>
      </c>
      <c r="E207" s="1016">
        <v>-135517.09</v>
      </c>
      <c r="F207" s="1014" t="s">
        <v>285</v>
      </c>
      <c r="G207" s="1014" t="s">
        <v>2024</v>
      </c>
      <c r="H207" s="1015"/>
      <c r="I207" s="1015"/>
      <c r="J207" s="1015"/>
      <c r="K207" s="1015"/>
      <c r="L207" s="153" t="str">
        <f t="shared" si="20"/>
        <v>4701</v>
      </c>
      <c r="M207" s="154" t="str">
        <f t="shared" si="21"/>
        <v>VTE - PIECE/ACC B.R. CLIENT VW</v>
      </c>
      <c r="N207" s="155">
        <f>+IF(OR($Q207=Parametres!$G$2,$Q207=Parametres!$G$3),I207,C207)</f>
        <v>-88925.98</v>
      </c>
      <c r="O207" s="155">
        <f>+IF(OR($Q207=Parametres!$G$2,$Q207=Parametres!$G$3),J207,D207)</f>
        <v>-46591.11</v>
      </c>
      <c r="P207" s="155">
        <f>+IF(OR($Q207=Parametres!$G$2,$Q207=Parametres!$G$3),K207,E207)</f>
        <v>-135517.09</v>
      </c>
      <c r="Q207" s="154" t="str">
        <f t="shared" si="22"/>
        <v>5-Ventes</v>
      </c>
      <c r="R207" s="153" t="str">
        <f t="shared" si="23"/>
        <v>4701</v>
      </c>
      <c r="S207" s="154">
        <f t="shared" si="24"/>
        <v>0</v>
      </c>
      <c r="T207" s="156" t="str">
        <f>+VLOOKUP($L207,Data_Validation!$A:$D,1,0)</f>
        <v>4701</v>
      </c>
      <c r="U207" s="156" t="str">
        <f>+VLOOKUP($L207,Data_Validation!$A:$D,3,0)</f>
        <v>Pièces</v>
      </c>
      <c r="V207" s="156" t="str">
        <f>+VLOOKUP($L207,Data_Validation!$A:$D,4,0)</f>
        <v>Pièces Ro Clients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4" t="s">
        <v>2538</v>
      </c>
      <c r="B208" s="1014" t="s">
        <v>2539</v>
      </c>
      <c r="C208" s="1016"/>
      <c r="D208" s="1016"/>
      <c r="E208" s="1016"/>
      <c r="F208" s="1014" t="s">
        <v>4</v>
      </c>
      <c r="G208" s="1014" t="s">
        <v>2024</v>
      </c>
      <c r="H208" s="1015"/>
      <c r="I208" s="1015">
        <v>-408</v>
      </c>
      <c r="J208" s="1015">
        <v>-347</v>
      </c>
      <c r="K208" s="1015">
        <v>-755</v>
      </c>
      <c r="L208" s="153" t="str">
        <f t="shared" si="20"/>
        <v>4701@</v>
      </c>
      <c r="M208" s="154" t="str">
        <f t="shared" si="21"/>
        <v>PIECES-BON REPARATION- CLIENTS</v>
      </c>
      <c r="N208" s="155">
        <f>+IF(OR($Q208=Parametres!$G$2,$Q208=Parametres!$G$3),I208,C208)</f>
        <v>-408</v>
      </c>
      <c r="O208" s="155">
        <f>+IF(OR($Q208=Parametres!$G$2,$Q208=Parametres!$G$3),J208,D208)</f>
        <v>-347</v>
      </c>
      <c r="P208" s="155">
        <f>+IF(OR($Q208=Parametres!$G$2,$Q208=Parametres!$G$3),K208,E208)</f>
        <v>-755</v>
      </c>
      <c r="Q208" s="154" t="str">
        <f t="shared" si="22"/>
        <v>10-Compte compteur</v>
      </c>
      <c r="R208" s="153" t="str">
        <f t="shared" si="23"/>
        <v>4701</v>
      </c>
      <c r="S208" s="154">
        <f t="shared" si="24"/>
        <v>0</v>
      </c>
      <c r="T208" s="156" t="str">
        <f>+VLOOKUP($L208,Data_Validation!$A:$D,1,0)</f>
        <v>4701@</v>
      </c>
      <c r="U208" s="156" t="str">
        <f>+VLOOKUP($L208,Data_Validation!$A:$D,3,0)</f>
        <v>Pièces</v>
      </c>
      <c r="V208" s="156" t="str">
        <f>+VLOOKUP($L208,Data_Validation!$A:$D,4,0)</f>
        <v>Pièces Ro Clients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4" t="s">
        <v>2150</v>
      </c>
      <c r="B209" s="1014" t="s">
        <v>2151</v>
      </c>
      <c r="C209" s="1016">
        <v>-431.54</v>
      </c>
      <c r="D209" s="1016">
        <v>-470.45</v>
      </c>
      <c r="E209" s="1016">
        <v>-901.99</v>
      </c>
      <c r="F209" s="1014" t="s">
        <v>285</v>
      </c>
      <c r="G209" s="1014" t="s">
        <v>2151</v>
      </c>
      <c r="H209" s="1015"/>
      <c r="I209" s="1015"/>
      <c r="J209" s="1015"/>
      <c r="K209" s="1015"/>
      <c r="L209" s="153" t="str">
        <f t="shared" si="20"/>
        <v>4702</v>
      </c>
      <c r="M209" s="154" t="str">
        <f t="shared" si="21"/>
        <v>VTE - SHOP SUPPLY VW</v>
      </c>
      <c r="N209" s="155">
        <f>+IF(OR($Q209=Parametres!$G$2,$Q209=Parametres!$G$3),I209,C209)</f>
        <v>-431.54</v>
      </c>
      <c r="O209" s="155">
        <f>+IF(OR($Q209=Parametres!$G$2,$Q209=Parametres!$G$3),J209,D209)</f>
        <v>-470.45</v>
      </c>
      <c r="P209" s="155">
        <f>+IF(OR($Q209=Parametres!$G$2,$Q209=Parametres!$G$3),K209,E209)</f>
        <v>-901.99</v>
      </c>
      <c r="Q209" s="154" t="str">
        <f t="shared" si="22"/>
        <v>5-Ventes</v>
      </c>
      <c r="R209" s="153" t="str">
        <f t="shared" si="23"/>
        <v>4702</v>
      </c>
      <c r="S209" s="154">
        <f t="shared" si="24"/>
        <v>0</v>
      </c>
      <c r="T209" s="156" t="str">
        <f>+VLOOKUP($L209,Data_Validation!$A:$D,1,0)</f>
        <v>4702</v>
      </c>
      <c r="U209" s="156" t="str">
        <f>+VLOOKUP($L209,Data_Validation!$A:$D,3,0)</f>
        <v>Service</v>
      </c>
      <c r="V209" s="156" t="str">
        <f>+VLOOKUP($L209,Data_Validation!$A:$D,4,0)</f>
        <v>M/O Client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4" t="s">
        <v>2043</v>
      </c>
      <c r="B210" s="1014" t="s">
        <v>2044</v>
      </c>
      <c r="C210" s="1016">
        <v>-174535.75</v>
      </c>
      <c r="D210" s="1016">
        <v>-48253</v>
      </c>
      <c r="E210" s="1016">
        <v>-222788.75</v>
      </c>
      <c r="F210" s="1014" t="s">
        <v>285</v>
      </c>
      <c r="G210" s="1014" t="s">
        <v>2044</v>
      </c>
      <c r="H210" s="1015"/>
      <c r="I210" s="1015"/>
      <c r="J210" s="1015"/>
      <c r="K210" s="1015"/>
      <c r="L210" s="153" t="str">
        <f t="shared" si="20"/>
        <v>4703</v>
      </c>
      <c r="M210" s="154" t="str">
        <f t="shared" si="21"/>
        <v>VTE - PIECE/ACC B.R. GARANTIE VW</v>
      </c>
      <c r="N210" s="155">
        <f>+IF(OR($Q210=Parametres!$G$2,$Q210=Parametres!$G$3),I210,C210)</f>
        <v>-174535.75</v>
      </c>
      <c r="O210" s="155">
        <f>+IF(OR($Q210=Parametres!$G$2,$Q210=Parametres!$G$3),J210,D210)</f>
        <v>-48253</v>
      </c>
      <c r="P210" s="155">
        <f>+IF(OR($Q210=Parametres!$G$2,$Q210=Parametres!$G$3),K210,E210)</f>
        <v>-222788.75</v>
      </c>
      <c r="Q210" s="154" t="str">
        <f t="shared" si="22"/>
        <v>5-Ventes</v>
      </c>
      <c r="R210" s="153" t="str">
        <f t="shared" si="23"/>
        <v>4703</v>
      </c>
      <c r="S210" s="154">
        <f t="shared" si="24"/>
        <v>0</v>
      </c>
      <c r="T210" s="156" t="str">
        <f>+VLOOKUP($L210,Data_Validation!$A:$D,1,0)</f>
        <v>4703</v>
      </c>
      <c r="U210" s="156" t="str">
        <f>+VLOOKUP($L210,Data_Validation!$A:$D,3,0)</f>
        <v>Pièces</v>
      </c>
      <c r="V210" s="156" t="str">
        <f>+VLOOKUP($L210,Data_Validation!$A:$D,4,0)</f>
        <v>P/A Garantie</v>
      </c>
      <c r="W210" s="156" t="str">
        <f>+VLOOKUP($L210,Data_Validation!$A:$E,5,0)</f>
        <v>$</v>
      </c>
      <c r="X210" s="156" t="str">
        <f>+VLOOKUP($L210,Data_Validation!$A:$F,6,0)</f>
        <v>Oui</v>
      </c>
    </row>
    <row r="211" spans="1:24" ht="15.75" customHeight="1">
      <c r="A211" s="1014" t="s">
        <v>2540</v>
      </c>
      <c r="B211" s="1014" t="s">
        <v>2541</v>
      </c>
      <c r="C211" s="1016"/>
      <c r="D211" s="1016"/>
      <c r="E211" s="1016"/>
      <c r="F211" s="1014" t="s">
        <v>4</v>
      </c>
      <c r="G211" s="1014" t="s">
        <v>2044</v>
      </c>
      <c r="H211" s="1015"/>
      <c r="I211" s="1015">
        <v>-322</v>
      </c>
      <c r="J211" s="1015">
        <v>-131</v>
      </c>
      <c r="K211" s="1015">
        <v>-453</v>
      </c>
      <c r="L211" s="153" t="str">
        <f t="shared" si="20"/>
        <v>4703@</v>
      </c>
      <c r="M211" s="154" t="str">
        <f t="shared" si="21"/>
        <v>PIECES-BON REPARATION-GAR. MAN</v>
      </c>
      <c r="N211" s="155">
        <f>+IF(OR($Q211=Parametres!$G$2,$Q211=Parametres!$G$3),I211,C211)</f>
        <v>-322</v>
      </c>
      <c r="O211" s="155">
        <f>+IF(OR($Q211=Parametres!$G$2,$Q211=Parametres!$G$3),J211,D211)</f>
        <v>-131</v>
      </c>
      <c r="P211" s="155">
        <f>+IF(OR($Q211=Parametres!$G$2,$Q211=Parametres!$G$3),K211,E211)</f>
        <v>-453</v>
      </c>
      <c r="Q211" s="154" t="str">
        <f t="shared" si="22"/>
        <v>10-Compte compteur</v>
      </c>
      <c r="R211" s="153" t="str">
        <f t="shared" si="23"/>
        <v>4703</v>
      </c>
      <c r="S211" s="154">
        <f t="shared" si="24"/>
        <v>0</v>
      </c>
      <c r="T211" s="156" t="str">
        <f>+VLOOKUP($L211,Data_Validation!$A:$D,1,0)</f>
        <v>4703@</v>
      </c>
      <c r="U211" s="156" t="str">
        <f>+VLOOKUP($L211,Data_Validation!$A:$D,3,0)</f>
        <v>Pièces</v>
      </c>
      <c r="V211" s="156" t="str">
        <f>+VLOOKUP($L211,Data_Validation!$A:$D,4,0)</f>
        <v>P/A Garantie</v>
      </c>
      <c r="W211" s="156" t="str">
        <f>+VLOOKUP($L211,Data_Validation!$A:$E,5,0)</f>
        <v>NB</v>
      </c>
      <c r="X211" s="156">
        <f>+VLOOKUP($L211,Data_Validation!$A:$F,6,0)</f>
        <v>0</v>
      </c>
    </row>
    <row r="212" spans="1:24" ht="15" customHeight="1">
      <c r="A212" s="1014" t="s">
        <v>2047</v>
      </c>
      <c r="B212" s="1014" t="s">
        <v>2048</v>
      </c>
      <c r="C212" s="1016">
        <v>-50378.23</v>
      </c>
      <c r="D212" s="1016">
        <v>-53378.239999999998</v>
      </c>
      <c r="E212" s="1016">
        <v>-103756.47</v>
      </c>
      <c r="F212" s="1014" t="s">
        <v>285</v>
      </c>
      <c r="G212" s="1014" t="s">
        <v>2048</v>
      </c>
      <c r="H212" s="1015"/>
      <c r="I212" s="1015"/>
      <c r="J212" s="1015"/>
      <c r="K212" s="1015"/>
      <c r="L212" s="153" t="str">
        <f t="shared" si="20"/>
        <v>4705</v>
      </c>
      <c r="M212" s="154" t="str">
        <f t="shared" si="21"/>
        <v>VTE - PIECE/ACC B.R. INTERNE VW</v>
      </c>
      <c r="N212" s="155">
        <f>+IF(OR($Q212=Parametres!$G$2,$Q212=Parametres!$G$3),I212,C212)</f>
        <v>-50378.23</v>
      </c>
      <c r="O212" s="576">
        <f>+IF(OR($Q212=Parametres!$G$2,$Q212=Parametres!$G$3),J212,D212)</f>
        <v>-53378.239999999998</v>
      </c>
      <c r="P212" s="155">
        <f>+IF(OR($Q212=Parametres!$G$2,$Q212=Parametres!$G$3),K212,E212)</f>
        <v>-103756.47</v>
      </c>
      <c r="Q212" s="154" t="str">
        <f t="shared" si="22"/>
        <v>5-Ventes</v>
      </c>
      <c r="R212" s="153" t="str">
        <f t="shared" si="23"/>
        <v>4705</v>
      </c>
      <c r="S212" s="154">
        <f t="shared" si="24"/>
        <v>0</v>
      </c>
      <c r="T212" s="156" t="str">
        <f>+VLOOKUP($L212,Data_Validation!$A:$D,1,0)</f>
        <v>4705</v>
      </c>
      <c r="U212" s="156" t="str">
        <f>+VLOOKUP($L212,Data_Validation!$A:$D,3,0)</f>
        <v>Pièces</v>
      </c>
      <c r="V212" s="156" t="str">
        <f>+VLOOKUP($L212,Data_Validation!$A:$D,4,0)</f>
        <v>Ventes Internes</v>
      </c>
      <c r="W212" s="156" t="str">
        <f>+VLOOKUP($L212,Data_Validation!$A:$E,5,0)</f>
        <v>$</v>
      </c>
      <c r="X212" s="156" t="str">
        <f>+VLOOKUP($L212,Data_Validation!$A:$F,6,0)</f>
        <v>Oui</v>
      </c>
    </row>
    <row r="213" spans="1:24" ht="15" customHeight="1">
      <c r="A213" s="1014" t="s">
        <v>2542</v>
      </c>
      <c r="B213" s="1014" t="s">
        <v>2543</v>
      </c>
      <c r="C213" s="1016"/>
      <c r="D213" s="1016"/>
      <c r="E213" s="1016"/>
      <c r="F213" s="1014" t="s">
        <v>4</v>
      </c>
      <c r="G213" s="1014" t="s">
        <v>2048</v>
      </c>
      <c r="H213" s="1015"/>
      <c r="I213" s="1015">
        <v>-351</v>
      </c>
      <c r="J213" s="1015">
        <v>-355</v>
      </c>
      <c r="K213" s="1015">
        <v>-706</v>
      </c>
      <c r="L213" s="153" t="str">
        <f t="shared" si="20"/>
        <v>4705@</v>
      </c>
      <c r="M213" s="154" t="str">
        <f t="shared" si="21"/>
        <v>PIECES-BON REPARATION - INTERN</v>
      </c>
      <c r="N213" s="155">
        <f>+IF(OR($Q213=Parametres!$G$2,$Q213=Parametres!$G$3),I213,C213)</f>
        <v>-351</v>
      </c>
      <c r="O213" s="155">
        <f>+IF(OR($Q213=Parametres!$G$2,$Q213=Parametres!$G$3),J213,D213)</f>
        <v>-355</v>
      </c>
      <c r="P213" s="155">
        <f>+IF(OR($Q213=Parametres!$G$2,$Q213=Parametres!$G$3),K213,E213)</f>
        <v>-706</v>
      </c>
      <c r="Q213" s="154" t="str">
        <f t="shared" si="22"/>
        <v>10-Compte compteur</v>
      </c>
      <c r="R213" s="153" t="str">
        <f t="shared" si="23"/>
        <v>4705</v>
      </c>
      <c r="S213" s="154">
        <f t="shared" si="24"/>
        <v>0</v>
      </c>
      <c r="T213" s="156" t="str">
        <f>+VLOOKUP($L213,Data_Validation!$A:$D,1,0)</f>
        <v>4705@</v>
      </c>
      <c r="U213" s="156" t="str">
        <f>+VLOOKUP($L213,Data_Validation!$A:$D,3,0)</f>
        <v>Pièces</v>
      </c>
      <c r="V213" s="156" t="str">
        <f>+VLOOKUP($L213,Data_Validation!$A:$D,4,0)</f>
        <v>Ventes Internes</v>
      </c>
      <c r="W213" s="156" t="str">
        <f>+VLOOKUP($L213,Data_Validation!$A:$E,5,0)</f>
        <v>NB</v>
      </c>
      <c r="X213" s="156">
        <f>+VLOOKUP($L213,Data_Validation!$A:$F,6,0)</f>
        <v>0</v>
      </c>
    </row>
    <row r="214" spans="1:24" ht="15" customHeight="1">
      <c r="A214" s="1014" t="s">
        <v>2150</v>
      </c>
      <c r="B214" s="1014" t="s">
        <v>2169</v>
      </c>
      <c r="C214" s="1016">
        <v>-1182.9100000000001</v>
      </c>
      <c r="D214" s="1016">
        <v>-515.62</v>
      </c>
      <c r="E214" s="1016">
        <v>-1698.53</v>
      </c>
      <c r="F214" s="1014" t="s">
        <v>285</v>
      </c>
      <c r="G214" s="1014" t="s">
        <v>2169</v>
      </c>
      <c r="H214" s="1015"/>
      <c r="I214" s="1015"/>
      <c r="J214" s="1015"/>
      <c r="K214" s="1015"/>
      <c r="L214" s="153" t="str">
        <f t="shared" si="20"/>
        <v>4706</v>
      </c>
      <c r="M214" s="154" t="str">
        <f t="shared" si="21"/>
        <v>VTE - SHOP SUPPLY VW</v>
      </c>
      <c r="N214" s="155">
        <f>+IF(OR($Q214=Parametres!$G$2,$Q214=Parametres!$G$3),I214,C214)</f>
        <v>-1182.9100000000001</v>
      </c>
      <c r="O214" s="155">
        <f>+IF(OR($Q214=Parametres!$G$2,$Q214=Parametres!$G$3),J214,D214)</f>
        <v>-515.62</v>
      </c>
      <c r="P214" s="155">
        <f>+IF(OR($Q214=Parametres!$G$2,$Q214=Parametres!$G$3),K214,E214)</f>
        <v>-1698.53</v>
      </c>
      <c r="Q214" s="154" t="str">
        <f t="shared" si="22"/>
        <v>5-Ventes</v>
      </c>
      <c r="R214" s="153" t="str">
        <f t="shared" si="23"/>
        <v>4706</v>
      </c>
      <c r="S214" s="154">
        <f t="shared" si="24"/>
        <v>0</v>
      </c>
      <c r="T214" s="156" t="str">
        <f>+VLOOKUP($L214,Data_Validation!$A:$D,1,0)</f>
        <v>4706</v>
      </c>
      <c r="U214" s="156" t="str">
        <f>+VLOOKUP($L214,Data_Validation!$A:$D,3,0)</f>
        <v>Service</v>
      </c>
      <c r="V214" s="156" t="str">
        <f>+VLOOKUP($L214,Data_Validation!$A:$D,4,0)</f>
        <v>M/O Interne</v>
      </c>
      <c r="W214" s="156" t="str">
        <f>+VLOOKUP($L214,Data_Validation!$A:$E,5,0)</f>
        <v>$</v>
      </c>
      <c r="X214" s="156" t="str">
        <f>+VLOOKUP($L214,Data_Validation!$A:$F,6,0)</f>
        <v>Oui</v>
      </c>
    </row>
    <row r="215" spans="1:24" ht="15.75" customHeight="1">
      <c r="A215" s="1014" t="s">
        <v>2114</v>
      </c>
      <c r="B215" s="1014" t="s">
        <v>2115</v>
      </c>
      <c r="C215" s="1016">
        <v>-7115.48</v>
      </c>
      <c r="D215" s="1016">
        <v>-4744.71</v>
      </c>
      <c r="E215" s="1016">
        <v>-11860.19</v>
      </c>
      <c r="F215" s="1014" t="s">
        <v>285</v>
      </c>
      <c r="G215" s="1014" t="s">
        <v>335</v>
      </c>
      <c r="H215" s="1015"/>
      <c r="I215" s="1015"/>
      <c r="J215" s="1015"/>
      <c r="K215" s="1015"/>
      <c r="L215" s="153" t="str">
        <f t="shared" si="20"/>
        <v>4711</v>
      </c>
      <c r="M215" s="154" t="str">
        <f t="shared" si="21"/>
        <v>VTE - AUTRE PIECE/ACC/CARR B.R. CLIENT</v>
      </c>
      <c r="N215" s="155">
        <f>+IF(OR($Q215=Parametres!$G$2,$Q215=Parametres!$G$3),I215,C215)</f>
        <v>-7115.48</v>
      </c>
      <c r="O215" s="155">
        <f>+IF(OR($Q215=Parametres!$G$2,$Q215=Parametres!$G$3),J215,D215)</f>
        <v>-4744.71</v>
      </c>
      <c r="P215" s="155">
        <f>+IF(OR($Q215=Parametres!$G$2,$Q215=Parametres!$G$3),K215,E215)</f>
        <v>-11860.19</v>
      </c>
      <c r="Q215" s="154" t="str">
        <f t="shared" si="22"/>
        <v>5-Ventes</v>
      </c>
      <c r="R215" s="153" t="str">
        <f t="shared" si="23"/>
        <v>84711</v>
      </c>
      <c r="S215" s="154">
        <f t="shared" si="24"/>
        <v>0</v>
      </c>
      <c r="T215" s="156" t="str">
        <f>+VLOOKUP($L215,Data_Validation!$A:$D,1,0)</f>
        <v>4711</v>
      </c>
      <c r="U215" s="156" t="str">
        <f>+VLOOKUP($L215,Data_Validation!$A:$D,3,0)</f>
        <v>Pièces</v>
      </c>
      <c r="V215" s="156" t="str">
        <f>+VLOOKUP($L215,Data_Validation!$A:$D,4,0)</f>
        <v>Pièces Ro Clients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4" t="s">
        <v>2544</v>
      </c>
      <c r="B216" s="1014" t="s">
        <v>2545</v>
      </c>
      <c r="C216" s="1016"/>
      <c r="D216" s="1016"/>
      <c r="E216" s="1016"/>
      <c r="F216" s="1014" t="s">
        <v>4</v>
      </c>
      <c r="G216" s="1014" t="s">
        <v>335</v>
      </c>
      <c r="H216" s="1015"/>
      <c r="I216" s="1015">
        <v>-87</v>
      </c>
      <c r="J216" s="1015">
        <v>-134</v>
      </c>
      <c r="K216" s="1015">
        <v>-221</v>
      </c>
      <c r="L216" s="153" t="str">
        <f t="shared" si="20"/>
        <v>4711@</v>
      </c>
      <c r="M216" s="154" t="str">
        <f t="shared" si="21"/>
        <v># DE VTE - P&amp;A B.T. CLIENT AUDI</v>
      </c>
      <c r="N216" s="155">
        <f>+IF(OR($Q216=Parametres!$G$2,$Q216=Parametres!$G$3),I216,C216)</f>
        <v>-87</v>
      </c>
      <c r="O216" s="575">
        <f>+IF(OR($Q216=Parametres!$G$2,$Q216=Parametres!$G$3),J216,D216)</f>
        <v>-134</v>
      </c>
      <c r="P216" s="155">
        <f>+IF(OR($Q216=Parametres!$G$2,$Q216=Parametres!$G$3),K216,E216)</f>
        <v>-221</v>
      </c>
      <c r="Q216" s="154" t="str">
        <f t="shared" si="22"/>
        <v>10-Compte compteur</v>
      </c>
      <c r="R216" s="153" t="str">
        <f t="shared" si="23"/>
        <v>84711</v>
      </c>
      <c r="S216" s="154">
        <f t="shared" si="24"/>
        <v>0</v>
      </c>
      <c r="T216" s="156" t="str">
        <f>+VLOOKUP($L216,Data_Validation!$A:$D,1,0)</f>
        <v>4711@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4" t="s">
        <v>2107</v>
      </c>
      <c r="B217" s="1014" t="s">
        <v>2108</v>
      </c>
      <c r="C217" s="1016">
        <v>-10863.89</v>
      </c>
      <c r="D217" s="1016">
        <v>-9176.41</v>
      </c>
      <c r="E217" s="1016">
        <v>-20040.3</v>
      </c>
      <c r="F217" s="1014" t="s">
        <v>285</v>
      </c>
      <c r="G217" s="1014" t="s">
        <v>2108</v>
      </c>
      <c r="H217" s="949"/>
      <c r="I217" s="948"/>
      <c r="J217" s="948"/>
      <c r="K217" s="948"/>
      <c r="L217" s="153" t="str">
        <f t="shared" si="20"/>
        <v>4731</v>
      </c>
      <c r="M217" s="154" t="str">
        <f t="shared" si="21"/>
        <v>VTE - PIECES-BON REPAR.-PEINT/DEBOS</v>
      </c>
      <c r="N217" s="155">
        <f>+IF(OR($Q217=Parametres!$G$2,$Q217=Parametres!$G$3),I217,C217)</f>
        <v>-10863.89</v>
      </c>
      <c r="O217" s="155">
        <f>+IF(OR($Q217=Parametres!$G$2,$Q217=Parametres!$G$3),J217,D217)</f>
        <v>-9176.41</v>
      </c>
      <c r="P217" s="155">
        <f>+IF(OR($Q217=Parametres!$G$2,$Q217=Parametres!$G$3),K217,E217)</f>
        <v>-20040.3</v>
      </c>
      <c r="Q217" s="154" t="str">
        <f t="shared" si="22"/>
        <v>5-Ventes</v>
      </c>
      <c r="R217" s="153" t="str">
        <f t="shared" si="23"/>
        <v>4731</v>
      </c>
      <c r="S217" s="154">
        <f t="shared" si="24"/>
        <v>0</v>
      </c>
      <c r="T217" s="156" t="str">
        <f>+VLOOKUP($L217,Data_Validation!$A:$D,1,0)</f>
        <v>4731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4" t="s">
        <v>2548</v>
      </c>
      <c r="B218" s="1014" t="s">
        <v>2549</v>
      </c>
      <c r="C218" s="1016"/>
      <c r="D218" s="1016"/>
      <c r="E218" s="1016"/>
      <c r="F218" s="1014" t="s">
        <v>4</v>
      </c>
      <c r="G218" s="1014" t="s">
        <v>2108</v>
      </c>
      <c r="H218" s="150"/>
      <c r="I218" s="157">
        <v>-17</v>
      </c>
      <c r="J218" s="157">
        <v>-12</v>
      </c>
      <c r="K218" s="157">
        <v>-29</v>
      </c>
      <c r="L218" s="153" t="str">
        <f t="shared" si="20"/>
        <v>4731@</v>
      </c>
      <c r="M218" s="154" t="str">
        <f t="shared" si="21"/>
        <v>PIECES-BON REPAR. PEINT/DEBOS</v>
      </c>
      <c r="N218" s="155">
        <f>+IF(OR($Q218=Parametres!$G$2,$Q218=Parametres!$G$3),I218,C218)</f>
        <v>-17</v>
      </c>
      <c r="O218" s="575">
        <f>+IF(OR($Q218=Parametres!$G$2,$Q218=Parametres!$G$3),J218,D218)</f>
        <v>-12</v>
      </c>
      <c r="P218" s="155">
        <f>+IF(OR($Q218=Parametres!$G$2,$Q218=Parametres!$G$3),K218,E218)</f>
        <v>-29</v>
      </c>
      <c r="Q218" s="154" t="str">
        <f t="shared" si="22"/>
        <v>10-Compte compteur</v>
      </c>
      <c r="R218" s="153" t="str">
        <f t="shared" si="23"/>
        <v>4731</v>
      </c>
      <c r="S218" s="154">
        <f t="shared" si="24"/>
        <v>0</v>
      </c>
      <c r="T218" s="156" t="str">
        <f>+VLOOKUP($L218,Data_Validation!$A:$D,1,0)</f>
        <v>4731@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4" t="s">
        <v>2090</v>
      </c>
      <c r="B219" s="1014" t="s">
        <v>2091</v>
      </c>
      <c r="C219" s="1016">
        <v>-88048.91</v>
      </c>
      <c r="D219" s="1016">
        <v>-26056.29</v>
      </c>
      <c r="E219" s="1016">
        <v>-114105.2</v>
      </c>
      <c r="F219" s="1014" t="s">
        <v>285</v>
      </c>
      <c r="G219" s="1014" t="s">
        <v>2091</v>
      </c>
      <c r="H219" s="949"/>
      <c r="I219" s="948"/>
      <c r="J219" s="948"/>
      <c r="K219" s="948"/>
      <c r="L219" s="153" t="str">
        <f t="shared" si="20"/>
        <v>4733</v>
      </c>
      <c r="M219" s="154" t="str">
        <f t="shared" si="21"/>
        <v>VTE - P&amp;A B.T. GARANTIE CAR.</v>
      </c>
      <c r="N219" s="155">
        <f>+IF(OR($Q219=Parametres!$G$2,$Q219=Parametres!$G$3),I219,C219)</f>
        <v>-88048.91</v>
      </c>
      <c r="O219" s="575">
        <f>+IF(OR($Q219=Parametres!$G$2,$Q219=Parametres!$G$3),J219,D219)</f>
        <v>-26056.29</v>
      </c>
      <c r="P219" s="155">
        <f>+IF(OR($Q219=Parametres!$G$2,$Q219=Parametres!$G$3),K219,E219)</f>
        <v>-114105.2</v>
      </c>
      <c r="Q219" s="154" t="str">
        <f t="shared" si="22"/>
        <v>5-Ventes</v>
      </c>
      <c r="R219" s="153" t="str">
        <f t="shared" si="23"/>
        <v>4733</v>
      </c>
      <c r="S219" s="154">
        <f t="shared" si="24"/>
        <v>0</v>
      </c>
      <c r="T219" s="156" t="str">
        <f>+VLOOKUP($L219,Data_Validation!$A:$D,1,0)</f>
        <v>4733</v>
      </c>
      <c r="U219" s="156" t="str">
        <f>+VLOOKUP($L219,Data_Validation!$A:$D,3,0)</f>
        <v>Pièces</v>
      </c>
      <c r="V219" s="156" t="str">
        <f>+VLOOKUP($L219,Data_Validation!$A:$D,4,0)</f>
        <v>Pièces Ro Carrosserie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4" t="s">
        <v>2550</v>
      </c>
      <c r="B220" s="1014" t="s">
        <v>2551</v>
      </c>
      <c r="C220" s="1016"/>
      <c r="D220" s="1016"/>
      <c r="E220" s="1016"/>
      <c r="F220" s="1014" t="s">
        <v>4</v>
      </c>
      <c r="G220" s="1014" t="s">
        <v>2091</v>
      </c>
      <c r="H220" s="949"/>
      <c r="I220" s="949">
        <v>-46</v>
      </c>
      <c r="J220" s="949">
        <v>-26</v>
      </c>
      <c r="K220" s="949">
        <v>-72</v>
      </c>
      <c r="L220" s="153" t="str">
        <f t="shared" si="20"/>
        <v>4733@</v>
      </c>
      <c r="M220" s="154" t="str">
        <f t="shared" si="21"/>
        <v># DE VTE - P&amp;A B.T. GARANTIE CARR.</v>
      </c>
      <c r="N220" s="155">
        <f>+IF(OR($Q220=Parametres!$G$2,$Q220=Parametres!$G$3),I220,C220)</f>
        <v>-46</v>
      </c>
      <c r="O220" s="575">
        <f>+IF(OR($Q220=Parametres!$G$2,$Q220=Parametres!$G$3),J220,D220)</f>
        <v>-26</v>
      </c>
      <c r="P220" s="155">
        <f>+IF(OR($Q220=Parametres!$G$2,$Q220=Parametres!$G$3),K220,E220)</f>
        <v>-72</v>
      </c>
      <c r="Q220" s="154" t="str">
        <f t="shared" si="22"/>
        <v>10-Compte compteur</v>
      </c>
      <c r="R220" s="153" t="str">
        <f t="shared" si="23"/>
        <v>4733</v>
      </c>
      <c r="S220" s="154">
        <f t="shared" si="24"/>
        <v>0</v>
      </c>
      <c r="T220" s="156" t="str">
        <f>+VLOOKUP($L220,Data_Validation!$A:$D,1,0)</f>
        <v>4733@</v>
      </c>
      <c r="U220" s="156" t="str">
        <f>+VLOOKUP($L220,Data_Validation!$A:$D,3,0)</f>
        <v>Pièces</v>
      </c>
      <c r="V220" s="156" t="str">
        <f>+VLOOKUP($L220,Data_Validation!$A:$D,4,0)</f>
        <v>Pièces Ro Carrosserie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4" t="s">
        <v>2165</v>
      </c>
      <c r="B221" s="1014" t="s">
        <v>2166</v>
      </c>
      <c r="C221" s="1016">
        <v>-116.35</v>
      </c>
      <c r="D221" s="1016">
        <v>-1087.8399999999999</v>
      </c>
      <c r="E221" s="1016">
        <v>-1204.19</v>
      </c>
      <c r="F221" s="1014" t="s">
        <v>285</v>
      </c>
      <c r="G221" s="1014" t="s">
        <v>2166</v>
      </c>
      <c r="H221" s="949"/>
      <c r="I221" s="948"/>
      <c r="J221" s="948"/>
      <c r="K221" s="948"/>
      <c r="L221" s="153" t="str">
        <f t="shared" si="20"/>
        <v>4735</v>
      </c>
      <c r="M221" s="154" t="str">
        <f t="shared" si="21"/>
        <v>VTE - P&amp;A B.T. INTERNE CARROS.</v>
      </c>
      <c r="N221" s="155">
        <f>+IF(OR($Q221=Parametres!$G$2,$Q221=Parametres!$G$3),I221,C221)</f>
        <v>-116.35</v>
      </c>
      <c r="O221" s="575">
        <f>+IF(OR($Q221=Parametres!$G$2,$Q221=Parametres!$G$3),J221,D221)</f>
        <v>-1087.8399999999999</v>
      </c>
      <c r="P221" s="155">
        <f>+IF(OR($Q221=Parametres!$G$2,$Q221=Parametres!$G$3),K221,E221)</f>
        <v>-1204.19</v>
      </c>
      <c r="Q221" s="154" t="str">
        <f t="shared" si="22"/>
        <v>5-Ventes</v>
      </c>
      <c r="R221" s="153" t="str">
        <f t="shared" si="23"/>
        <v>4735</v>
      </c>
      <c r="S221" s="154">
        <f t="shared" si="24"/>
        <v>0</v>
      </c>
      <c r="T221" s="156" t="str">
        <f>+VLOOKUP($L221,Data_Validation!$A:$D,1,0)</f>
        <v>4735</v>
      </c>
      <c r="U221" s="156" t="str">
        <f>+VLOOKUP($L221,Data_Validation!$A:$D,3,0)</f>
        <v>Pièces</v>
      </c>
      <c r="V221" s="156" t="str">
        <f>+VLOOKUP($L221,Data_Validation!$A:$D,4,0)</f>
        <v>Pièces Ro Carrosserie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4" t="s">
        <v>2552</v>
      </c>
      <c r="B222" s="1014" t="s">
        <v>2553</v>
      </c>
      <c r="C222" s="1016"/>
      <c r="D222" s="1016"/>
      <c r="E222" s="1016"/>
      <c r="F222" s="1014" t="s">
        <v>4</v>
      </c>
      <c r="G222" s="1014" t="s">
        <v>2166</v>
      </c>
      <c r="H222" s="150"/>
      <c r="I222" s="157">
        <v>-3</v>
      </c>
      <c r="J222" s="157">
        <v>-5</v>
      </c>
      <c r="K222" s="157">
        <v>-8</v>
      </c>
      <c r="L222" s="153" t="str">
        <f t="shared" si="20"/>
        <v>4735@</v>
      </c>
      <c r="M222" s="154" t="str">
        <f t="shared" si="21"/>
        <v># DE VTE - P&amp;A B.T. INTERNE CARROS.</v>
      </c>
      <c r="N222" s="155">
        <f>+IF(OR($Q222=Parametres!$G$2,$Q222=Parametres!$G$3),I222,C222)</f>
        <v>-3</v>
      </c>
      <c r="O222" s="155">
        <f>+IF(OR($Q222=Parametres!$G$2,$Q222=Parametres!$G$3),J222,D222)</f>
        <v>-5</v>
      </c>
      <c r="P222" s="155">
        <f>+IF(OR($Q222=Parametres!$G$2,$Q222=Parametres!$G$3),K222,E222)</f>
        <v>-8</v>
      </c>
      <c r="Q222" s="154" t="str">
        <f t="shared" si="22"/>
        <v>10-Compte compteur</v>
      </c>
      <c r="R222" s="153" t="str">
        <f t="shared" si="23"/>
        <v>4735</v>
      </c>
      <c r="S222" s="154">
        <f t="shared" si="24"/>
        <v>0</v>
      </c>
      <c r="T222" s="156" t="str">
        <f>+VLOOKUP($L222,Data_Validation!$A:$D,1,0)</f>
        <v>4735@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4" t="s">
        <v>2082</v>
      </c>
      <c r="B223" s="1014" t="s">
        <v>2083</v>
      </c>
      <c r="C223" s="1016">
        <v>-20421.259999999998</v>
      </c>
      <c r="D223" s="1016">
        <v>-13350.72</v>
      </c>
      <c r="E223" s="1016">
        <v>-33771.980000000003</v>
      </c>
      <c r="F223" s="1014" t="s">
        <v>285</v>
      </c>
      <c r="G223" s="1014" t="s">
        <v>2083</v>
      </c>
      <c r="H223" s="150"/>
      <c r="I223" s="157"/>
      <c r="J223" s="157"/>
      <c r="K223" s="157"/>
      <c r="L223" s="153" t="str">
        <f t="shared" si="20"/>
        <v>4761</v>
      </c>
      <c r="M223" s="154" t="str">
        <f t="shared" si="21"/>
        <v>VTE - P&amp;A VW COMPTOIR - DETAIL</v>
      </c>
      <c r="N223" s="155">
        <f>+IF(OR($Q223=Parametres!$G$2,$Q223=Parametres!$G$3),I223,C223)</f>
        <v>-20421.259999999998</v>
      </c>
      <c r="O223" s="575">
        <f>+IF(OR($Q223=Parametres!$G$2,$Q223=Parametres!$G$3),J223,D223)</f>
        <v>-13350.72</v>
      </c>
      <c r="P223" s="155">
        <f>+IF(OR($Q223=Parametres!$G$2,$Q223=Parametres!$G$3),K223,E223)</f>
        <v>-33771.980000000003</v>
      </c>
      <c r="Q223" s="154" t="str">
        <f t="shared" si="22"/>
        <v>5-Ventes</v>
      </c>
      <c r="R223" s="153" t="str">
        <f t="shared" si="23"/>
        <v>4761</v>
      </c>
      <c r="S223" s="154">
        <f t="shared" si="24"/>
        <v>0</v>
      </c>
      <c r="T223" s="156" t="str">
        <f>+VLOOKUP($L223,Data_Validation!$A:$D,1,0)</f>
        <v>4761</v>
      </c>
      <c r="U223" s="156" t="str">
        <f>+VLOOKUP($L223,Data_Validation!$A:$D,3,0)</f>
        <v>Pièces</v>
      </c>
      <c r="V223" s="156" t="str">
        <f>+VLOOKUP($L223,Data_Validation!$A:$D,4,0)</f>
        <v>Ventes Détails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4" t="s">
        <v>2554</v>
      </c>
      <c r="B224" s="1014" t="s">
        <v>2555</v>
      </c>
      <c r="C224" s="1016"/>
      <c r="D224" s="1016"/>
      <c r="E224" s="1016"/>
      <c r="F224" s="1014" t="s">
        <v>4</v>
      </c>
      <c r="G224" s="1014" t="s">
        <v>2083</v>
      </c>
      <c r="H224" s="949"/>
      <c r="I224" s="948">
        <v>-289</v>
      </c>
      <c r="J224" s="948">
        <v>-159</v>
      </c>
      <c r="K224" s="948">
        <v>-448</v>
      </c>
      <c r="L224" s="153" t="str">
        <f t="shared" si="20"/>
        <v>4761@</v>
      </c>
      <c r="M224" s="154" t="str">
        <f t="shared" si="21"/>
        <v>PIECES-COMPTOIR-DETAIL</v>
      </c>
      <c r="N224" s="155">
        <f>+IF(OR($Q224=Parametres!$G$2,$Q224=Parametres!$G$3),I224,C224)</f>
        <v>-289</v>
      </c>
      <c r="O224" s="575">
        <f>+IF(OR($Q224=Parametres!$G$2,$Q224=Parametres!$G$3),J224,D224)</f>
        <v>-159</v>
      </c>
      <c r="P224" s="155">
        <f>+IF(OR($Q224=Parametres!$G$2,$Q224=Parametres!$G$3),K224,E224)</f>
        <v>-448</v>
      </c>
      <c r="Q224" s="154" t="str">
        <f t="shared" si="22"/>
        <v>10-Compte compteur</v>
      </c>
      <c r="R224" s="153" t="str">
        <f t="shared" si="23"/>
        <v>4761</v>
      </c>
      <c r="S224" s="154">
        <f t="shared" si="24"/>
        <v>0</v>
      </c>
      <c r="T224" s="156" t="str">
        <f>+VLOOKUP($L224,Data_Validation!$A:$D,1,0)</f>
        <v>4761@</v>
      </c>
      <c r="U224" s="156" t="str">
        <f>+VLOOKUP($L224,Data_Validation!$A:$D,3,0)</f>
        <v>Pièces</v>
      </c>
      <c r="V224" s="156" t="str">
        <f>+VLOOKUP($L224,Data_Validation!$A:$D,4,0)</f>
        <v>Ventes Détails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4" t="s">
        <v>2045</v>
      </c>
      <c r="B225" s="1014" t="s">
        <v>2046</v>
      </c>
      <c r="C225" s="1016">
        <v>-75974.509999999995</v>
      </c>
      <c r="D225" s="1016">
        <v>-51046.5</v>
      </c>
      <c r="E225" s="1016">
        <v>-127021.01</v>
      </c>
      <c r="F225" s="1014" t="s">
        <v>285</v>
      </c>
      <c r="G225" s="1014" t="s">
        <v>2046</v>
      </c>
      <c r="H225" s="150"/>
      <c r="I225" s="157"/>
      <c r="J225" s="157"/>
      <c r="K225" s="157"/>
      <c r="L225" s="153" t="str">
        <f t="shared" si="20"/>
        <v>4763</v>
      </c>
      <c r="M225" s="154" t="str">
        <f t="shared" si="21"/>
        <v>VTE - P&amp;A VW COMPTOIR GROS - ECHANGE</v>
      </c>
      <c r="N225" s="155">
        <f>+IF(OR($Q225=Parametres!$G$2,$Q225=Parametres!$G$3),I225,C225)</f>
        <v>-75974.509999999995</v>
      </c>
      <c r="O225" s="575">
        <f>+IF(OR($Q225=Parametres!$G$2,$Q225=Parametres!$G$3),J225,D225)</f>
        <v>-51046.5</v>
      </c>
      <c r="P225" s="155">
        <f>+IF(OR($Q225=Parametres!$G$2,$Q225=Parametres!$G$3),K225,E225)</f>
        <v>-127021.01</v>
      </c>
      <c r="Q225" s="154" t="str">
        <f t="shared" si="22"/>
        <v>5-Ventes</v>
      </c>
      <c r="R225" s="153" t="str">
        <f t="shared" si="23"/>
        <v>4763</v>
      </c>
      <c r="S225" s="154">
        <f t="shared" si="24"/>
        <v>0</v>
      </c>
      <c r="T225" s="156" t="str">
        <f>+VLOOKUP($L225,Data_Validation!$A:$D,1,0)</f>
        <v>4763</v>
      </c>
      <c r="U225" s="156" t="str">
        <f>+VLOOKUP($L225,Data_Validation!$A:$D,3,0)</f>
        <v>Pièces</v>
      </c>
      <c r="V225" s="156" t="str">
        <f>+VLOOKUP($L225,Data_Validation!$A:$D,4,0)</f>
        <v>Ventes de Gros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4" t="s">
        <v>2556</v>
      </c>
      <c r="B226" s="1014" t="s">
        <v>2557</v>
      </c>
      <c r="C226" s="1016"/>
      <c r="D226" s="1016"/>
      <c r="E226" s="1016"/>
      <c r="F226" s="1014" t="s">
        <v>4</v>
      </c>
      <c r="G226" s="1014" t="s">
        <v>2046</v>
      </c>
      <c r="H226" s="949"/>
      <c r="I226" s="948">
        <v>-329</v>
      </c>
      <c r="J226" s="948">
        <v>-185</v>
      </c>
      <c r="K226" s="948">
        <v>-514</v>
      </c>
      <c r="L226" s="153" t="str">
        <f t="shared" si="20"/>
        <v>4763@</v>
      </c>
      <c r="M226" s="154" t="str">
        <f t="shared" si="21"/>
        <v>PIECES-COMPTOIR-COMM. GROS</v>
      </c>
      <c r="N226" s="155">
        <f>+IF(OR($Q226=Parametres!$G$2,$Q226=Parametres!$G$3),I226,C226)</f>
        <v>-329</v>
      </c>
      <c r="O226" s="575">
        <f>+IF(OR($Q226=Parametres!$G$2,$Q226=Parametres!$G$3),J226,D226)</f>
        <v>-185</v>
      </c>
      <c r="P226" s="155">
        <f>+IF(OR($Q226=Parametres!$G$2,$Q226=Parametres!$G$3),K226,E226)</f>
        <v>-514</v>
      </c>
      <c r="Q226" s="154" t="str">
        <f t="shared" si="22"/>
        <v>10-Compte compteur</v>
      </c>
      <c r="R226" s="153" t="str">
        <f t="shared" si="23"/>
        <v>4763</v>
      </c>
      <c r="S226" s="154">
        <f t="shared" si="24"/>
        <v>0</v>
      </c>
      <c r="T226" s="156" t="str">
        <f>+VLOOKUP($L226,Data_Validation!$A:$D,1,0)</f>
        <v>4763@</v>
      </c>
      <c r="U226" s="156" t="str">
        <f>+VLOOKUP($L226,Data_Validation!$A:$D,3,0)</f>
        <v>Pièces</v>
      </c>
      <c r="V226" s="156" t="str">
        <f>+VLOOKUP($L226,Data_Validation!$A:$D,4,0)</f>
        <v>Ventes de Gros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4" t="s">
        <v>2034</v>
      </c>
      <c r="B227" s="1014" t="s">
        <v>2035</v>
      </c>
      <c r="C227" s="1016">
        <v>-42965</v>
      </c>
      <c r="D227" s="1016">
        <v>-28202.46</v>
      </c>
      <c r="E227" s="1016">
        <v>-71167.460000000006</v>
      </c>
      <c r="F227" s="1014" t="s">
        <v>285</v>
      </c>
      <c r="G227" s="1014" t="s">
        <v>2035</v>
      </c>
      <c r="H227" s="150"/>
      <c r="I227" s="157"/>
      <c r="J227" s="157"/>
      <c r="K227" s="157"/>
      <c r="L227" s="153" t="str">
        <f t="shared" ref="L227:L239" si="25">+B227</f>
        <v>4781</v>
      </c>
      <c r="M227" s="154" t="str">
        <f t="shared" ref="M227:M239" si="26">+A227</f>
        <v>VENTES PNEUS</v>
      </c>
      <c r="N227" s="155">
        <f>+IF(OR($Q227=Parametres!$G$2,$Q227=Parametres!$G$3),I227,C227)</f>
        <v>-42965</v>
      </c>
      <c r="O227" s="155">
        <f>+IF(OR($Q227=Parametres!$G$2,$Q227=Parametres!$G$3),J227,D227)</f>
        <v>-28202.46</v>
      </c>
      <c r="P227" s="155">
        <f>+IF(OR($Q227=Parametres!$G$2,$Q227=Parametres!$G$3),K227,E227)</f>
        <v>-71167.460000000006</v>
      </c>
      <c r="Q227" s="154" t="str">
        <f t="shared" ref="Q227:Q239" si="27">+F227</f>
        <v>5-Ventes</v>
      </c>
      <c r="R227" s="153" t="str">
        <f t="shared" ref="R227:R239" si="28">+G227</f>
        <v>4781</v>
      </c>
      <c r="S227" s="154">
        <f t="shared" ref="S227:S239" si="29">+H227</f>
        <v>0</v>
      </c>
      <c r="T227" s="156" t="str">
        <f>+VLOOKUP($L227,Data_Validation!$A:$D,1,0)</f>
        <v>4781</v>
      </c>
      <c r="U227" s="156" t="str">
        <f>+VLOOKUP($L227,Data_Validation!$A:$D,3,0)</f>
        <v>Pièces</v>
      </c>
      <c r="V227" s="156" t="str">
        <f>+VLOOKUP($L227,Data_Validation!$A:$D,4,0)</f>
        <v>Ventes Pneus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4" t="s">
        <v>2034</v>
      </c>
      <c r="B228" s="1014" t="s">
        <v>2558</v>
      </c>
      <c r="C228" s="1016"/>
      <c r="D228" s="1016"/>
      <c r="E228" s="1016"/>
      <c r="F228" s="1014" t="s">
        <v>4</v>
      </c>
      <c r="G228" s="1014" t="s">
        <v>2035</v>
      </c>
      <c r="H228" s="150"/>
      <c r="I228" s="157">
        <v>-62</v>
      </c>
      <c r="J228" s="157">
        <v>-43</v>
      </c>
      <c r="K228" s="157">
        <v>-105</v>
      </c>
      <c r="L228" s="153" t="str">
        <f t="shared" si="25"/>
        <v>4781@</v>
      </c>
      <c r="M228" s="154" t="str">
        <f t="shared" si="26"/>
        <v>VENTES PNEUS</v>
      </c>
      <c r="N228" s="155">
        <f>+IF(OR($Q228=Parametres!$G$2,$Q228=Parametres!$G$3),I228,C228)</f>
        <v>-62</v>
      </c>
      <c r="O228" s="155">
        <f>+IF(OR($Q228=Parametres!$G$2,$Q228=Parametres!$G$3),J228,D228)</f>
        <v>-43</v>
      </c>
      <c r="P228" s="155">
        <f>+IF(OR($Q228=Parametres!$G$2,$Q228=Parametres!$G$3),K228,E228)</f>
        <v>-105</v>
      </c>
      <c r="Q228" s="154" t="str">
        <f t="shared" si="27"/>
        <v>10-Compte compteur</v>
      </c>
      <c r="R228" s="153" t="str">
        <f t="shared" si="28"/>
        <v>4781</v>
      </c>
      <c r="S228" s="154">
        <f t="shared" si="29"/>
        <v>0</v>
      </c>
      <c r="T228" s="156" t="str">
        <f>+VLOOKUP($L228,Data_Validation!$A:$D,1,0)</f>
        <v>4781@</v>
      </c>
      <c r="U228" s="156" t="str">
        <f>+VLOOKUP($L228,Data_Validation!$A:$D,3,0)</f>
        <v>Pièces</v>
      </c>
      <c r="V228" s="156" t="str">
        <f>+VLOOKUP($L228,Data_Validation!$A:$D,4,0)</f>
        <v>Ventes Pneus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4" t="s">
        <v>2120</v>
      </c>
      <c r="B229" s="1014" t="s">
        <v>2121</v>
      </c>
      <c r="C229" s="1016">
        <v>-154.94999999999999</v>
      </c>
      <c r="D229" s="1016">
        <v>0</v>
      </c>
      <c r="E229" s="1016">
        <v>-154.94999999999999</v>
      </c>
      <c r="F229" s="1014" t="s">
        <v>285</v>
      </c>
      <c r="G229" s="1014" t="s">
        <v>2035</v>
      </c>
      <c r="H229" s="949"/>
      <c r="I229" s="948"/>
      <c r="J229" s="948"/>
      <c r="K229" s="948"/>
      <c r="L229" s="153" t="str">
        <f t="shared" si="25"/>
        <v>4785</v>
      </c>
      <c r="M229" s="154" t="str">
        <f t="shared" si="26"/>
        <v>VTE - VW PNEUS</v>
      </c>
      <c r="N229" s="155">
        <f>+IF(OR($Q229=Parametres!$G$2,$Q229=Parametres!$G$3),I229,C229)</f>
        <v>-154.94999999999999</v>
      </c>
      <c r="O229" s="575">
        <f>+IF(OR($Q229=Parametres!$G$2,$Q229=Parametres!$G$3),J229,D229)</f>
        <v>0</v>
      </c>
      <c r="P229" s="155">
        <f>+IF(OR($Q229=Parametres!$G$2,$Q229=Parametres!$G$3),K229,E229)</f>
        <v>-154.94999999999999</v>
      </c>
      <c r="Q229" s="154" t="str">
        <f t="shared" si="27"/>
        <v>5-Ventes</v>
      </c>
      <c r="R229" s="153" t="str">
        <f t="shared" si="28"/>
        <v>4781</v>
      </c>
      <c r="S229" s="154">
        <f t="shared" si="29"/>
        <v>0</v>
      </c>
      <c r="T229" s="156" t="str">
        <f>+VLOOKUP($L229,Data_Validation!$A:$D,1,0)</f>
        <v>4785</v>
      </c>
      <c r="U229" s="156" t="str">
        <f>+VLOOKUP($L229,Data_Validation!$A:$D,3,0)</f>
        <v>Pièces</v>
      </c>
      <c r="V229" s="156" t="str">
        <f>+VLOOKUP($L229,Data_Validation!$A:$D,4,0)</f>
        <v>Ventes Pneus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4" t="s">
        <v>2840</v>
      </c>
      <c r="B230" s="1014" t="s">
        <v>2841</v>
      </c>
      <c r="C230" s="1016">
        <v>186768.65</v>
      </c>
      <c r="D230" s="1016">
        <v>208790.57</v>
      </c>
      <c r="E230" s="1016">
        <v>395559.22</v>
      </c>
      <c r="F230" s="1014" t="s">
        <v>424</v>
      </c>
      <c r="G230" s="1014" t="s">
        <v>2026</v>
      </c>
      <c r="H230" s="150"/>
      <c r="I230" s="151"/>
      <c r="J230" s="151"/>
      <c r="K230" s="151"/>
      <c r="L230" s="153" t="str">
        <f t="shared" si="25"/>
        <v>5100</v>
      </c>
      <c r="M230" s="154" t="str">
        <f t="shared" si="26"/>
        <v>C/V - RACHAT DE BAIL</v>
      </c>
      <c r="N230" s="155">
        <f>+IF(OR($Q230=Parametres!$G$2,$Q230=Parametres!$G$3),I230,C230)</f>
        <v>186768.65</v>
      </c>
      <c r="O230" s="155">
        <f>+IF(OR($Q230=Parametres!$G$2,$Q230=Parametres!$G$3),J230,D230)</f>
        <v>208790.57</v>
      </c>
      <c r="P230" s="155">
        <f>+IF(OR($Q230=Parametres!$G$2,$Q230=Parametres!$G$3),K230,E230)</f>
        <v>395559.22</v>
      </c>
      <c r="Q230" s="154" t="str">
        <f t="shared" si="27"/>
        <v>6-Coût des ventes</v>
      </c>
      <c r="R230" s="153" t="str">
        <f t="shared" si="28"/>
        <v>4100</v>
      </c>
      <c r="S230" s="154">
        <f t="shared" si="29"/>
        <v>0</v>
      </c>
      <c r="T230" s="156" t="str">
        <f>+VLOOKUP($L230,Data_Validation!$A:$D,1,0)</f>
        <v>5100</v>
      </c>
      <c r="U230" s="156" t="str">
        <f>+VLOOKUP($L230,Data_Validation!$A:$D,3,0)</f>
        <v>Véhicules neufs</v>
      </c>
      <c r="V230" s="156" t="str">
        <f>+VLOOKUP($L230,Data_Validation!$A:$D,4,0)</f>
        <v>Rachat bail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14" t="s">
        <v>2842</v>
      </c>
      <c r="B231" s="1014" t="s">
        <v>2843</v>
      </c>
      <c r="C231" s="1016">
        <v>206353.03</v>
      </c>
      <c r="D231" s="1016">
        <v>269895.46000000002</v>
      </c>
      <c r="E231" s="1016">
        <v>476248.49</v>
      </c>
      <c r="F231" s="1014" t="s">
        <v>424</v>
      </c>
      <c r="G231" s="1014" t="s">
        <v>2019</v>
      </c>
      <c r="H231" s="949"/>
      <c r="I231" s="948"/>
      <c r="J231" s="948"/>
      <c r="K231" s="948"/>
      <c r="L231" s="153" t="str">
        <f t="shared" si="25"/>
        <v>5107</v>
      </c>
      <c r="M231" s="154" t="str">
        <f t="shared" si="26"/>
        <v>C/V - GOLF</v>
      </c>
      <c r="N231" s="155">
        <f>+IF(OR($Q231=Parametres!$G$2,$Q231=Parametres!$G$3),I231,C231)</f>
        <v>206353.03</v>
      </c>
      <c r="O231" s="575">
        <f>+IF(OR($Q231=Parametres!$G$2,$Q231=Parametres!$G$3),J231,D231)</f>
        <v>269895.46000000002</v>
      </c>
      <c r="P231" s="155">
        <f>+IF(OR($Q231=Parametres!$G$2,$Q231=Parametres!$G$3),K231,E231)</f>
        <v>476248.49</v>
      </c>
      <c r="Q231" s="154" t="str">
        <f t="shared" si="27"/>
        <v>6-Coût des ventes</v>
      </c>
      <c r="R231" s="153" t="str">
        <f t="shared" si="28"/>
        <v>4107</v>
      </c>
      <c r="S231" s="154">
        <f t="shared" si="29"/>
        <v>0</v>
      </c>
      <c r="T231" s="156" t="str">
        <f>+VLOOKUP($L231,Data_Validation!$A:$D,1,0)</f>
        <v>5107</v>
      </c>
      <c r="U231" s="156" t="str">
        <f>+VLOOKUP($L231,Data_Validation!$A:$D,3,0)</f>
        <v>Véhicules neufs</v>
      </c>
      <c r="V231" s="156" t="str">
        <f>+VLOOKUP($L231,Data_Validation!$A:$D,4,0)</f>
        <v>Autos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14" t="s">
        <v>2844</v>
      </c>
      <c r="B232" s="1014" t="s">
        <v>2845</v>
      </c>
      <c r="C232" s="1016">
        <v>250617.31</v>
      </c>
      <c r="D232" s="1016">
        <v>235508.89</v>
      </c>
      <c r="E232" s="1016">
        <v>486126.2</v>
      </c>
      <c r="F232" s="1014" t="s">
        <v>424</v>
      </c>
      <c r="G232" s="1014" t="s">
        <v>2014</v>
      </c>
      <c r="H232" s="150"/>
      <c r="I232" s="157"/>
      <c r="J232" s="157"/>
      <c r="K232" s="157"/>
      <c r="L232" s="153" t="str">
        <f t="shared" si="25"/>
        <v>5111</v>
      </c>
      <c r="M232" s="154" t="str">
        <f t="shared" si="26"/>
        <v>C/V - JETTA</v>
      </c>
      <c r="N232" s="155">
        <f>+IF(OR($Q232=Parametres!$G$2,$Q232=Parametres!$G$3),I232,C232)</f>
        <v>250617.31</v>
      </c>
      <c r="O232" s="155">
        <f>+IF(OR($Q232=Parametres!$G$2,$Q232=Parametres!$G$3),J232,D232)</f>
        <v>235508.89</v>
      </c>
      <c r="P232" s="155">
        <f>+IF(OR($Q232=Parametres!$G$2,$Q232=Parametres!$G$3),K232,E232)</f>
        <v>486126.2</v>
      </c>
      <c r="Q232" s="154" t="str">
        <f t="shared" si="27"/>
        <v>6-Coût des ventes</v>
      </c>
      <c r="R232" s="153" t="str">
        <f t="shared" si="28"/>
        <v>4111</v>
      </c>
      <c r="S232" s="154">
        <f t="shared" si="29"/>
        <v>0</v>
      </c>
      <c r="T232" s="156" t="str">
        <f>+VLOOKUP($L232,Data_Validation!$A:$D,1,0)</f>
        <v>5111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14" t="s">
        <v>2454</v>
      </c>
      <c r="B233" s="1014" t="s">
        <v>2455</v>
      </c>
      <c r="C233" s="1016">
        <v>0</v>
      </c>
      <c r="D233" s="1016">
        <v>-200</v>
      </c>
      <c r="E233" s="1016">
        <v>-200</v>
      </c>
      <c r="F233" s="1014" t="s">
        <v>424</v>
      </c>
      <c r="G233" s="1014" t="s">
        <v>2440</v>
      </c>
      <c r="H233" s="949"/>
      <c r="I233" s="948"/>
      <c r="J233" s="948"/>
      <c r="K233" s="948"/>
      <c r="L233" s="153" t="str">
        <f t="shared" si="25"/>
        <v>5115</v>
      </c>
      <c r="M233" s="154" t="str">
        <f t="shared" si="26"/>
        <v>C/V - PASSAT BERLINE</v>
      </c>
      <c r="N233" s="155">
        <f>+IF(OR($Q233=Parametres!$G$2,$Q233=Parametres!$G$3),I233,C233)</f>
        <v>0</v>
      </c>
      <c r="O233" s="575">
        <f>+IF(OR($Q233=Parametres!$G$2,$Q233=Parametres!$G$3),J233,D233)</f>
        <v>-200</v>
      </c>
      <c r="P233" s="155">
        <f>+IF(OR($Q233=Parametres!$G$2,$Q233=Parametres!$G$3),K233,E233)</f>
        <v>-200</v>
      </c>
      <c r="Q233" s="154" t="str">
        <f t="shared" si="27"/>
        <v>6-Coût des ventes</v>
      </c>
      <c r="R233" s="153" t="str">
        <f t="shared" si="28"/>
        <v>4115</v>
      </c>
      <c r="S233" s="154">
        <f t="shared" si="29"/>
        <v>0</v>
      </c>
      <c r="T233" s="156" t="str">
        <f>+VLOOKUP($L233,Data_Validation!$A:$D,1,0)</f>
        <v>5115</v>
      </c>
      <c r="U233" s="156" t="str">
        <f>+VLOOKUP($L233,Data_Validation!$A:$D,3,0)</f>
        <v>Véhicules neufs</v>
      </c>
      <c r="V233" s="156" t="str">
        <f>+VLOOKUP($L233,Data_Validation!$A:$D,4,0)</f>
        <v>Autos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14" t="s">
        <v>2850</v>
      </c>
      <c r="B234" s="1014" t="s">
        <v>2851</v>
      </c>
      <c r="C234" s="1016">
        <v>369193.94</v>
      </c>
      <c r="D234" s="1016">
        <v>586538.13</v>
      </c>
      <c r="E234" s="1016">
        <v>955732.07</v>
      </c>
      <c r="F234" s="1014" t="s">
        <v>424</v>
      </c>
      <c r="G234" s="1014" t="s">
        <v>2003</v>
      </c>
      <c r="H234" s="150"/>
      <c r="I234" s="157"/>
      <c r="J234" s="157"/>
      <c r="K234" s="157"/>
      <c r="L234" s="153" t="str">
        <f t="shared" si="25"/>
        <v>5119</v>
      </c>
      <c r="M234" s="154" t="str">
        <f t="shared" si="26"/>
        <v>C/V - ATLAS</v>
      </c>
      <c r="N234" s="155">
        <f>+IF(OR($Q234=Parametres!$G$2,$Q234=Parametres!$G$3),I234,C234)</f>
        <v>369193.94</v>
      </c>
      <c r="O234" s="576">
        <f>+IF(OR($Q234=Parametres!$G$2,$Q234=Parametres!$G$3),J234,D234)</f>
        <v>586538.13</v>
      </c>
      <c r="P234" s="155">
        <f>+IF(OR($Q234=Parametres!$G$2,$Q234=Parametres!$G$3),K234,E234)</f>
        <v>955732.07</v>
      </c>
      <c r="Q234" s="154" t="str">
        <f t="shared" si="27"/>
        <v>6-Coût des ventes</v>
      </c>
      <c r="R234" s="153" t="str">
        <f t="shared" si="28"/>
        <v>4119</v>
      </c>
      <c r="S234" s="154">
        <f t="shared" si="29"/>
        <v>0</v>
      </c>
      <c r="T234" s="156" t="str">
        <f>+VLOOKUP($L234,Data_Validation!$A:$D,1,0)</f>
        <v>5119</v>
      </c>
      <c r="U234" s="156" t="str">
        <f>+VLOOKUP($L234,Data_Validation!$A:$D,3,0)</f>
        <v>Véhicules neufs</v>
      </c>
      <c r="V234" s="156" t="str">
        <f>+VLOOKUP($L234,Data_Validation!$A:$D,4,0)</f>
        <v>Camions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14" t="s">
        <v>2912</v>
      </c>
      <c r="B235" s="1014" t="s">
        <v>2913</v>
      </c>
      <c r="C235" s="1016">
        <v>38536.53</v>
      </c>
      <c r="D235" s="1016">
        <v>45080.14</v>
      </c>
      <c r="E235" s="1016">
        <v>83616.67</v>
      </c>
      <c r="F235" s="1014" t="s">
        <v>424</v>
      </c>
      <c r="G235" s="1014" t="s">
        <v>2909</v>
      </c>
      <c r="H235" s="949"/>
      <c r="I235" s="948"/>
      <c r="J235" s="948"/>
      <c r="K235" s="948"/>
      <c r="L235" s="153" t="str">
        <f t="shared" si="25"/>
        <v>5121</v>
      </c>
      <c r="M235" s="154" t="str">
        <f t="shared" si="26"/>
        <v>C/V - ATLAS CROSS SPORT</v>
      </c>
      <c r="N235" s="155">
        <f>+IF(OR($Q235=Parametres!$G$2,$Q235=Parametres!$G$3),I235,C235)</f>
        <v>38536.53</v>
      </c>
      <c r="O235" s="575">
        <f>+IF(OR($Q235=Parametres!$G$2,$Q235=Parametres!$G$3),J235,D235)</f>
        <v>45080.14</v>
      </c>
      <c r="P235" s="155">
        <f>+IF(OR($Q235=Parametres!$G$2,$Q235=Parametres!$G$3),K235,E235)</f>
        <v>83616.67</v>
      </c>
      <c r="Q235" s="154" t="str">
        <f t="shared" si="27"/>
        <v>6-Coût des ventes</v>
      </c>
      <c r="R235" s="153" t="str">
        <f t="shared" si="28"/>
        <v>4121</v>
      </c>
      <c r="S235" s="154">
        <f t="shared" si="29"/>
        <v>0</v>
      </c>
      <c r="T235" s="156" t="str">
        <f>+VLOOKUP($L235,Data_Validation!$A:$D,1,0)</f>
        <v>5121</v>
      </c>
      <c r="U235" s="156" t="str">
        <f>+VLOOKUP($L235,Data_Validation!$A:$D,3,0)</f>
        <v>Véhicules neufs</v>
      </c>
      <c r="V235" s="156" t="str">
        <f>+VLOOKUP($L235,Data_Validation!$A:$D,4,0)</f>
        <v>Camions détail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14" t="s">
        <v>2836</v>
      </c>
      <c r="B236" s="1014" t="s">
        <v>2837</v>
      </c>
      <c r="C236" s="1016">
        <v>143564.84</v>
      </c>
      <c r="D236" s="1016">
        <v>143295.4</v>
      </c>
      <c r="E236" s="1016">
        <v>286860.24</v>
      </c>
      <c r="F236" s="1014" t="s">
        <v>424</v>
      </c>
      <c r="G236" s="1014" t="s">
        <v>2031</v>
      </c>
      <c r="H236" s="150"/>
      <c r="I236" s="157"/>
      <c r="J236" s="157"/>
      <c r="K236" s="157"/>
      <c r="L236" s="153" t="str">
        <f t="shared" si="25"/>
        <v>5127</v>
      </c>
      <c r="M236" s="154" t="str">
        <f t="shared" si="26"/>
        <v>C/V - GOLF GTI</v>
      </c>
      <c r="N236" s="155">
        <f>+IF(OR($Q236=Parametres!$G$2,$Q236=Parametres!$G$3),I236,C236)</f>
        <v>143564.84</v>
      </c>
      <c r="O236" s="155">
        <f>+IF(OR($Q236=Parametres!$G$2,$Q236=Parametres!$G$3),J236,D236)</f>
        <v>143295.4</v>
      </c>
      <c r="P236" s="155">
        <f>+IF(OR($Q236=Parametres!$G$2,$Q236=Parametres!$G$3),K236,E236)</f>
        <v>286860.24</v>
      </c>
      <c r="Q236" s="154" t="str">
        <f t="shared" si="27"/>
        <v>6-Coût des ventes</v>
      </c>
      <c r="R236" s="153" t="str">
        <f t="shared" si="28"/>
        <v>4127</v>
      </c>
      <c r="S236" s="154">
        <f t="shared" si="29"/>
        <v>0</v>
      </c>
      <c r="T236" s="156" t="s">
        <v>2925</v>
      </c>
      <c r="U236" s="156" t="str">
        <f>+VLOOKUP($L236,Data_Validation!$A:$D,3,0)</f>
        <v>Véhicules neufs</v>
      </c>
      <c r="V236" s="156" t="str">
        <f>+VLOOKUP($L236,Data_Validation!$A:$D,4,0)</f>
        <v>Autos détail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4" t="s">
        <v>2855</v>
      </c>
      <c r="B237" s="1014" t="s">
        <v>2856</v>
      </c>
      <c r="C237" s="1016">
        <v>983145.49</v>
      </c>
      <c r="D237" s="1016">
        <v>890512.65</v>
      </c>
      <c r="E237" s="1016">
        <v>1873658.14</v>
      </c>
      <c r="F237" s="1014" t="s">
        <v>424</v>
      </c>
      <c r="G237" s="1014" t="s">
        <v>1999</v>
      </c>
      <c r="H237" s="949"/>
      <c r="I237" s="948"/>
      <c r="J237" s="948"/>
      <c r="K237" s="948"/>
      <c r="L237" s="153" t="str">
        <f t="shared" si="25"/>
        <v>5131</v>
      </c>
      <c r="M237" s="154" t="str">
        <f t="shared" si="26"/>
        <v>C/V - TIGUAN LWB</v>
      </c>
      <c r="N237" s="155">
        <f>+IF(OR($Q237=Parametres!$G$2,$Q237=Parametres!$G$3),I237,C237)</f>
        <v>983145.49</v>
      </c>
      <c r="O237" s="575">
        <f>+IF(OR($Q237=Parametres!$G$2,$Q237=Parametres!$G$3),J237,D237)</f>
        <v>890512.65</v>
      </c>
      <c r="P237" s="155">
        <f>+IF(OR($Q237=Parametres!$G$2,$Q237=Parametres!$G$3),K237,E237)</f>
        <v>1873658.14</v>
      </c>
      <c r="Q237" s="154" t="str">
        <f t="shared" si="27"/>
        <v>6-Coût des ventes</v>
      </c>
      <c r="R237" s="153" t="str">
        <f t="shared" si="28"/>
        <v>4131</v>
      </c>
      <c r="S237" s="154">
        <f t="shared" si="29"/>
        <v>0</v>
      </c>
      <c r="T237" s="156" t="str">
        <f>+VLOOKUP($L237,Data_Validation!$A:$D,1,0)</f>
        <v>5131</v>
      </c>
      <c r="U237" s="156" t="str">
        <f>+VLOOKUP($L237,Data_Validation!$A:$D,3,0)</f>
        <v>Véhicules neufs</v>
      </c>
      <c r="V237" s="156" t="str">
        <f>+VLOOKUP($L237,Data_Validation!$A:$D,4,0)</f>
        <v>Camions détail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4" t="s">
        <v>2838</v>
      </c>
      <c r="B238" s="1014" t="s">
        <v>2839</v>
      </c>
      <c r="C238" s="1016">
        <v>31811.41</v>
      </c>
      <c r="D238" s="1016">
        <v>319751.94</v>
      </c>
      <c r="E238" s="1016">
        <v>351563.35</v>
      </c>
      <c r="F238" s="1014" t="s">
        <v>424</v>
      </c>
      <c r="G238" s="1014" t="s">
        <v>2506</v>
      </c>
      <c r="H238" s="150"/>
      <c r="I238" s="157"/>
      <c r="J238" s="157"/>
      <c r="K238" s="157"/>
      <c r="L238" s="153" t="str">
        <f t="shared" si="25"/>
        <v>5135</v>
      </c>
      <c r="M238" s="154" t="str">
        <f t="shared" si="26"/>
        <v>C/V - EGOLF</v>
      </c>
      <c r="N238" s="155">
        <f>+IF(OR($Q238=Parametres!$G$2,$Q238=Parametres!$G$3),I238,C238)</f>
        <v>31811.41</v>
      </c>
      <c r="O238" s="576">
        <f>+IF(OR($Q238=Parametres!$G$2,$Q238=Parametres!$G$3),J238,D238)</f>
        <v>319751.94</v>
      </c>
      <c r="P238" s="155">
        <f>+IF(OR($Q238=Parametres!$G$2,$Q238=Parametres!$G$3),K238,E238)</f>
        <v>351563.35</v>
      </c>
      <c r="Q238" s="154" t="str">
        <f t="shared" si="27"/>
        <v>6-Coût des ventes</v>
      </c>
      <c r="R238" s="153" t="str">
        <f t="shared" si="28"/>
        <v>84135</v>
      </c>
      <c r="S238" s="154">
        <f t="shared" si="29"/>
        <v>0</v>
      </c>
      <c r="T238" s="156" t="str">
        <f>+VLOOKUP($L238,Data_Validation!$A:$D,1,0)</f>
        <v>5135</v>
      </c>
      <c r="U238" s="156" t="str">
        <f>+VLOOKUP($L238,Data_Validation!$A:$D,3,0)</f>
        <v>Véhicules neufs</v>
      </c>
      <c r="V238" s="156" t="str">
        <f>+VLOOKUP($L238,Data_Validation!$A:$D,4,0)</f>
        <v>Autos détail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4" t="s">
        <v>2456</v>
      </c>
      <c r="B239" s="1014" t="s">
        <v>2457</v>
      </c>
      <c r="C239" s="1016">
        <v>147898</v>
      </c>
      <c r="D239" s="1016">
        <v>102850.75</v>
      </c>
      <c r="E239" s="1016">
        <v>250748.75</v>
      </c>
      <c r="F239" s="1014" t="s">
        <v>424</v>
      </c>
      <c r="G239" s="1014" t="s">
        <v>2442</v>
      </c>
      <c r="H239" s="949"/>
      <c r="I239" s="948"/>
      <c r="J239" s="948"/>
      <c r="K239" s="948"/>
      <c r="L239" s="153" t="str">
        <f t="shared" si="25"/>
        <v>5137</v>
      </c>
      <c r="M239" s="154" t="str">
        <f t="shared" si="26"/>
        <v>C/V - VW FLOTTE/VENTE ENTR/EMPLOYE/VEH DEMONS</v>
      </c>
      <c r="N239" s="155">
        <f>+IF(OR($Q239=Parametres!$G$2,$Q239=Parametres!$G$3),I239,C239)</f>
        <v>147898</v>
      </c>
      <c r="O239" s="575">
        <f>+IF(OR($Q239=Parametres!$G$2,$Q239=Parametres!$G$3),J239,D239)</f>
        <v>102850.75</v>
      </c>
      <c r="P239" s="155">
        <f>+IF(OR($Q239=Parametres!$G$2,$Q239=Parametres!$G$3),K239,E239)</f>
        <v>250748.75</v>
      </c>
      <c r="Q239" s="154" t="str">
        <f t="shared" si="27"/>
        <v>6-Coût des ventes</v>
      </c>
      <c r="R239" s="153" t="str">
        <f t="shared" si="28"/>
        <v>4137</v>
      </c>
      <c r="S239" s="154">
        <f t="shared" si="29"/>
        <v>0</v>
      </c>
      <c r="T239" s="156" t="str">
        <f>+VLOOKUP($L239,Data_Validation!$A:$D,1,0)</f>
        <v>5137</v>
      </c>
      <c r="U239" s="156" t="str">
        <f>+VLOOKUP($L239,Data_Validation!$A:$D,3,0)</f>
        <v>Véhicules neufs</v>
      </c>
      <c r="V239" s="156" t="str">
        <f>+VLOOKUP($L239,Data_Validation!$A:$D,4,0)</f>
        <v>Flottes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4" t="s">
        <v>2456</v>
      </c>
      <c r="B240" s="1014" t="s">
        <v>2849</v>
      </c>
      <c r="C240" s="1016">
        <v>504433.55</v>
      </c>
      <c r="D240" s="1016">
        <v>252811.72</v>
      </c>
      <c r="E240" s="1016">
        <v>757245.27</v>
      </c>
      <c r="F240" s="1014" t="s">
        <v>424</v>
      </c>
      <c r="G240" s="1014" t="s">
        <v>2005</v>
      </c>
      <c r="H240" s="150"/>
      <c r="I240" s="157"/>
      <c r="J240" s="157"/>
      <c r="K240" s="157"/>
      <c r="L240" s="153" t="str">
        <f t="shared" ref="L240:L257" si="30">+B240</f>
        <v>5139</v>
      </c>
      <c r="M240" s="154" t="str">
        <f t="shared" ref="M240:M257" si="31">+A240</f>
        <v>C/V - VW FLOTTE/VENTE ENTR/EMPLOYE/VEH DEMONS</v>
      </c>
      <c r="N240" s="155">
        <f>+IF(OR($Q240=Parametres!$G$2,$Q240=Parametres!$G$3),I240,C240)</f>
        <v>504433.55</v>
      </c>
      <c r="O240" s="575">
        <f>+IF(OR($Q240=Parametres!$G$2,$Q240=Parametres!$G$3),J240,D240)</f>
        <v>252811.72</v>
      </c>
      <c r="P240" s="155">
        <f>+IF(OR($Q240=Parametres!$G$2,$Q240=Parametres!$G$3),K240,E240)</f>
        <v>757245.27</v>
      </c>
      <c r="Q240" s="154" t="str">
        <f t="shared" ref="Q240:Q257" si="32">+F240</f>
        <v>6-Coût des ventes</v>
      </c>
      <c r="R240" s="153" t="str">
        <f t="shared" ref="R240:R257" si="33">+G240</f>
        <v>4139</v>
      </c>
      <c r="S240" s="154">
        <f t="shared" ref="S240:S257" si="34">+H240</f>
        <v>0</v>
      </c>
      <c r="T240" s="156" t="str">
        <f>+VLOOKUP($L240,Data_Validation!$A:$D,1,0)</f>
        <v>5139</v>
      </c>
      <c r="U240" s="156" t="str">
        <f>+VLOOKUP($L240,Data_Validation!$A:$D,3,0)</f>
        <v>Véhicules neufs</v>
      </c>
      <c r="V240" s="156" t="str">
        <f>+VLOOKUP($L240,Data_Validation!$A:$D,4,0)</f>
        <v>Ex-Démos et courtoisies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14" t="s">
        <v>2852</v>
      </c>
      <c r="B241" s="1014" t="s">
        <v>2853</v>
      </c>
      <c r="C241" s="1016">
        <v>827562.76</v>
      </c>
      <c r="D241" s="1016">
        <v>746222.9</v>
      </c>
      <c r="E241" s="1016">
        <v>1573785.66</v>
      </c>
      <c r="F241" s="1014" t="s">
        <v>424</v>
      </c>
      <c r="G241" s="1014" t="s">
        <v>2001</v>
      </c>
      <c r="H241" s="949"/>
      <c r="I241" s="948"/>
      <c r="J241" s="948"/>
      <c r="K241" s="948"/>
      <c r="L241" s="153" t="str">
        <f t="shared" si="30"/>
        <v>5201</v>
      </c>
      <c r="M241" s="154" t="str">
        <f t="shared" si="31"/>
        <v>C/V - VEH.USAGE VW DETAIL CERTIFIE</v>
      </c>
      <c r="N241" s="155">
        <f>+IF(OR($Q241=Parametres!$G$2,$Q241=Parametres!$G$3),I241,C241)</f>
        <v>827562.76</v>
      </c>
      <c r="O241" s="575">
        <f>+IF(OR($Q241=Parametres!$G$2,$Q241=Parametres!$G$3),J241,D241)</f>
        <v>746222.9</v>
      </c>
      <c r="P241" s="155">
        <f>+IF(OR($Q241=Parametres!$G$2,$Q241=Parametres!$G$3),K241,E241)</f>
        <v>1573785.66</v>
      </c>
      <c r="Q241" s="154" t="str">
        <f t="shared" si="32"/>
        <v>6-Coût des ventes</v>
      </c>
      <c r="R241" s="153" t="str">
        <f t="shared" si="33"/>
        <v>4201</v>
      </c>
      <c r="S241" s="154">
        <f t="shared" si="34"/>
        <v>0</v>
      </c>
      <c r="T241" s="156" t="str">
        <f>+VLOOKUP($L241,Data_Validation!$A:$D,1,0)</f>
        <v>5201</v>
      </c>
      <c r="U241" s="156" t="str">
        <f>+VLOOKUP($L241,Data_Validation!$A:$D,3,0)</f>
        <v>Véhicules usagés</v>
      </c>
      <c r="V241" s="156" t="str">
        <f>+VLOOKUP($L241,Data_Validation!$A:$D,4,0)</f>
        <v>Certifié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14" t="s">
        <v>2830</v>
      </c>
      <c r="B242" s="1014" t="s">
        <v>2831</v>
      </c>
      <c r="C242" s="1016">
        <v>83920.27</v>
      </c>
      <c r="D242" s="1016">
        <v>77313.600000000006</v>
      </c>
      <c r="E242" s="1016">
        <v>161233.87</v>
      </c>
      <c r="F242" s="1014" t="s">
        <v>424</v>
      </c>
      <c r="G242" s="1014" t="s">
        <v>2001</v>
      </c>
      <c r="H242" s="150"/>
      <c r="I242" s="157"/>
      <c r="J242" s="157"/>
      <c r="K242" s="157"/>
      <c r="L242" s="153" t="str">
        <f t="shared" si="30"/>
        <v>5203</v>
      </c>
      <c r="M242" s="154" t="str">
        <f t="shared" si="31"/>
        <v>C/V - RECOND USAGE VW CERT.</v>
      </c>
      <c r="N242" s="155">
        <f>+IF(OR($Q242=Parametres!$G$2,$Q242=Parametres!$G$3),I242,C242)</f>
        <v>83920.27</v>
      </c>
      <c r="O242" s="575">
        <f>+IF(OR($Q242=Parametres!$G$2,$Q242=Parametres!$G$3),J242,D242)</f>
        <v>77313.600000000006</v>
      </c>
      <c r="P242" s="155">
        <f>+IF(OR($Q242=Parametres!$G$2,$Q242=Parametres!$G$3),K242,E242)</f>
        <v>161233.87</v>
      </c>
      <c r="Q242" s="154" t="str">
        <f t="shared" si="32"/>
        <v>6-Coût des ventes</v>
      </c>
      <c r="R242" s="153" t="str">
        <f t="shared" si="33"/>
        <v>4201</v>
      </c>
      <c r="S242" s="154">
        <f t="shared" si="34"/>
        <v>0</v>
      </c>
      <c r="T242" s="156" t="str">
        <f>+VLOOKUP($L242,Data_Validation!$A:$D,1,0)</f>
        <v>5203</v>
      </c>
      <c r="U242" s="156" t="str">
        <f>+VLOOKUP($L242,Data_Validation!$A:$D,3,0)</f>
        <v>Véhicules usagés</v>
      </c>
      <c r="V242" s="156" t="str">
        <f>+VLOOKUP($L242,Data_Validation!$A:$D,4,0)</f>
        <v>Certifié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14" t="s">
        <v>2038</v>
      </c>
      <c r="B243" s="1014" t="s">
        <v>2827</v>
      </c>
      <c r="C243" s="1016">
        <v>28215</v>
      </c>
      <c r="D243" s="1016">
        <v>0</v>
      </c>
      <c r="E243" s="1016">
        <v>28215</v>
      </c>
      <c r="F243" s="1014" t="s">
        <v>424</v>
      </c>
      <c r="G243" s="1014" t="s">
        <v>2040</v>
      </c>
      <c r="H243" s="949"/>
      <c r="I243" s="948"/>
      <c r="J243" s="948"/>
      <c r="K243" s="948"/>
      <c r="L243" s="153" t="str">
        <f t="shared" si="30"/>
        <v>5285</v>
      </c>
      <c r="M243" s="154" t="str">
        <f t="shared" si="31"/>
        <v>VEH. D'OCC. AUTRE DETAIL</v>
      </c>
      <c r="N243" s="155">
        <f>+IF(OR($Q243=Parametres!$G$2,$Q243=Parametres!$G$3),I243,C243)</f>
        <v>28215</v>
      </c>
      <c r="O243" s="575">
        <f>+IF(OR($Q243=Parametres!$G$2,$Q243=Parametres!$G$3),J243,D243)</f>
        <v>0</v>
      </c>
      <c r="P243" s="155">
        <f>+IF(OR($Q243=Parametres!$G$2,$Q243=Parametres!$G$3),K243,E243)</f>
        <v>28215</v>
      </c>
      <c r="Q243" s="154" t="str">
        <f t="shared" si="32"/>
        <v>6-Coût des ventes</v>
      </c>
      <c r="R243" s="153" t="str">
        <f t="shared" si="33"/>
        <v>4261</v>
      </c>
      <c r="S243" s="154">
        <f t="shared" si="34"/>
        <v>0</v>
      </c>
      <c r="T243" s="156" t="str">
        <f>+VLOOKUP($L243,Data_Validation!$A:$D,1,0)</f>
        <v>5285</v>
      </c>
      <c r="U243" s="156" t="str">
        <f>+VLOOKUP($L243,Data_Validation!$A:$D,3,0)</f>
        <v>Véhicules usagés</v>
      </c>
      <c r="V243" s="156" t="str">
        <f>+VLOOKUP($L243,Data_Validation!$A:$D,4,0)</f>
        <v>Non Certifié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14" t="s">
        <v>2006</v>
      </c>
      <c r="B244" s="1014" t="s">
        <v>2848</v>
      </c>
      <c r="C244" s="1016">
        <v>453537.53</v>
      </c>
      <c r="D244" s="1016">
        <v>642843.43999999994</v>
      </c>
      <c r="E244" s="1016">
        <v>1096380.97</v>
      </c>
      <c r="F244" s="1014" t="s">
        <v>424</v>
      </c>
      <c r="G244" s="1014" t="s">
        <v>2008</v>
      </c>
      <c r="H244" s="150"/>
      <c r="I244" s="157"/>
      <c r="J244" s="157"/>
      <c r="K244" s="157"/>
      <c r="L244" s="153" t="str">
        <f t="shared" si="30"/>
        <v>5291</v>
      </c>
      <c r="M244" s="154" t="str">
        <f t="shared" si="31"/>
        <v>VEH. D'OCC. AU GROS</v>
      </c>
      <c r="N244" s="155">
        <f>+IF(OR($Q244=Parametres!$G$2,$Q244=Parametres!$G$3),I244,C244)</f>
        <v>453537.53</v>
      </c>
      <c r="O244" s="155">
        <f>+IF(OR($Q244=Parametres!$G$2,$Q244=Parametres!$G$3),J244,D244)</f>
        <v>642843.43999999994</v>
      </c>
      <c r="P244" s="155">
        <f>+IF(OR($Q244=Parametres!$G$2,$Q244=Parametres!$G$3),K244,E244)</f>
        <v>1096380.97</v>
      </c>
      <c r="Q244" s="154" t="str">
        <f t="shared" si="32"/>
        <v>6-Coût des ventes</v>
      </c>
      <c r="R244" s="153" t="str">
        <f t="shared" si="33"/>
        <v>4281</v>
      </c>
      <c r="S244" s="154">
        <f t="shared" si="34"/>
        <v>0</v>
      </c>
      <c r="T244" s="156" t="str">
        <f>+VLOOKUP($L244,Data_Validation!$A:$D,1,0)</f>
        <v>5291</v>
      </c>
      <c r="U244" s="156" t="str">
        <f>+VLOOKUP($L244,Data_Validation!$A:$D,3,0)</f>
        <v>Véhicules usagés</v>
      </c>
      <c r="V244" s="156" t="str">
        <f>+VLOOKUP($L244,Data_Validation!$A:$D,4,0)</f>
        <v>Ventes au Gros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14" t="s">
        <v>2828</v>
      </c>
      <c r="B245" s="1014" t="s">
        <v>2829</v>
      </c>
      <c r="C245" s="1016">
        <v>26441.43</v>
      </c>
      <c r="D245" s="1016">
        <v>18147.84</v>
      </c>
      <c r="E245" s="1016">
        <v>44589.27</v>
      </c>
      <c r="F245" s="1014" t="s">
        <v>424</v>
      </c>
      <c r="G245" s="1014" t="s">
        <v>2012</v>
      </c>
      <c r="H245" s="949"/>
      <c r="I245" s="948"/>
      <c r="J245" s="948"/>
      <c r="K245" s="948"/>
      <c r="L245" s="153" t="str">
        <f t="shared" si="30"/>
        <v>5401</v>
      </c>
      <c r="M245" s="154" t="str">
        <f t="shared" si="31"/>
        <v>COUT M.O. MECANIQUE CLIENTS</v>
      </c>
      <c r="N245" s="155">
        <f>+IF(OR($Q245=Parametres!$G$2,$Q245=Parametres!$G$3),I245,C245)</f>
        <v>26441.43</v>
      </c>
      <c r="O245" s="155">
        <f>+IF(OR($Q245=Parametres!$G$2,$Q245=Parametres!$G$3),J245,D245)</f>
        <v>18147.84</v>
      </c>
      <c r="P245" s="155">
        <f>+IF(OR($Q245=Parametres!$G$2,$Q245=Parametres!$G$3),K245,E245)</f>
        <v>44589.27</v>
      </c>
      <c r="Q245" s="154" t="str">
        <f t="shared" si="32"/>
        <v>6-Coût des ventes</v>
      </c>
      <c r="R245" s="153" t="str">
        <f t="shared" si="33"/>
        <v>4401</v>
      </c>
      <c r="S245" s="154">
        <f t="shared" si="34"/>
        <v>0</v>
      </c>
      <c r="T245" s="156" t="str">
        <f>+VLOOKUP($L245,Data_Validation!$A:$D,1,0)</f>
        <v>5401</v>
      </c>
      <c r="U245" s="156" t="str">
        <f>+VLOOKUP($L245,Data_Validation!$A:$D,3,0)</f>
        <v>Service</v>
      </c>
      <c r="V245" s="156" t="str">
        <f>+VLOOKUP($L245,Data_Validation!$A:$D,4,0)</f>
        <v>M/O Client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14" t="s">
        <v>2566</v>
      </c>
      <c r="B246" s="1014" t="s">
        <v>2567</v>
      </c>
      <c r="C246" s="1016">
        <v>0</v>
      </c>
      <c r="D246" s="1016">
        <v>49.95</v>
      </c>
      <c r="E246" s="1016">
        <v>49.95</v>
      </c>
      <c r="F246" s="1014" t="s">
        <v>424</v>
      </c>
      <c r="G246" s="1014" t="s">
        <v>2192</v>
      </c>
      <c r="H246" s="949"/>
      <c r="I246" s="948"/>
      <c r="J246" s="948"/>
      <c r="K246" s="948"/>
      <c r="L246" s="153" t="str">
        <f t="shared" si="30"/>
        <v>5402</v>
      </c>
      <c r="M246" s="154" t="str">
        <f t="shared" si="31"/>
        <v>C/V - M.O. ESTHETIQUE CLIENT</v>
      </c>
      <c r="N246" s="155">
        <f>+IF(OR($Q246=Parametres!$G$2,$Q246=Parametres!$G$3),I246,C246)</f>
        <v>0</v>
      </c>
      <c r="O246" s="155">
        <f>+IF(OR($Q246=Parametres!$G$2,$Q246=Parametres!$G$3),J246,D246)</f>
        <v>49.95</v>
      </c>
      <c r="P246" s="155">
        <f>+IF(OR($Q246=Parametres!$G$2,$Q246=Parametres!$G$3),K246,E246)</f>
        <v>49.95</v>
      </c>
      <c r="Q246" s="154" t="str">
        <f t="shared" si="32"/>
        <v>6-Coût des ventes</v>
      </c>
      <c r="R246" s="153" t="str">
        <f t="shared" si="33"/>
        <v>4402</v>
      </c>
      <c r="S246" s="154">
        <f t="shared" si="34"/>
        <v>0</v>
      </c>
      <c r="T246" s="156" t="str">
        <f>+VLOOKUP($L246,Data_Validation!$A:$D,1,0)</f>
        <v>5402</v>
      </c>
      <c r="U246" s="156" t="str">
        <f>+VLOOKUP($L246,Data_Validation!$A:$D,3,0)</f>
        <v>Service</v>
      </c>
      <c r="V246" s="156" t="str">
        <f>+VLOOKUP($L246,Data_Validation!$A:$D,4,0)</f>
        <v>M/O Esthétique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4" t="s">
        <v>2791</v>
      </c>
      <c r="B247" s="1014" t="s">
        <v>2792</v>
      </c>
      <c r="C247" s="1016">
        <v>35154.959999999999</v>
      </c>
      <c r="D247" s="1016">
        <v>11755.1</v>
      </c>
      <c r="E247" s="1016">
        <v>46910.06</v>
      </c>
      <c r="F247" s="1014" t="s">
        <v>424</v>
      </c>
      <c r="G247" s="1014" t="s">
        <v>2042</v>
      </c>
      <c r="H247" s="150"/>
      <c r="I247" s="157"/>
      <c r="J247" s="157"/>
      <c r="K247" s="157"/>
      <c r="L247" s="153" t="str">
        <f t="shared" si="30"/>
        <v>5403</v>
      </c>
      <c r="M247" s="154" t="str">
        <f t="shared" si="31"/>
        <v>COUT MEC VENTE GARANTIE MANUF</v>
      </c>
      <c r="N247" s="155">
        <f>+IF(OR($Q247=Parametres!$G$2,$Q247=Parametres!$G$3),I247,C247)</f>
        <v>35154.959999999999</v>
      </c>
      <c r="O247" s="155">
        <f>+IF(OR($Q247=Parametres!$G$2,$Q247=Parametres!$G$3),J247,D247)</f>
        <v>11755.1</v>
      </c>
      <c r="P247" s="155">
        <f>+IF(OR($Q247=Parametres!$G$2,$Q247=Parametres!$G$3),K247,E247)</f>
        <v>46910.06</v>
      </c>
      <c r="Q247" s="154" t="str">
        <f t="shared" si="32"/>
        <v>6-Coût des ventes</v>
      </c>
      <c r="R247" s="153" t="str">
        <f t="shared" si="33"/>
        <v>4403</v>
      </c>
      <c r="S247" s="154">
        <f t="shared" si="34"/>
        <v>0</v>
      </c>
      <c r="T247" s="156" t="str">
        <f>+VLOOKUP($L247,Data_Validation!$A:$D,1,0)</f>
        <v>5403</v>
      </c>
      <c r="U247" s="156" t="str">
        <f>+VLOOKUP($L247,Data_Validation!$A:$D,3,0)</f>
        <v>Service</v>
      </c>
      <c r="V247" s="156" t="str">
        <f>+VLOOKUP($L247,Data_Validation!$A:$D,4,0)</f>
        <v>M/O Garantie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4" t="s">
        <v>2777</v>
      </c>
      <c r="B248" s="1014" t="s">
        <v>2778</v>
      </c>
      <c r="C248" s="1016">
        <v>21328.19</v>
      </c>
      <c r="D248" s="1016">
        <v>18817.939999999999</v>
      </c>
      <c r="E248" s="1016">
        <v>40146.129999999997</v>
      </c>
      <c r="F248" s="1014" t="s">
        <v>424</v>
      </c>
      <c r="G248" s="1014" t="s">
        <v>2052</v>
      </c>
      <c r="H248" s="150"/>
      <c r="I248" s="151"/>
      <c r="J248" s="151"/>
      <c r="K248" s="151"/>
      <c r="L248" s="153" t="str">
        <f t="shared" si="30"/>
        <v>5405</v>
      </c>
      <c r="M248" s="154" t="str">
        <f t="shared" si="31"/>
        <v>C D V VENTES M OINTERNE</v>
      </c>
      <c r="N248" s="155">
        <f>+IF(OR($Q248=Parametres!$G$2,$Q248=Parametres!$G$3),I248,C248)</f>
        <v>21328.19</v>
      </c>
      <c r="O248" s="155">
        <f>+IF(OR($Q248=Parametres!$G$2,$Q248=Parametres!$G$3),J248,D248)</f>
        <v>18817.939999999999</v>
      </c>
      <c r="P248" s="155">
        <f>+IF(OR($Q248=Parametres!$G$2,$Q248=Parametres!$G$3),K248,E248)</f>
        <v>40146.129999999997</v>
      </c>
      <c r="Q248" s="154" t="str">
        <f t="shared" si="32"/>
        <v>6-Coût des ventes</v>
      </c>
      <c r="R248" s="153" t="str">
        <f t="shared" si="33"/>
        <v>4405</v>
      </c>
      <c r="S248" s="154">
        <f t="shared" si="34"/>
        <v>0</v>
      </c>
      <c r="T248" s="156" t="str">
        <f>+VLOOKUP($L248,Data_Validation!$A:$D,1,0)</f>
        <v>5405</v>
      </c>
      <c r="U248" s="156" t="str">
        <f>+VLOOKUP($L248,Data_Validation!$A:$D,3,0)</f>
        <v>Service</v>
      </c>
      <c r="V248" s="156" t="str">
        <f>+VLOOKUP($L248,Data_Validation!$A:$D,4,0)</f>
        <v>M/O Interne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4" t="s">
        <v>2725</v>
      </c>
      <c r="B249" s="1014" t="s">
        <v>2726</v>
      </c>
      <c r="C249" s="1016">
        <v>2861.15</v>
      </c>
      <c r="D249" s="1016">
        <v>3087.66</v>
      </c>
      <c r="E249" s="1016">
        <v>5948.81</v>
      </c>
      <c r="F249" s="1014" t="s">
        <v>424</v>
      </c>
      <c r="G249" s="1014" t="s">
        <v>2727</v>
      </c>
      <c r="H249" s="150"/>
      <c r="I249" s="151"/>
      <c r="J249" s="151"/>
      <c r="K249" s="151"/>
      <c r="L249" s="153" t="str">
        <f t="shared" si="30"/>
        <v>5416</v>
      </c>
      <c r="M249" s="154" t="str">
        <f t="shared" si="31"/>
        <v>C/V - TEMPS MORT M.O. SERVICE</v>
      </c>
      <c r="N249" s="155">
        <f>+IF(OR($Q249=Parametres!$G$2,$Q249=Parametres!$G$3),I249,C249)</f>
        <v>2861.15</v>
      </c>
      <c r="O249" s="155">
        <f>+IF(OR($Q249=Parametres!$G$2,$Q249=Parametres!$G$3),J249,D249)</f>
        <v>3087.66</v>
      </c>
      <c r="P249" s="155">
        <f>+IF(OR($Q249=Parametres!$G$2,$Q249=Parametres!$G$3),K249,E249)</f>
        <v>5948.81</v>
      </c>
      <c r="Q249" s="154" t="str">
        <f t="shared" si="32"/>
        <v>6-Coût des ventes</v>
      </c>
      <c r="R249" s="153" t="str">
        <f t="shared" si="33"/>
        <v>4416</v>
      </c>
      <c r="S249" s="154">
        <f t="shared" si="34"/>
        <v>0</v>
      </c>
      <c r="T249" s="156" t="str">
        <f>+VLOOKUP($L249,Data_Validation!$A:$D,1,0)</f>
        <v>5416</v>
      </c>
      <c r="U249" s="156" t="str">
        <f>+VLOOKUP($L249,Data_Validation!$A:$D,3,0)</f>
        <v>Service</v>
      </c>
      <c r="V249" s="156" t="str">
        <f>+VLOOKUP($L249,Data_Validation!$A:$D,4,0)</f>
        <v>Ajustement M/O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4" t="s">
        <v>2071</v>
      </c>
      <c r="B250" s="1014" t="s">
        <v>2802</v>
      </c>
      <c r="C250" s="1016">
        <v>16264.38</v>
      </c>
      <c r="D250" s="1016">
        <v>11749.82</v>
      </c>
      <c r="E250" s="1016">
        <v>28014.2</v>
      </c>
      <c r="F250" s="1014" t="s">
        <v>424</v>
      </c>
      <c r="G250" s="1014" t="s">
        <v>2073</v>
      </c>
      <c r="H250" s="150"/>
      <c r="I250" s="157"/>
      <c r="J250" s="157"/>
      <c r="K250" s="157"/>
      <c r="L250" s="153" t="str">
        <f t="shared" si="30"/>
        <v>5451</v>
      </c>
      <c r="M250" s="154" t="str">
        <f t="shared" si="31"/>
        <v>CARBURANT/HUILE/GRAISSE</v>
      </c>
      <c r="N250" s="155">
        <f>+IF(OR($Q250=Parametres!$G$2,$Q250=Parametres!$G$3),I250,C250)</f>
        <v>16264.38</v>
      </c>
      <c r="O250" s="155">
        <f>+IF(OR($Q250=Parametres!$G$2,$Q250=Parametres!$G$3),J250,D250)</f>
        <v>11749.82</v>
      </c>
      <c r="P250" s="155">
        <f>+IF(OR($Q250=Parametres!$G$2,$Q250=Parametres!$G$3),K250,E250)</f>
        <v>28014.2</v>
      </c>
      <c r="Q250" s="154" t="str">
        <f t="shared" si="32"/>
        <v>6-Coût des ventes</v>
      </c>
      <c r="R250" s="153" t="str">
        <f t="shared" si="33"/>
        <v>4782</v>
      </c>
      <c r="S250" s="154">
        <f t="shared" si="34"/>
        <v>0</v>
      </c>
      <c r="T250" s="156" t="str">
        <f>+VLOOKUP($L250,Data_Validation!$A:$D,1,0)</f>
        <v>5451</v>
      </c>
      <c r="U250" s="156" t="str">
        <f>+VLOOKUP($L250,Data_Validation!$A:$D,3,0)</f>
        <v>Pièces</v>
      </c>
      <c r="V250" s="156" t="str">
        <f>+VLOOKUP($L250,Data_Validation!$A:$D,4,0)</f>
        <v>Huiles et Graisse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4" t="s">
        <v>2144</v>
      </c>
      <c r="B251" s="1014" t="s">
        <v>2713</v>
      </c>
      <c r="C251" s="1016">
        <v>1083</v>
      </c>
      <c r="D251" s="1016">
        <v>1533</v>
      </c>
      <c r="E251" s="1016">
        <v>2616</v>
      </c>
      <c r="F251" s="1014" t="s">
        <v>424</v>
      </c>
      <c r="G251" s="1014" t="s">
        <v>2145</v>
      </c>
      <c r="H251" s="150"/>
      <c r="I251" s="151"/>
      <c r="J251" s="151"/>
      <c r="K251" s="151"/>
      <c r="L251" s="153" t="str">
        <f t="shared" si="30"/>
        <v>5491</v>
      </c>
      <c r="M251" s="154" t="str">
        <f t="shared" si="31"/>
        <v>REPARATION SOUS-LOC. - GENERAL</v>
      </c>
      <c r="N251" s="155">
        <f>+IF(OR($Q251=Parametres!$G$2,$Q251=Parametres!$G$3),I251,C251)</f>
        <v>1083</v>
      </c>
      <c r="O251" s="155">
        <f>+IF(OR($Q251=Parametres!$G$2,$Q251=Parametres!$G$3),J251,D251)</f>
        <v>1533</v>
      </c>
      <c r="P251" s="155">
        <f>+IF(OR($Q251=Parametres!$G$2,$Q251=Parametres!$G$3),K251,E251)</f>
        <v>2616</v>
      </c>
      <c r="Q251" s="154" t="str">
        <f t="shared" si="32"/>
        <v>6-Coût des ventes</v>
      </c>
      <c r="R251" s="153" t="str">
        <f t="shared" si="33"/>
        <v>4491</v>
      </c>
      <c r="S251" s="154">
        <f t="shared" si="34"/>
        <v>0</v>
      </c>
      <c r="T251" s="156" t="str">
        <f>+VLOOKUP($L251,Data_Validation!$A:$D,1,0)</f>
        <v>5491</v>
      </c>
      <c r="U251" s="156" t="str">
        <f>+VLOOKUP($L251,Data_Validation!$A:$D,3,0)</f>
        <v>Service</v>
      </c>
      <c r="V251" s="156" t="str">
        <f>+VLOOKUP($L251,Data_Validation!$A:$D,4,0)</f>
        <v>Sous-traitement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4" t="s">
        <v>2687</v>
      </c>
      <c r="B252" s="1014" t="s">
        <v>2688</v>
      </c>
      <c r="C252" s="1016">
        <v>4240.3599999999997</v>
      </c>
      <c r="D252" s="1016">
        <v>275</v>
      </c>
      <c r="E252" s="1016">
        <v>4515.3599999999997</v>
      </c>
      <c r="F252" s="1014" t="s">
        <v>424</v>
      </c>
      <c r="G252" s="1014" t="s">
        <v>2168</v>
      </c>
      <c r="H252" s="949"/>
      <c r="I252" s="948"/>
      <c r="J252" s="948"/>
      <c r="K252" s="948"/>
      <c r="L252" s="153" t="str">
        <f t="shared" si="30"/>
        <v>5493</v>
      </c>
      <c r="M252" s="154" t="str">
        <f t="shared" si="31"/>
        <v>C/V - SOUS-TRAITANCE GARANTIE</v>
      </c>
      <c r="N252" s="155">
        <f>+IF(OR($Q252=Parametres!$G$2,$Q252=Parametres!$G$3),I252,C252)</f>
        <v>4240.3599999999997</v>
      </c>
      <c r="O252" s="155">
        <f>+IF(OR($Q252=Parametres!$G$2,$Q252=Parametres!$G$3),J252,D252)</f>
        <v>275</v>
      </c>
      <c r="P252" s="155">
        <f>+IF(OR($Q252=Parametres!$G$2,$Q252=Parametres!$G$3),K252,E252)</f>
        <v>4515.3599999999997</v>
      </c>
      <c r="Q252" s="154" t="str">
        <f t="shared" si="32"/>
        <v>6-Coût des ventes</v>
      </c>
      <c r="R252" s="153" t="str">
        <f t="shared" si="33"/>
        <v>4493</v>
      </c>
      <c r="S252" s="154">
        <f t="shared" si="34"/>
        <v>0</v>
      </c>
      <c r="T252" s="156" t="str">
        <f>+VLOOKUP($L252,Data_Validation!$A:$D,1,0)</f>
        <v>5493</v>
      </c>
      <c r="U252" s="156" t="str">
        <f>+VLOOKUP($L252,Data_Validation!$A:$D,3,0)</f>
        <v>Service</v>
      </c>
      <c r="V252" s="156" t="str">
        <f>+VLOOKUP($L252,Data_Validation!$A:$D,4,0)</f>
        <v>Sous-traitement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4" t="s">
        <v>2789</v>
      </c>
      <c r="B253" s="1014" t="s">
        <v>2790</v>
      </c>
      <c r="C253" s="1016">
        <v>17135.84</v>
      </c>
      <c r="D253" s="1016">
        <v>15231</v>
      </c>
      <c r="E253" s="1016">
        <v>32366.84</v>
      </c>
      <c r="F253" s="1014" t="s">
        <v>424</v>
      </c>
      <c r="G253" s="1014" t="s">
        <v>2087</v>
      </c>
      <c r="H253" s="150"/>
      <c r="I253" s="157"/>
      <c r="J253" s="157"/>
      <c r="K253" s="157"/>
      <c r="L253" s="153" t="str">
        <f t="shared" si="30"/>
        <v>5495</v>
      </c>
      <c r="M253" s="154" t="str">
        <f t="shared" si="31"/>
        <v>C/V - SOUS-TRAITANCE INTERNE</v>
      </c>
      <c r="N253" s="155">
        <f>+IF(OR($Q253=Parametres!$G$2,$Q253=Parametres!$G$3),I253,C253)</f>
        <v>17135.84</v>
      </c>
      <c r="O253" s="155">
        <f>+IF(OR($Q253=Parametres!$G$2,$Q253=Parametres!$G$3),J253,D253)</f>
        <v>15231</v>
      </c>
      <c r="P253" s="155">
        <f>+IF(OR($Q253=Parametres!$G$2,$Q253=Parametres!$G$3),K253,E253)</f>
        <v>32366.84</v>
      </c>
      <c r="Q253" s="154" t="str">
        <f t="shared" si="32"/>
        <v>6-Coût des ventes</v>
      </c>
      <c r="R253" s="153" t="str">
        <f t="shared" si="33"/>
        <v>4495</v>
      </c>
      <c r="S253" s="154">
        <f t="shared" si="34"/>
        <v>0</v>
      </c>
      <c r="T253" s="156" t="str">
        <f>+VLOOKUP($L253,Data_Validation!$A:$D,1,0)</f>
        <v>5495</v>
      </c>
      <c r="U253" s="156" t="str">
        <f>+VLOOKUP($L253,Data_Validation!$A:$D,3,0)</f>
        <v>Service</v>
      </c>
      <c r="V253" s="156" t="str">
        <f>+VLOOKUP($L253,Data_Validation!$A:$D,4,0)</f>
        <v>Sous-traitement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4" t="s">
        <v>2798</v>
      </c>
      <c r="B254" s="1014" t="s">
        <v>2799</v>
      </c>
      <c r="C254" s="1016">
        <v>21752.25</v>
      </c>
      <c r="D254" s="1016">
        <v>11026.85</v>
      </c>
      <c r="E254" s="1016">
        <v>32779.1</v>
      </c>
      <c r="F254" s="1014" t="s">
        <v>424</v>
      </c>
      <c r="G254" s="1014" t="s">
        <v>2070</v>
      </c>
      <c r="H254" s="150"/>
      <c r="I254" s="151"/>
      <c r="J254" s="151"/>
      <c r="K254" s="151"/>
      <c r="L254" s="153" t="str">
        <f t="shared" si="30"/>
        <v>5591</v>
      </c>
      <c r="M254" s="154" t="str">
        <f t="shared" si="31"/>
        <v>C/V - S-TRAIT. CARR.</v>
      </c>
      <c r="N254" s="155">
        <f>+IF(OR($Q254=Parametres!$G$2,$Q254=Parametres!$G$3),I254,C254)</f>
        <v>21752.25</v>
      </c>
      <c r="O254" s="155">
        <f>+IF(OR($Q254=Parametres!$G$2,$Q254=Parametres!$G$3),J254,D254)</f>
        <v>11026.85</v>
      </c>
      <c r="P254" s="155">
        <f>+IF(OR($Q254=Parametres!$G$2,$Q254=Parametres!$G$3),K254,E254)</f>
        <v>32779.1</v>
      </c>
      <c r="Q254" s="154" t="str">
        <f t="shared" si="32"/>
        <v>6-Coût des ventes</v>
      </c>
      <c r="R254" s="153" t="str">
        <f t="shared" si="33"/>
        <v>4591</v>
      </c>
      <c r="S254" s="154">
        <f t="shared" si="34"/>
        <v>0</v>
      </c>
      <c r="T254" s="156" t="str">
        <f>+VLOOKUP($L254,Data_Validation!$A:$D,1,0)</f>
        <v>5591</v>
      </c>
      <c r="U254" s="156" t="str">
        <f>+VLOOKUP($L254,Data_Validation!$A:$D,3,0)</f>
        <v>Carrosserie</v>
      </c>
      <c r="V254" s="156" t="str">
        <f>+VLOOKUP($L254,Data_Validation!$A:$D,4,0)</f>
        <v>M/O Sous-traitement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4" t="s">
        <v>2808</v>
      </c>
      <c r="B255" s="1014" t="s">
        <v>2809</v>
      </c>
      <c r="C255" s="1016">
        <v>117284.08</v>
      </c>
      <c r="D255" s="1016">
        <v>63601.89</v>
      </c>
      <c r="E255" s="1016">
        <v>180885.97</v>
      </c>
      <c r="F255" s="1014" t="s">
        <v>424</v>
      </c>
      <c r="G255" s="1014" t="s">
        <v>2068</v>
      </c>
      <c r="H255" s="150"/>
      <c r="I255" s="151"/>
      <c r="J255" s="151"/>
      <c r="K255" s="151"/>
      <c r="L255" s="153" t="str">
        <f t="shared" si="30"/>
        <v>5593</v>
      </c>
      <c r="M255" s="154" t="str">
        <f t="shared" si="31"/>
        <v>C/V - S-TRAIT.GARANTIE CARROS.</v>
      </c>
      <c r="N255" s="155">
        <f>+IF(OR($Q255=Parametres!$G$2,$Q255=Parametres!$G$3),I255,C255)</f>
        <v>117284.08</v>
      </c>
      <c r="O255" s="155">
        <f>+IF(OR($Q255=Parametres!$G$2,$Q255=Parametres!$G$3),J255,D255)</f>
        <v>63601.89</v>
      </c>
      <c r="P255" s="155">
        <f>+IF(OR($Q255=Parametres!$G$2,$Q255=Parametres!$G$3),K255,E255)</f>
        <v>180885.97</v>
      </c>
      <c r="Q255" s="154" t="str">
        <f t="shared" si="32"/>
        <v>6-Coût des ventes</v>
      </c>
      <c r="R255" s="153" t="str">
        <f t="shared" si="33"/>
        <v>4593</v>
      </c>
      <c r="S255" s="154">
        <f t="shared" si="34"/>
        <v>0</v>
      </c>
      <c r="T255" s="156" t="str">
        <f>+VLOOKUP($L255,Data_Validation!$A:$D,1,0)</f>
        <v>5593</v>
      </c>
      <c r="U255" s="156" t="str">
        <f>+VLOOKUP($L255,Data_Validation!$A:$D,3,0)</f>
        <v>Carrosserie</v>
      </c>
      <c r="V255" s="156" t="str">
        <f>+VLOOKUP($L255,Data_Validation!$A:$D,4,0)</f>
        <v>M/O Sous-traitement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4" t="s">
        <v>2767</v>
      </c>
      <c r="B256" s="1014" t="s">
        <v>2768</v>
      </c>
      <c r="C256" s="1016">
        <v>2750.22</v>
      </c>
      <c r="D256" s="1016">
        <v>5135.88</v>
      </c>
      <c r="E256" s="1016">
        <v>7886.1</v>
      </c>
      <c r="F256" s="1014" t="s">
        <v>424</v>
      </c>
      <c r="G256" s="1014" t="s">
        <v>2101</v>
      </c>
      <c r="H256" s="150"/>
      <c r="I256" s="157"/>
      <c r="J256" s="157"/>
      <c r="K256" s="157"/>
      <c r="L256" s="153" t="str">
        <f t="shared" si="30"/>
        <v>5595</v>
      </c>
      <c r="M256" s="154" t="str">
        <f t="shared" si="31"/>
        <v>C/V - S-TRAIT.INTERNE CARROS.</v>
      </c>
      <c r="N256" s="155">
        <f>+IF(OR($Q256=Parametres!$G$2,$Q256=Parametres!$G$3),I256,C256)</f>
        <v>2750.22</v>
      </c>
      <c r="O256" s="155">
        <f>+IF(OR($Q256=Parametres!$G$2,$Q256=Parametres!$G$3),J256,D256)</f>
        <v>5135.88</v>
      </c>
      <c r="P256" s="155">
        <f>+IF(OR($Q256=Parametres!$G$2,$Q256=Parametres!$G$3),K256,E256)</f>
        <v>7886.1</v>
      </c>
      <c r="Q256" s="154" t="str">
        <f t="shared" si="32"/>
        <v>6-Coût des ventes</v>
      </c>
      <c r="R256" s="153" t="str">
        <f t="shared" si="33"/>
        <v>4595</v>
      </c>
      <c r="S256" s="154">
        <f t="shared" si="34"/>
        <v>0</v>
      </c>
      <c r="T256" s="156" t="str">
        <f>+VLOOKUP($L256,Data_Validation!$A:$D,1,0)</f>
        <v>5595</v>
      </c>
      <c r="U256" s="156" t="str">
        <f>+VLOOKUP($L256,Data_Validation!$A:$D,3,0)</f>
        <v>Carrosserie</v>
      </c>
      <c r="V256" s="156" t="str">
        <f>+VLOOKUP($L256,Data_Validation!$A:$D,4,0)</f>
        <v>M/O Sous-traitement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4" t="s">
        <v>2832</v>
      </c>
      <c r="B257" s="1014" t="s">
        <v>2833</v>
      </c>
      <c r="C257" s="1016">
        <v>58460.06</v>
      </c>
      <c r="D257" s="1016">
        <v>28894.880000000001</v>
      </c>
      <c r="E257" s="1016">
        <v>87354.94</v>
      </c>
      <c r="F257" s="1014" t="s">
        <v>424</v>
      </c>
      <c r="G257" s="1014" t="s">
        <v>2024</v>
      </c>
      <c r="H257" s="949"/>
      <c r="I257" s="948"/>
      <c r="J257" s="948"/>
      <c r="K257" s="948"/>
      <c r="L257" s="153" t="str">
        <f t="shared" si="30"/>
        <v>5701</v>
      </c>
      <c r="M257" s="154" t="str">
        <f t="shared" si="31"/>
        <v>C/V - PIECE/ACC B.R. CLIENT VW</v>
      </c>
      <c r="N257" s="155">
        <f>+IF(OR($Q257=Parametres!$G$2,$Q257=Parametres!$G$3),I257,C257)</f>
        <v>58460.06</v>
      </c>
      <c r="O257" s="155">
        <f>+IF(OR($Q257=Parametres!$G$2,$Q257=Parametres!$G$3),J257,D257)</f>
        <v>28894.880000000001</v>
      </c>
      <c r="P257" s="155">
        <f>+IF(OR($Q257=Parametres!$G$2,$Q257=Parametres!$G$3),K257,E257)</f>
        <v>87354.94</v>
      </c>
      <c r="Q257" s="154" t="str">
        <f t="shared" si="32"/>
        <v>6-Coût des ventes</v>
      </c>
      <c r="R257" s="153" t="str">
        <f t="shared" si="33"/>
        <v>4701</v>
      </c>
      <c r="S257" s="154">
        <f t="shared" si="34"/>
        <v>0</v>
      </c>
      <c r="T257" s="156" t="str">
        <f>+VLOOKUP($L257,Data_Validation!$A:$D,1,0)</f>
        <v>5701</v>
      </c>
      <c r="U257" s="156" t="str">
        <f>+VLOOKUP($L257,Data_Validation!$A:$D,3,0)</f>
        <v>Pièces</v>
      </c>
      <c r="V257" s="156" t="str">
        <f>+VLOOKUP($L257,Data_Validation!$A:$D,4,0)</f>
        <v>Pièces Ro Clients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4" t="s">
        <v>2658</v>
      </c>
      <c r="B258" s="1014" t="s">
        <v>2705</v>
      </c>
      <c r="C258" s="1016">
        <v>292.99</v>
      </c>
      <c r="D258" s="1016">
        <v>317.67</v>
      </c>
      <c r="E258" s="1016">
        <v>610.66</v>
      </c>
      <c r="F258" s="1014" t="s">
        <v>424</v>
      </c>
      <c r="G258" s="1014" t="s">
        <v>2151</v>
      </c>
      <c r="H258" s="150"/>
      <c r="I258" s="157"/>
      <c r="J258" s="157"/>
      <c r="K258" s="157"/>
      <c r="L258" s="153" t="str">
        <f t="shared" ref="L258:L321" si="35">+B258</f>
        <v>5702</v>
      </c>
      <c r="M258" s="154" t="str">
        <f t="shared" ref="M258:M321" si="36">+A258</f>
        <v>C/V - SHOP SUPPLY VW</v>
      </c>
      <c r="N258" s="155">
        <f>+IF(OR($Q258=Parametres!$G$2,$Q258=Parametres!$G$3),I258,C258)</f>
        <v>292.99</v>
      </c>
      <c r="O258" s="155">
        <f>+IF(OR($Q258=Parametres!$G$2,$Q258=Parametres!$G$3),J258,D258)</f>
        <v>317.67</v>
      </c>
      <c r="P258" s="155">
        <f>+IF(OR($Q258=Parametres!$G$2,$Q258=Parametres!$G$3),K258,E258)</f>
        <v>610.66</v>
      </c>
      <c r="Q258" s="154" t="str">
        <f t="shared" ref="Q258:Q321" si="37">+F258</f>
        <v>6-Coût des ventes</v>
      </c>
      <c r="R258" s="153" t="str">
        <f t="shared" ref="R258:R321" si="38">+G258</f>
        <v>4702</v>
      </c>
      <c r="S258" s="154">
        <f t="shared" ref="S258:S321" si="39">+H258</f>
        <v>0</v>
      </c>
      <c r="T258" s="156" t="str">
        <f>+VLOOKUP($L258,Data_Validation!$A:$D,1,0)</f>
        <v>5702</v>
      </c>
      <c r="U258" s="156" t="str">
        <f>+VLOOKUP($L258,Data_Validation!$A:$D,3,0)</f>
        <v>Service</v>
      </c>
      <c r="V258" s="156" t="str">
        <f>+VLOOKUP($L258,Data_Validation!$A:$D,4,0)</f>
        <v>M/O Client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4" t="s">
        <v>2814</v>
      </c>
      <c r="B259" s="1014" t="s">
        <v>2815</v>
      </c>
      <c r="C259" s="1016">
        <v>132232.24</v>
      </c>
      <c r="D259" s="1016">
        <v>36779.339999999997</v>
      </c>
      <c r="E259" s="1016">
        <v>169011.58</v>
      </c>
      <c r="F259" s="1014" t="s">
        <v>424</v>
      </c>
      <c r="G259" s="1014" t="s">
        <v>2044</v>
      </c>
      <c r="H259" s="150"/>
      <c r="I259" s="157"/>
      <c r="J259" s="157"/>
      <c r="K259" s="157"/>
      <c r="L259" s="153" t="str">
        <f t="shared" si="35"/>
        <v>5703</v>
      </c>
      <c r="M259" s="154" t="str">
        <f t="shared" si="36"/>
        <v>C/V - PIECE/ACC B.R. GARANTIE VW</v>
      </c>
      <c r="N259" s="155">
        <f>+IF(OR($Q259=Parametres!$G$2,$Q259=Parametres!$G$3),I259,C259)</f>
        <v>132232.24</v>
      </c>
      <c r="O259" s="155">
        <f>+IF(OR($Q259=Parametres!$G$2,$Q259=Parametres!$G$3),J259,D259)</f>
        <v>36779.339999999997</v>
      </c>
      <c r="P259" s="155">
        <f>+IF(OR($Q259=Parametres!$G$2,$Q259=Parametres!$G$3),K259,E259)</f>
        <v>169011.58</v>
      </c>
      <c r="Q259" s="154" t="str">
        <f t="shared" si="37"/>
        <v>6-Coût des ventes</v>
      </c>
      <c r="R259" s="153" t="str">
        <f t="shared" si="38"/>
        <v>4703</v>
      </c>
      <c r="S259" s="154">
        <f t="shared" si="39"/>
        <v>0</v>
      </c>
      <c r="T259" s="156" t="str">
        <f>+VLOOKUP($L259,Data_Validation!$A:$D,1,0)</f>
        <v>5703</v>
      </c>
      <c r="U259" s="156" t="str">
        <f>+VLOOKUP($L259,Data_Validation!$A:$D,3,0)</f>
        <v>Pièces</v>
      </c>
      <c r="V259" s="156" t="str">
        <f>+VLOOKUP($L259,Data_Validation!$A:$D,4,0)</f>
        <v>P/A Garantie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4" t="s">
        <v>2811</v>
      </c>
      <c r="B260" s="1014" t="s">
        <v>2812</v>
      </c>
      <c r="C260" s="1016">
        <v>33093.47</v>
      </c>
      <c r="D260" s="1016">
        <v>35357.910000000003</v>
      </c>
      <c r="E260" s="1016">
        <v>68451.38</v>
      </c>
      <c r="F260" s="1014" t="s">
        <v>424</v>
      </c>
      <c r="G260" s="1014" t="s">
        <v>2048</v>
      </c>
      <c r="H260" s="150"/>
      <c r="I260" s="157"/>
      <c r="J260" s="157"/>
      <c r="K260" s="157"/>
      <c r="L260" s="153" t="str">
        <f t="shared" si="35"/>
        <v>5705</v>
      </c>
      <c r="M260" s="154" t="str">
        <f t="shared" si="36"/>
        <v>C/V - PIECE/ACC B.R. INTERNE VW</v>
      </c>
      <c r="N260" s="155">
        <f>+IF(OR($Q260=Parametres!$G$2,$Q260=Parametres!$G$3),I260,C260)</f>
        <v>33093.47</v>
      </c>
      <c r="O260" s="155">
        <f>+IF(OR($Q260=Parametres!$G$2,$Q260=Parametres!$G$3),J260,D260)</f>
        <v>35357.910000000003</v>
      </c>
      <c r="P260" s="155">
        <f>+IF(OR($Q260=Parametres!$G$2,$Q260=Parametres!$G$3),K260,E260)</f>
        <v>68451.38</v>
      </c>
      <c r="Q260" s="154" t="str">
        <f t="shared" si="37"/>
        <v>6-Coût des ventes</v>
      </c>
      <c r="R260" s="153" t="str">
        <f t="shared" si="38"/>
        <v>4705</v>
      </c>
      <c r="S260" s="154">
        <f t="shared" si="39"/>
        <v>0</v>
      </c>
      <c r="T260" s="156" t="str">
        <f>+VLOOKUP($L260,Data_Validation!$A:$D,1,0)</f>
        <v>5705</v>
      </c>
      <c r="U260" s="156" t="str">
        <f>+VLOOKUP($L260,Data_Validation!$A:$D,3,0)</f>
        <v>Pièces</v>
      </c>
      <c r="V260" s="156" t="str">
        <f>+VLOOKUP($L260,Data_Validation!$A:$D,4,0)</f>
        <v>Ventes Internes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4" t="s">
        <v>2658</v>
      </c>
      <c r="B261" s="1014" t="s">
        <v>2659</v>
      </c>
      <c r="C261" s="1016">
        <v>882.02</v>
      </c>
      <c r="D261" s="1016">
        <v>380.6</v>
      </c>
      <c r="E261" s="1016">
        <v>1262.6199999999999</v>
      </c>
      <c r="F261" s="1014" t="s">
        <v>424</v>
      </c>
      <c r="G261" s="1014" t="s">
        <v>2169</v>
      </c>
      <c r="H261" s="150"/>
      <c r="I261" s="151"/>
      <c r="J261" s="151"/>
      <c r="K261" s="151"/>
      <c r="L261" s="153" t="str">
        <f t="shared" si="35"/>
        <v>5706</v>
      </c>
      <c r="M261" s="154" t="str">
        <f t="shared" si="36"/>
        <v>C/V - SHOP SUPPLY VW</v>
      </c>
      <c r="N261" s="155">
        <f>+IF(OR($Q261=Parametres!$G$2,$Q261=Parametres!$G$3),I261,C261)</f>
        <v>882.02</v>
      </c>
      <c r="O261" s="155">
        <f>+IF(OR($Q261=Parametres!$G$2,$Q261=Parametres!$G$3),J261,D261)</f>
        <v>380.6</v>
      </c>
      <c r="P261" s="155">
        <f>+IF(OR($Q261=Parametres!$G$2,$Q261=Parametres!$G$3),K261,E261)</f>
        <v>1262.6199999999999</v>
      </c>
      <c r="Q261" s="154" t="str">
        <f t="shared" si="37"/>
        <v>6-Coût des ventes</v>
      </c>
      <c r="R261" s="153" t="str">
        <f t="shared" si="38"/>
        <v>4706</v>
      </c>
      <c r="S261" s="154">
        <f t="shared" si="39"/>
        <v>0</v>
      </c>
      <c r="T261" s="156" t="str">
        <f>+VLOOKUP($L261,Data_Validation!$A:$D,1,0)</f>
        <v>5706</v>
      </c>
      <c r="U261" s="156" t="str">
        <f>+VLOOKUP($L261,Data_Validation!$A:$D,3,0)</f>
        <v>Service</v>
      </c>
      <c r="V261" s="156" t="str">
        <f>+VLOOKUP($L261,Data_Validation!$A:$D,4,0)</f>
        <v>M/O Interne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4" t="s">
        <v>2460</v>
      </c>
      <c r="B262" s="1014" t="s">
        <v>2728</v>
      </c>
      <c r="C262" s="1016">
        <v>5377.94</v>
      </c>
      <c r="D262" s="1016">
        <v>3522.84</v>
      </c>
      <c r="E262" s="1016">
        <v>8900.7800000000007</v>
      </c>
      <c r="F262" s="1014" t="s">
        <v>424</v>
      </c>
      <c r="G262" s="1014" t="s">
        <v>2115</v>
      </c>
      <c r="H262" s="150"/>
      <c r="I262" s="157"/>
      <c r="J262" s="157"/>
      <c r="K262" s="157"/>
      <c r="L262" s="153" t="str">
        <f t="shared" si="35"/>
        <v>5711</v>
      </c>
      <c r="M262" s="154" t="str">
        <f t="shared" si="36"/>
        <v>C/V - AUTRE PIECE/ACC/CARR B.R. CLIENT</v>
      </c>
      <c r="N262" s="155">
        <f>+IF(OR($Q262=Parametres!$G$2,$Q262=Parametres!$G$3),I262,C262)</f>
        <v>5377.94</v>
      </c>
      <c r="O262" s="155">
        <f>+IF(OR($Q262=Parametres!$G$2,$Q262=Parametres!$G$3),J262,D262)</f>
        <v>3522.84</v>
      </c>
      <c r="P262" s="155">
        <f>+IF(OR($Q262=Parametres!$G$2,$Q262=Parametres!$G$3),K262,E262)</f>
        <v>8900.7800000000007</v>
      </c>
      <c r="Q262" s="154" t="str">
        <f t="shared" si="37"/>
        <v>6-Coût des ventes</v>
      </c>
      <c r="R262" s="153" t="str">
        <f t="shared" si="38"/>
        <v>4711</v>
      </c>
      <c r="S262" s="154">
        <f t="shared" si="39"/>
        <v>0</v>
      </c>
      <c r="T262" s="156" t="str">
        <f>+VLOOKUP($L262,Data_Validation!$A:$D,1,0)</f>
        <v>5711</v>
      </c>
      <c r="U262" s="156" t="str">
        <f>+VLOOKUP($L262,Data_Validation!$A:$D,3,0)</f>
        <v>Pièces</v>
      </c>
      <c r="V262" s="156" t="str">
        <f>+VLOOKUP($L262,Data_Validation!$A:$D,4,0)</f>
        <v>Pièces Ro Clients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4" t="s">
        <v>2754</v>
      </c>
      <c r="B263" s="1014" t="s">
        <v>2755</v>
      </c>
      <c r="C263" s="1016">
        <v>7479.45</v>
      </c>
      <c r="D263" s="1016">
        <v>5987.69</v>
      </c>
      <c r="E263" s="1016">
        <v>13467.14</v>
      </c>
      <c r="F263" s="1014" t="s">
        <v>424</v>
      </c>
      <c r="G263" s="1014" t="s">
        <v>2108</v>
      </c>
      <c r="H263" s="949"/>
      <c r="I263" s="948"/>
      <c r="J263" s="948"/>
      <c r="K263" s="948"/>
      <c r="L263" s="153" t="str">
        <f t="shared" si="35"/>
        <v>5731</v>
      </c>
      <c r="M263" s="154" t="str">
        <f t="shared" si="36"/>
        <v>C/V - PIECES-BON REPAR.-PEINT/DEBOS</v>
      </c>
      <c r="N263" s="155">
        <f>+IF(OR($Q263=Parametres!$G$2,$Q263=Parametres!$G$3),I263,C263)</f>
        <v>7479.45</v>
      </c>
      <c r="O263" s="155">
        <f>+IF(OR($Q263=Parametres!$G$2,$Q263=Parametres!$G$3),J263,D263)</f>
        <v>5987.69</v>
      </c>
      <c r="P263" s="155">
        <f>+IF(OR($Q263=Parametres!$G$2,$Q263=Parametres!$G$3),K263,E263)</f>
        <v>13467.14</v>
      </c>
      <c r="Q263" s="154" t="str">
        <f t="shared" si="37"/>
        <v>6-Coût des ventes</v>
      </c>
      <c r="R263" s="153" t="str">
        <f t="shared" si="38"/>
        <v>4731</v>
      </c>
      <c r="S263" s="154">
        <f t="shared" si="39"/>
        <v>0</v>
      </c>
      <c r="T263" s="156" t="str">
        <f>+VLOOKUP($L263,Data_Validation!$A:$D,1,0)</f>
        <v>5731</v>
      </c>
      <c r="U263" s="156" t="str">
        <f>+VLOOKUP($L263,Data_Validation!$A:$D,3,0)</f>
        <v>Pièces</v>
      </c>
      <c r="V263" s="156" t="str">
        <f>+VLOOKUP($L263,Data_Validation!$A:$D,4,0)</f>
        <v>Pièces Ro Carrosserie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4" t="s">
        <v>2787</v>
      </c>
      <c r="B264" s="1014" t="s">
        <v>2788</v>
      </c>
      <c r="C264" s="1016">
        <v>67729.64</v>
      </c>
      <c r="D264" s="1016">
        <v>20043.23</v>
      </c>
      <c r="E264" s="1016">
        <v>87772.87</v>
      </c>
      <c r="F264" s="1014" t="s">
        <v>424</v>
      </c>
      <c r="G264" s="1014" t="s">
        <v>2091</v>
      </c>
      <c r="H264" s="949"/>
      <c r="I264" s="948"/>
      <c r="J264" s="948"/>
      <c r="K264" s="948"/>
      <c r="L264" s="153" t="str">
        <f t="shared" si="35"/>
        <v>5733</v>
      </c>
      <c r="M264" s="154" t="str">
        <f t="shared" si="36"/>
        <v>C/V - P&amp;A B.T. GAR.CARR.VW</v>
      </c>
      <c r="N264" s="155">
        <f>+IF(OR($Q264=Parametres!$G$2,$Q264=Parametres!$G$3),I264,C264)</f>
        <v>67729.64</v>
      </c>
      <c r="O264" s="155">
        <f>+IF(OR($Q264=Parametres!$G$2,$Q264=Parametres!$G$3),J264,D264)</f>
        <v>20043.23</v>
      </c>
      <c r="P264" s="155">
        <f>+IF(OR($Q264=Parametres!$G$2,$Q264=Parametres!$G$3),K264,E264)</f>
        <v>87772.87</v>
      </c>
      <c r="Q264" s="154" t="str">
        <f t="shared" si="37"/>
        <v>6-Coût des ventes</v>
      </c>
      <c r="R264" s="153" t="str">
        <f t="shared" si="38"/>
        <v>4733</v>
      </c>
      <c r="S264" s="154">
        <f t="shared" si="39"/>
        <v>0</v>
      </c>
      <c r="T264" s="156" t="str">
        <f>+VLOOKUP($L264,Data_Validation!$A:$D,1,0)</f>
        <v>5733</v>
      </c>
      <c r="U264" s="156" t="str">
        <f>+VLOOKUP($L264,Data_Validation!$A:$D,3,0)</f>
        <v>Pièces</v>
      </c>
      <c r="V264" s="156" t="str">
        <f>+VLOOKUP($L264,Data_Validation!$A:$D,4,0)</f>
        <v>Pièces Ro Carrosserie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4" t="s">
        <v>2668</v>
      </c>
      <c r="B265" s="1014" t="s">
        <v>2669</v>
      </c>
      <c r="C265" s="1016">
        <v>73.099999999999994</v>
      </c>
      <c r="D265" s="1016">
        <v>715.29</v>
      </c>
      <c r="E265" s="1016">
        <v>788.39</v>
      </c>
      <c r="F265" s="1014" t="s">
        <v>424</v>
      </c>
      <c r="G265" s="1014" t="s">
        <v>2166</v>
      </c>
      <c r="H265" s="949"/>
      <c r="I265" s="948"/>
      <c r="J265" s="948"/>
      <c r="K265" s="948"/>
      <c r="L265" s="153" t="str">
        <f t="shared" si="35"/>
        <v>5735</v>
      </c>
      <c r="M265" s="154" t="str">
        <f t="shared" si="36"/>
        <v>C/V - P&amp;A B.T.INTERNE CARR.VW</v>
      </c>
      <c r="N265" s="155">
        <f>+IF(OR($Q265=Parametres!$G$2,$Q265=Parametres!$G$3),I265,C265)</f>
        <v>73.099999999999994</v>
      </c>
      <c r="O265" s="155">
        <f>+IF(OR($Q265=Parametres!$G$2,$Q265=Parametres!$G$3),J265,D265)</f>
        <v>715.29</v>
      </c>
      <c r="P265" s="155">
        <f>+IF(OR($Q265=Parametres!$G$2,$Q265=Parametres!$G$3),K265,E265)</f>
        <v>788.39</v>
      </c>
      <c r="Q265" s="154" t="str">
        <f t="shared" si="37"/>
        <v>6-Coût des ventes</v>
      </c>
      <c r="R265" s="153" t="str">
        <f t="shared" si="38"/>
        <v>4735</v>
      </c>
      <c r="S265" s="154">
        <f t="shared" si="39"/>
        <v>0</v>
      </c>
      <c r="T265" s="156" t="str">
        <f>+VLOOKUP($L265,Data_Validation!$A:$D,1,0)</f>
        <v>5735</v>
      </c>
      <c r="U265" s="156" t="str">
        <f>+VLOOKUP($L265,Data_Validation!$A:$D,3,0)</f>
        <v>Pièces</v>
      </c>
      <c r="V265" s="156" t="str">
        <f>+VLOOKUP($L265,Data_Validation!$A:$D,4,0)</f>
        <v>Pièces Ro Carrosserie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4" t="s">
        <v>2794</v>
      </c>
      <c r="B266" s="1014" t="s">
        <v>2795</v>
      </c>
      <c r="C266" s="1016">
        <v>13916.61</v>
      </c>
      <c r="D266" s="1016">
        <v>9407.0300000000007</v>
      </c>
      <c r="E266" s="1016">
        <v>23323.64</v>
      </c>
      <c r="F266" s="1014" t="s">
        <v>424</v>
      </c>
      <c r="G266" s="1014" t="s">
        <v>2083</v>
      </c>
      <c r="H266" s="150"/>
      <c r="I266" s="157"/>
      <c r="J266" s="157"/>
      <c r="K266" s="157"/>
      <c r="L266" s="153" t="str">
        <f t="shared" si="35"/>
        <v>5761</v>
      </c>
      <c r="M266" s="154" t="str">
        <f t="shared" si="36"/>
        <v>C/V - P&amp;A VW COMPTOIR - DETAIL</v>
      </c>
      <c r="N266" s="155">
        <f>+IF(OR($Q266=Parametres!$G$2,$Q266=Parametres!$G$3),I266,C266)</f>
        <v>13916.61</v>
      </c>
      <c r="O266" s="155">
        <f>+IF(OR($Q266=Parametres!$G$2,$Q266=Parametres!$G$3),J266,D266)</f>
        <v>9407.0300000000007</v>
      </c>
      <c r="P266" s="155">
        <f>+IF(OR($Q266=Parametres!$G$2,$Q266=Parametres!$G$3),K266,E266)</f>
        <v>23323.64</v>
      </c>
      <c r="Q266" s="154" t="str">
        <f t="shared" si="37"/>
        <v>6-Coût des ventes</v>
      </c>
      <c r="R266" s="153" t="str">
        <f t="shared" si="38"/>
        <v>4761</v>
      </c>
      <c r="S266" s="154">
        <f t="shared" si="39"/>
        <v>0</v>
      </c>
      <c r="T266" s="156" t="str">
        <f>+VLOOKUP($L266,Data_Validation!$A:$D,1,0)</f>
        <v>5761</v>
      </c>
      <c r="U266" s="156" t="str">
        <f>+VLOOKUP($L266,Data_Validation!$A:$D,3,0)</f>
        <v>Pièces</v>
      </c>
      <c r="V266" s="156" t="str">
        <f>+VLOOKUP($L266,Data_Validation!$A:$D,4,0)</f>
        <v>Ventes Détails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4" t="s">
        <v>2816</v>
      </c>
      <c r="B267" s="1014" t="s">
        <v>2817</v>
      </c>
      <c r="C267" s="1016">
        <v>62085.120000000003</v>
      </c>
      <c r="D267" s="1016">
        <v>42479.98</v>
      </c>
      <c r="E267" s="1016">
        <v>104565.1</v>
      </c>
      <c r="F267" s="1014" t="s">
        <v>424</v>
      </c>
      <c r="G267" s="1014" t="s">
        <v>2046</v>
      </c>
      <c r="H267" s="150"/>
      <c r="I267" s="157"/>
      <c r="J267" s="157"/>
      <c r="K267" s="157"/>
      <c r="L267" s="153" t="str">
        <f t="shared" si="35"/>
        <v>5763</v>
      </c>
      <c r="M267" s="154" t="str">
        <f t="shared" si="36"/>
        <v>C/V - P&amp;A VW COMPTOIR GROS - ECHANGE</v>
      </c>
      <c r="N267" s="155">
        <f>+IF(OR($Q267=Parametres!$G$2,$Q267=Parametres!$G$3),I267,C267)</f>
        <v>62085.120000000003</v>
      </c>
      <c r="O267" s="155">
        <f>+IF(OR($Q267=Parametres!$G$2,$Q267=Parametres!$G$3),J267,D267)</f>
        <v>42479.98</v>
      </c>
      <c r="P267" s="155">
        <f>+IF(OR($Q267=Parametres!$G$2,$Q267=Parametres!$G$3),K267,E267)</f>
        <v>104565.1</v>
      </c>
      <c r="Q267" s="154" t="str">
        <f t="shared" si="37"/>
        <v>6-Coût des ventes</v>
      </c>
      <c r="R267" s="153" t="str">
        <f t="shared" si="38"/>
        <v>4763</v>
      </c>
      <c r="S267" s="154">
        <f t="shared" si="39"/>
        <v>0</v>
      </c>
      <c r="T267" s="156" t="str">
        <f>+VLOOKUP($L267,Data_Validation!$A:$D,1,0)</f>
        <v>5763</v>
      </c>
      <c r="U267" s="156" t="str">
        <f>+VLOOKUP($L267,Data_Validation!$A:$D,3,0)</f>
        <v>Pièces</v>
      </c>
      <c r="V267" s="156" t="str">
        <f>+VLOOKUP($L267,Data_Validation!$A:$D,4,0)</f>
        <v>Ventes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4" t="s">
        <v>2820</v>
      </c>
      <c r="B268" s="1014" t="s">
        <v>2821</v>
      </c>
      <c r="C268" s="1016">
        <v>34778.74</v>
      </c>
      <c r="D268" s="1016">
        <v>23085.17</v>
      </c>
      <c r="E268" s="1016">
        <v>57863.91</v>
      </c>
      <c r="F268" s="1014" t="s">
        <v>424</v>
      </c>
      <c r="G268" s="1014" t="s">
        <v>2035</v>
      </c>
      <c r="H268" s="949"/>
      <c r="I268" s="948"/>
      <c r="J268" s="948"/>
      <c r="K268" s="948"/>
      <c r="L268" s="153" t="str">
        <f t="shared" si="35"/>
        <v>5781</v>
      </c>
      <c r="M268" s="154" t="str">
        <f t="shared" si="36"/>
        <v>COUT PNEUS</v>
      </c>
      <c r="N268" s="155">
        <f>+IF(OR($Q268=Parametres!$G$2,$Q268=Parametres!$G$3),I268,C268)</f>
        <v>34778.74</v>
      </c>
      <c r="O268" s="155">
        <f>+IF(OR($Q268=Parametres!$G$2,$Q268=Parametres!$G$3),J268,D268)</f>
        <v>23085.17</v>
      </c>
      <c r="P268" s="155">
        <f>+IF(OR($Q268=Parametres!$G$2,$Q268=Parametres!$G$3),K268,E268)</f>
        <v>57863.91</v>
      </c>
      <c r="Q268" s="154" t="str">
        <f t="shared" si="37"/>
        <v>6-Coût des ventes</v>
      </c>
      <c r="R268" s="153" t="str">
        <f t="shared" si="38"/>
        <v>4781</v>
      </c>
      <c r="S268" s="154">
        <f t="shared" si="39"/>
        <v>0</v>
      </c>
      <c r="T268" s="156" t="str">
        <f>+VLOOKUP($L268,Data_Validation!$A:$D,1,0)</f>
        <v>5781</v>
      </c>
      <c r="U268" s="156" t="str">
        <f>+VLOOKUP($L268,Data_Validation!$A:$D,3,0)</f>
        <v>Pièces</v>
      </c>
      <c r="V268" s="156" t="str">
        <f>+VLOOKUP($L268,Data_Validation!$A:$D,4,0)</f>
        <v>Ventes Pneus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4" t="s">
        <v>2729</v>
      </c>
      <c r="B269" s="1014" t="s">
        <v>2730</v>
      </c>
      <c r="C269" s="1016">
        <v>123.54</v>
      </c>
      <c r="D269" s="1016">
        <v>0</v>
      </c>
      <c r="E269" s="1016">
        <v>123.54</v>
      </c>
      <c r="F269" s="1014" t="s">
        <v>424</v>
      </c>
      <c r="G269" s="1014" t="s">
        <v>2035</v>
      </c>
      <c r="H269" s="150"/>
      <c r="I269" s="157"/>
      <c r="J269" s="157"/>
      <c r="K269" s="157"/>
      <c r="L269" s="153" t="str">
        <f t="shared" si="35"/>
        <v>5785</v>
      </c>
      <c r="M269" s="154" t="str">
        <f t="shared" si="36"/>
        <v>C/V - VW PNEUS</v>
      </c>
      <c r="N269" s="155">
        <f>+IF(OR($Q269=Parametres!$G$2,$Q269=Parametres!$G$3),I269,C269)</f>
        <v>123.54</v>
      </c>
      <c r="O269" s="155">
        <f>+IF(OR($Q269=Parametres!$G$2,$Q269=Parametres!$G$3),J269,D269)</f>
        <v>0</v>
      </c>
      <c r="P269" s="155">
        <f>+IF(OR($Q269=Parametres!$G$2,$Q269=Parametres!$G$3),K269,E269)</f>
        <v>123.54</v>
      </c>
      <c r="Q269" s="154" t="str">
        <f t="shared" si="37"/>
        <v>6-Coût des ventes</v>
      </c>
      <c r="R269" s="153" t="str">
        <f t="shared" si="38"/>
        <v>4781</v>
      </c>
      <c r="S269" s="154">
        <f t="shared" si="39"/>
        <v>0</v>
      </c>
      <c r="T269" s="156" t="str">
        <f>+VLOOKUP($L269,Data_Validation!$A:$D,1,0)</f>
        <v>5785</v>
      </c>
      <c r="U269" s="156" t="str">
        <f>+VLOOKUP($L269,Data_Validation!$A:$D,3,0)</f>
        <v>Pièces</v>
      </c>
      <c r="V269" s="156" t="str">
        <f>+VLOOKUP($L269,Data_Validation!$A:$D,4,0)</f>
        <v>Ventes Pneus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4" t="s">
        <v>2135</v>
      </c>
      <c r="B270" s="1014" t="s">
        <v>2136</v>
      </c>
      <c r="C270" s="1016">
        <v>677.86</v>
      </c>
      <c r="D270" s="1016">
        <v>-740.62</v>
      </c>
      <c r="E270" s="1016">
        <v>-62.76</v>
      </c>
      <c r="F270" s="1014" t="s">
        <v>424</v>
      </c>
      <c r="G270" s="1014" t="s">
        <v>2137</v>
      </c>
      <c r="H270" s="150"/>
      <c r="I270" s="151"/>
      <c r="J270" s="151"/>
      <c r="K270" s="151"/>
      <c r="L270" s="153" t="str">
        <f t="shared" si="35"/>
        <v>5796</v>
      </c>
      <c r="M270" s="154" t="str">
        <f t="shared" si="36"/>
        <v>C/V - BONI / ESCPTE PI VW</v>
      </c>
      <c r="N270" s="155">
        <f>+IF(OR($Q270=Parametres!$G$2,$Q270=Parametres!$G$3),I270,C270)</f>
        <v>677.86</v>
      </c>
      <c r="O270" s="155">
        <f>+IF(OR($Q270=Parametres!$G$2,$Q270=Parametres!$G$3),J270,D270)</f>
        <v>-740.62</v>
      </c>
      <c r="P270" s="155">
        <f>+IF(OR($Q270=Parametres!$G$2,$Q270=Parametres!$G$3),K270,E270)</f>
        <v>-62.76</v>
      </c>
      <c r="Q270" s="154" t="str">
        <f t="shared" si="37"/>
        <v>6-Coût des ventes</v>
      </c>
      <c r="R270" s="153" t="str">
        <f t="shared" si="38"/>
        <v>5792</v>
      </c>
      <c r="S270" s="154">
        <f t="shared" si="39"/>
        <v>0</v>
      </c>
      <c r="T270" s="156" t="str">
        <f>+VLOOKUP($L270,Data_Validation!$A:$D,1,0)</f>
        <v>5796</v>
      </c>
      <c r="U270" s="156" t="str">
        <f>+VLOOKUP($L270,Data_Validation!$A:$D,3,0)</f>
        <v>Pièces</v>
      </c>
      <c r="V270" s="156" t="str">
        <f>+VLOOKUP($L270,Data_Validation!$A:$D,4,0)</f>
        <v>Escomptes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4" t="s">
        <v>1523</v>
      </c>
      <c r="B271" s="1014" t="s">
        <v>2781</v>
      </c>
      <c r="C271" s="1016">
        <v>47637.16</v>
      </c>
      <c r="D271" s="1016">
        <v>41980.82</v>
      </c>
      <c r="E271" s="1016">
        <v>89617.98</v>
      </c>
      <c r="F271" s="1014" t="s">
        <v>401</v>
      </c>
      <c r="G271" s="1014" t="s">
        <v>2781</v>
      </c>
      <c r="H271" s="949"/>
      <c r="I271" s="948"/>
      <c r="J271" s="948"/>
      <c r="K271" s="948"/>
      <c r="L271" s="153" t="str">
        <f t="shared" si="35"/>
        <v>6101</v>
      </c>
      <c r="M271" s="154" t="str">
        <f t="shared" si="36"/>
        <v>COMMISSION VENDEUR NEUFS</v>
      </c>
      <c r="N271" s="155">
        <f>+IF(OR($Q271=Parametres!$G$2,$Q271=Parametres!$G$3),I271,C271)</f>
        <v>47637.16</v>
      </c>
      <c r="O271" s="155">
        <f>+IF(OR($Q271=Parametres!$G$2,$Q271=Parametres!$G$3),J271,D271)</f>
        <v>41980.82</v>
      </c>
      <c r="P271" s="155">
        <f>+IF(OR($Q271=Parametres!$G$2,$Q271=Parametres!$G$3),K271,E271)</f>
        <v>89617.98</v>
      </c>
      <c r="Q271" s="154" t="str">
        <f t="shared" si="37"/>
        <v>7-Dépenses</v>
      </c>
      <c r="R271" s="153" t="str">
        <f t="shared" si="38"/>
        <v>6101</v>
      </c>
      <c r="S271" s="154">
        <f t="shared" si="39"/>
        <v>0</v>
      </c>
      <c r="T271" s="156" t="str">
        <f>+VLOOKUP($L271,Data_Validation!$A:$D,1,0)</f>
        <v>6101</v>
      </c>
      <c r="U271" s="156" t="str">
        <f>+VLOOKUP($L271,Data_Validation!$A:$D,3,0)</f>
        <v>Véhicules neufs</v>
      </c>
      <c r="V271" s="156" t="str">
        <f>+VLOOKUP($L271,Data_Validation!$A:$D,4,0)</f>
        <v>Comm. vendeurs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4" t="s">
        <v>1442</v>
      </c>
      <c r="B272" s="1014" t="s">
        <v>2770</v>
      </c>
      <c r="C272" s="1016">
        <v>14347.96</v>
      </c>
      <c r="D272" s="1016">
        <v>15873.98</v>
      </c>
      <c r="E272" s="1016">
        <v>30221.94</v>
      </c>
      <c r="F272" s="1014" t="s">
        <v>401</v>
      </c>
      <c r="G272" s="1014" t="s">
        <v>2770</v>
      </c>
      <c r="H272" s="949"/>
      <c r="I272" s="948"/>
      <c r="J272" s="948"/>
      <c r="K272" s="948"/>
      <c r="L272" s="153" t="str">
        <f t="shared" si="35"/>
        <v>6102</v>
      </c>
      <c r="M272" s="154" t="str">
        <f t="shared" si="36"/>
        <v>RENUMERATION F &amp; I</v>
      </c>
      <c r="N272" s="155">
        <f>+IF(OR($Q272=Parametres!$G$2,$Q272=Parametres!$G$3),I272,C272)</f>
        <v>14347.96</v>
      </c>
      <c r="O272" s="155">
        <f>+IF(OR($Q272=Parametres!$G$2,$Q272=Parametres!$G$3),J272,D272)</f>
        <v>15873.98</v>
      </c>
      <c r="P272" s="155">
        <f>+IF(OR($Q272=Parametres!$G$2,$Q272=Parametres!$G$3),K272,E272)</f>
        <v>30221.94</v>
      </c>
      <c r="Q272" s="154" t="str">
        <f t="shared" si="37"/>
        <v>7-Dépenses</v>
      </c>
      <c r="R272" s="153" t="str">
        <f t="shared" si="38"/>
        <v>6102</v>
      </c>
      <c r="S272" s="154">
        <f t="shared" si="39"/>
        <v>0</v>
      </c>
      <c r="T272" s="156" t="str">
        <f>+VLOOKUP($L272,Data_Validation!$A:$D,1,0)</f>
        <v>6102</v>
      </c>
      <c r="U272" s="156" t="str">
        <f>+VLOOKUP($L272,Data_Validation!$A:$D,3,0)</f>
        <v>Véhicules neufs</v>
      </c>
      <c r="V272" s="156" t="str">
        <f>+VLOOKUP($L272,Data_Validation!$A:$D,4,0)</f>
        <v>Comm. F&amp;I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4" t="s">
        <v>399</v>
      </c>
      <c r="B273" s="1014" t="s">
        <v>2706</v>
      </c>
      <c r="C273" s="1016">
        <v>487.59</v>
      </c>
      <c r="D273" s="1016">
        <v>0</v>
      </c>
      <c r="E273" s="1016">
        <v>487.59</v>
      </c>
      <c r="F273" s="1014" t="s">
        <v>401</v>
      </c>
      <c r="G273" s="1014" t="s">
        <v>2706</v>
      </c>
      <c r="H273" s="949"/>
      <c r="I273" s="948"/>
      <c r="J273" s="948"/>
      <c r="K273" s="948"/>
      <c r="L273" s="153" t="str">
        <f t="shared" si="35"/>
        <v>6103</v>
      </c>
      <c r="M273" s="154" t="str">
        <f t="shared" si="36"/>
        <v>RELAT. A LA CLIENTELE &amp; AJUST.</v>
      </c>
      <c r="N273" s="155">
        <f>+IF(OR($Q273=Parametres!$G$2,$Q273=Parametres!$G$3),I273,C273)</f>
        <v>487.59</v>
      </c>
      <c r="O273" s="155">
        <f>+IF(OR($Q273=Parametres!$G$2,$Q273=Parametres!$G$3),J273,D273)</f>
        <v>0</v>
      </c>
      <c r="P273" s="155">
        <f>+IF(OR($Q273=Parametres!$G$2,$Q273=Parametres!$G$3),K273,E273)</f>
        <v>487.59</v>
      </c>
      <c r="Q273" s="154" t="str">
        <f t="shared" si="37"/>
        <v>7-Dépenses</v>
      </c>
      <c r="R273" s="153" t="str">
        <f t="shared" si="38"/>
        <v>6103</v>
      </c>
      <c r="S273" s="154">
        <f t="shared" si="39"/>
        <v>0</v>
      </c>
      <c r="T273" s="156" t="str">
        <f>+VLOOKUP($L273,Data_Validation!$A:$D,1,0)</f>
        <v>6103</v>
      </c>
      <c r="U273" s="156" t="str">
        <f>+VLOOKUP($L273,Data_Validation!$A:$D,3,0)</f>
        <v>Véhicules neufs</v>
      </c>
      <c r="V273" s="156" t="str">
        <f>+VLOOKUP($L273,Data_Validation!$A:$D,4,0)</f>
        <v>Service gratuit 1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4" t="s">
        <v>2757</v>
      </c>
      <c r="B274" s="1014" t="s">
        <v>2759</v>
      </c>
      <c r="C274" s="1016">
        <v>1241.5</v>
      </c>
      <c r="D274" s="1016">
        <v>40</v>
      </c>
      <c r="E274" s="1016">
        <v>1281.5</v>
      </c>
      <c r="F274" s="1014" t="s">
        <v>401</v>
      </c>
      <c r="G274" s="1014" t="s">
        <v>2759</v>
      </c>
      <c r="H274" s="150"/>
      <c r="I274" s="157"/>
      <c r="J274" s="157"/>
      <c r="K274" s="157"/>
      <c r="L274" s="153" t="str">
        <f t="shared" si="35"/>
        <v>6106</v>
      </c>
      <c r="M274" s="154" t="str">
        <f t="shared" si="36"/>
        <v>ENTRETIEN DES STOCKS</v>
      </c>
      <c r="N274" s="155">
        <f>+IF(OR($Q274=Parametres!$G$2,$Q274=Parametres!$G$3),I274,C274)</f>
        <v>1241.5</v>
      </c>
      <c r="O274" s="155">
        <f>+IF(OR($Q274=Parametres!$G$2,$Q274=Parametres!$G$3),J274,D274)</f>
        <v>40</v>
      </c>
      <c r="P274" s="155">
        <f>+IF(OR($Q274=Parametres!$G$2,$Q274=Parametres!$G$3),K274,E274)</f>
        <v>1281.5</v>
      </c>
      <c r="Q274" s="154" t="str">
        <f t="shared" si="37"/>
        <v>7-Dépenses</v>
      </c>
      <c r="R274" s="153" t="str">
        <f t="shared" si="38"/>
        <v>6106</v>
      </c>
      <c r="S274" s="154">
        <f t="shared" si="39"/>
        <v>0</v>
      </c>
      <c r="T274" s="156" t="str">
        <f>+VLOOKUP($L274,Data_Validation!$A:$D,1,0)</f>
        <v>6106</v>
      </c>
      <c r="U274" s="156" t="str">
        <f>+VLOOKUP($L274,Data_Validation!$A:$D,3,0)</f>
        <v>Véhicules neufs</v>
      </c>
      <c r="V274" s="156" t="str">
        <f>+VLOOKUP($L274,Data_Validation!$A:$D,4,0)</f>
        <v>Entretien stock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4" t="s">
        <v>938</v>
      </c>
      <c r="B275" s="1014" t="s">
        <v>2612</v>
      </c>
      <c r="C275" s="1016">
        <v>23269.9</v>
      </c>
      <c r="D275" s="1016">
        <v>13421.4</v>
      </c>
      <c r="E275" s="1016">
        <v>36691.300000000003</v>
      </c>
      <c r="F275" s="1014" t="s">
        <v>401</v>
      </c>
      <c r="G275" s="1014" t="s">
        <v>2612</v>
      </c>
      <c r="H275" s="150"/>
      <c r="I275" s="151"/>
      <c r="J275" s="151"/>
      <c r="K275" s="151"/>
      <c r="L275" s="153" t="str">
        <f t="shared" si="35"/>
        <v>6107</v>
      </c>
      <c r="M275" s="154" t="str">
        <f t="shared" si="36"/>
        <v>INTERET-PLAN DE FINANCEMENT</v>
      </c>
      <c r="N275" s="155">
        <f>+IF(OR($Q275=Parametres!$G$2,$Q275=Parametres!$G$3),I275,C275)</f>
        <v>23269.9</v>
      </c>
      <c r="O275" s="155">
        <f>+IF(OR($Q275=Parametres!$G$2,$Q275=Parametres!$G$3),J275,D275)</f>
        <v>13421.4</v>
      </c>
      <c r="P275" s="155">
        <f>+IF(OR($Q275=Parametres!$G$2,$Q275=Parametres!$G$3),K275,E275)</f>
        <v>36691.300000000003</v>
      </c>
      <c r="Q275" s="154" t="str">
        <f t="shared" si="37"/>
        <v>7-Dépenses</v>
      </c>
      <c r="R275" s="153" t="str">
        <f t="shared" si="38"/>
        <v>6107</v>
      </c>
      <c r="S275" s="154">
        <f t="shared" si="39"/>
        <v>0</v>
      </c>
      <c r="T275" s="156" t="str">
        <f>+VLOOKUP($L275,Data_Validation!$A:$D,1,0)</f>
        <v>6107</v>
      </c>
      <c r="U275" s="156" t="str">
        <f>+VLOOKUP($L275,Data_Validation!$A:$D,3,0)</f>
        <v>Véhicules neufs</v>
      </c>
      <c r="V275" s="156" t="str">
        <f>+VLOOKUP($L275,Data_Validation!$A:$D,4,0)</f>
        <v>Intérêt de gros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4" t="s">
        <v>1407</v>
      </c>
      <c r="B276" s="1014" t="s">
        <v>2696</v>
      </c>
      <c r="C276" s="1016">
        <v>11630.41</v>
      </c>
      <c r="D276" s="1016">
        <v>10574.37</v>
      </c>
      <c r="E276" s="1016">
        <v>22204.78</v>
      </c>
      <c r="F276" s="1014" t="s">
        <v>401</v>
      </c>
      <c r="G276" s="1014" t="s">
        <v>2696</v>
      </c>
      <c r="H276" s="150"/>
      <c r="I276" s="157"/>
      <c r="J276" s="157"/>
      <c r="K276" s="157"/>
      <c r="L276" s="153" t="str">
        <f t="shared" si="35"/>
        <v>6108</v>
      </c>
      <c r="M276" s="154" t="str">
        <f t="shared" si="36"/>
        <v>FRAIS DE LIVRAISON</v>
      </c>
      <c r="N276" s="155">
        <f>+IF(OR($Q276=Parametres!$G$2,$Q276=Parametres!$G$3),I276,C276)</f>
        <v>11630.41</v>
      </c>
      <c r="O276" s="155">
        <f>+IF(OR($Q276=Parametres!$G$2,$Q276=Parametres!$G$3),J276,D276)</f>
        <v>10574.37</v>
      </c>
      <c r="P276" s="155">
        <f>+IF(OR($Q276=Parametres!$G$2,$Q276=Parametres!$G$3),K276,E276)</f>
        <v>22204.78</v>
      </c>
      <c r="Q276" s="154" t="str">
        <f t="shared" si="37"/>
        <v>7-Dépenses</v>
      </c>
      <c r="R276" s="153" t="str">
        <f t="shared" si="38"/>
        <v>6108</v>
      </c>
      <c r="S276" s="154">
        <f t="shared" si="39"/>
        <v>0</v>
      </c>
      <c r="T276" s="156" t="str">
        <f>+VLOOKUP($L276,Data_Validation!$A:$D,1,0)</f>
        <v>6108</v>
      </c>
      <c r="U276" s="156" t="str">
        <f>+VLOOKUP($L276,Data_Validation!$A:$D,3,0)</f>
        <v>Véhicules neufs</v>
      </c>
      <c r="V276" s="156" t="str">
        <f>+VLOOKUP($L276,Data_Validation!$A:$D,4,0)</f>
        <v>Frais de livraison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4" t="s">
        <v>1374</v>
      </c>
      <c r="B277" s="1014" t="s">
        <v>2113</v>
      </c>
      <c r="C277" s="1016">
        <v>23553.05</v>
      </c>
      <c r="D277" s="1016">
        <v>15375.89</v>
      </c>
      <c r="E277" s="1016">
        <v>38928.94</v>
      </c>
      <c r="F277" s="1014" t="s">
        <v>401</v>
      </c>
      <c r="G277" s="1014" t="s">
        <v>2113</v>
      </c>
      <c r="H277" s="150"/>
      <c r="I277" s="157"/>
      <c r="J277" s="157"/>
      <c r="K277" s="157"/>
      <c r="L277" s="153" t="str">
        <f t="shared" si="35"/>
        <v>6114</v>
      </c>
      <c r="M277" s="154" t="str">
        <f t="shared" si="36"/>
        <v>PUBLICITE</v>
      </c>
      <c r="N277" s="155">
        <f>+IF(OR($Q277=Parametres!$G$2,$Q277=Parametres!$G$3),I277,C277)</f>
        <v>23553.05</v>
      </c>
      <c r="O277" s="155">
        <f>+IF(OR($Q277=Parametres!$G$2,$Q277=Parametres!$G$3),J277,D277)</f>
        <v>15375.89</v>
      </c>
      <c r="P277" s="155">
        <f>+IF(OR($Q277=Parametres!$G$2,$Q277=Parametres!$G$3),K277,E277)</f>
        <v>38928.94</v>
      </c>
      <c r="Q277" s="154" t="str">
        <f t="shared" si="37"/>
        <v>7-Dépenses</v>
      </c>
      <c r="R277" s="153" t="str">
        <f t="shared" si="38"/>
        <v>6114</v>
      </c>
      <c r="S277" s="154">
        <f t="shared" si="39"/>
        <v>0</v>
      </c>
      <c r="T277" s="156" t="str">
        <f>+VLOOKUP($L277,Data_Validation!$A:$D,1,0)</f>
        <v>6114</v>
      </c>
      <c r="U277" s="156" t="str">
        <f>+VLOOKUP($L277,Data_Validation!$A:$D,3,0)</f>
        <v>Véhicules neufs</v>
      </c>
      <c r="V277" s="156" t="str">
        <f>+VLOOKUP($L277,Data_Validation!$A:$D,4,0)</f>
        <v>Publicité 1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4" t="s">
        <v>2111</v>
      </c>
      <c r="B278" s="1014" t="s">
        <v>2112</v>
      </c>
      <c r="C278" s="1016">
        <v>-7100</v>
      </c>
      <c r="D278" s="1016">
        <v>-7800</v>
      </c>
      <c r="E278" s="1016">
        <v>-14900</v>
      </c>
      <c r="F278" s="1014" t="s">
        <v>401</v>
      </c>
      <c r="G278" s="1014" t="s">
        <v>2113</v>
      </c>
      <c r="H278" s="949"/>
      <c r="I278" s="949"/>
      <c r="J278" s="949"/>
      <c r="K278" s="949"/>
      <c r="L278" s="153" t="str">
        <f t="shared" si="35"/>
        <v>6115</v>
      </c>
      <c r="M278" s="154" t="str">
        <f t="shared" si="36"/>
        <v>CREDIT PUBLICITE NEUF</v>
      </c>
      <c r="N278" s="155">
        <f>+IF(OR($Q278=Parametres!$G$2,$Q278=Parametres!$G$3),I278,C278)</f>
        <v>-7100</v>
      </c>
      <c r="O278" s="575">
        <f>+IF(OR($Q278=Parametres!$G$2,$Q278=Parametres!$G$3),J278,D278)</f>
        <v>-7800</v>
      </c>
      <c r="P278" s="155">
        <f>+IF(OR($Q278=Parametres!$G$2,$Q278=Parametres!$G$3),K278,E278)</f>
        <v>-14900</v>
      </c>
      <c r="Q278" s="154" t="str">
        <f t="shared" si="37"/>
        <v>7-Dépenses</v>
      </c>
      <c r="R278" s="153" t="str">
        <f t="shared" si="38"/>
        <v>6114</v>
      </c>
      <c r="S278" s="154">
        <f t="shared" si="39"/>
        <v>0</v>
      </c>
      <c r="T278" s="156" t="str">
        <f>+VLOOKUP($L278,Data_Validation!$A:$D,1,0)</f>
        <v>6115</v>
      </c>
      <c r="U278" s="156" t="str">
        <f>+VLOOKUP($L278,Data_Validation!$A:$D,3,0)</f>
        <v>Véhicules neufs</v>
      </c>
      <c r="V278" s="156" t="str">
        <f>+VLOOKUP($L278,Data_Validation!$A:$D,4,0)</f>
        <v>Publicité 1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4" t="s">
        <v>1259</v>
      </c>
      <c r="B279" s="1014" t="s">
        <v>2648</v>
      </c>
      <c r="C279" s="1016">
        <v>1866.66</v>
      </c>
      <c r="D279" s="1016">
        <v>933.33</v>
      </c>
      <c r="E279" s="1016">
        <v>2799.99</v>
      </c>
      <c r="F279" s="1014" t="s">
        <v>401</v>
      </c>
      <c r="G279" s="1014" t="s">
        <v>2648</v>
      </c>
      <c r="H279" s="150"/>
      <c r="I279" s="157"/>
      <c r="J279" s="157"/>
      <c r="K279" s="157"/>
      <c r="L279" s="153" t="str">
        <f t="shared" si="35"/>
        <v>6121</v>
      </c>
      <c r="M279" s="154" t="str">
        <f t="shared" si="36"/>
        <v>SALAIRES - PROPRIETAIRES</v>
      </c>
      <c r="N279" s="155">
        <f>+IF(OR($Q279=Parametres!$G$2,$Q279=Parametres!$G$3),I279,C279)</f>
        <v>1866.66</v>
      </c>
      <c r="O279" s="155">
        <f>+IF(OR($Q279=Parametres!$G$2,$Q279=Parametres!$G$3),J279,D279)</f>
        <v>933.33</v>
      </c>
      <c r="P279" s="155">
        <f>+IF(OR($Q279=Parametres!$G$2,$Q279=Parametres!$G$3),K279,E279)</f>
        <v>2799.99</v>
      </c>
      <c r="Q279" s="154" t="str">
        <f t="shared" si="37"/>
        <v>7-Dépenses</v>
      </c>
      <c r="R279" s="153" t="str">
        <f t="shared" si="38"/>
        <v>6121</v>
      </c>
      <c r="S279" s="154">
        <f t="shared" si="39"/>
        <v>0</v>
      </c>
      <c r="T279" s="156" t="str">
        <f>+VLOOKUP($L279,Data_Validation!$A:$D,1,0)</f>
        <v>6121</v>
      </c>
      <c r="U279" s="156" t="str">
        <f>+VLOOKUP($L279,Data_Validation!$A:$D,3,0)</f>
        <v>Véhicules neufs</v>
      </c>
      <c r="V279" s="156" t="str">
        <f>+VLOOKUP($L279,Data_Validation!$A:$D,4,0)</f>
        <v>Salaires propriétaire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4" t="s">
        <v>2624</v>
      </c>
      <c r="B280" s="1014" t="s">
        <v>2626</v>
      </c>
      <c r="C280" s="1016">
        <v>27409.56</v>
      </c>
      <c r="D280" s="1016">
        <v>15654.54</v>
      </c>
      <c r="E280" s="1016">
        <v>43064.1</v>
      </c>
      <c r="F280" s="1014" t="s">
        <v>401</v>
      </c>
      <c r="G280" s="1014" t="s">
        <v>2626</v>
      </c>
      <c r="H280" s="150"/>
      <c r="I280" s="157"/>
      <c r="J280" s="157"/>
      <c r="K280" s="157"/>
      <c r="L280" s="153" t="str">
        <f t="shared" si="35"/>
        <v>6122</v>
      </c>
      <c r="M280" s="154" t="str">
        <f t="shared" si="36"/>
        <v>SAL SUPERVISION / GERANT</v>
      </c>
      <c r="N280" s="155">
        <f>+IF(OR($Q280=Parametres!$G$2,$Q280=Parametres!$G$3),I280,C280)</f>
        <v>27409.56</v>
      </c>
      <c r="O280" s="155">
        <f>+IF(OR($Q280=Parametres!$G$2,$Q280=Parametres!$G$3),J280,D280)</f>
        <v>15654.54</v>
      </c>
      <c r="P280" s="155">
        <f>+IF(OR($Q280=Parametres!$G$2,$Q280=Parametres!$G$3),K280,E280)</f>
        <v>43064.1</v>
      </c>
      <c r="Q280" s="154" t="str">
        <f t="shared" si="37"/>
        <v>7-Dépenses</v>
      </c>
      <c r="R280" s="153" t="str">
        <f t="shared" si="38"/>
        <v>6122</v>
      </c>
      <c r="S280" s="154">
        <f t="shared" si="39"/>
        <v>0</v>
      </c>
      <c r="T280" s="156" t="str">
        <f>+VLOOKUP($L280,Data_Validation!$A:$D,1,0)</f>
        <v>6122</v>
      </c>
      <c r="U280" s="156" t="str">
        <f>+VLOOKUP($L280,Data_Validation!$A:$D,3,0)</f>
        <v>Véhicules neufs</v>
      </c>
      <c r="V280" s="156" t="str">
        <f>+VLOOKUP($L280,Data_Validation!$A:$D,4,0)</f>
        <v>Salaires cadres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4" t="s">
        <v>1342</v>
      </c>
      <c r="B281" s="1014" t="s">
        <v>2679</v>
      </c>
      <c r="C281" s="1016">
        <v>12710.15</v>
      </c>
      <c r="D281" s="1016">
        <v>9351.0400000000009</v>
      </c>
      <c r="E281" s="1016">
        <v>22061.19</v>
      </c>
      <c r="F281" s="1014" t="s">
        <v>401</v>
      </c>
      <c r="G281" s="1014" t="s">
        <v>2679</v>
      </c>
      <c r="H281" s="949"/>
      <c r="I281" s="948"/>
      <c r="J281" s="948"/>
      <c r="K281" s="948"/>
      <c r="L281" s="153" t="str">
        <f t="shared" si="35"/>
        <v>6123</v>
      </c>
      <c r="M281" s="154" t="str">
        <f t="shared" si="36"/>
        <v>SAL. &amp; RENUM. - CLERICAL</v>
      </c>
      <c r="N281" s="155">
        <f>+IF(OR($Q281=Parametres!$G$2,$Q281=Parametres!$G$3),I281,C281)</f>
        <v>12710.15</v>
      </c>
      <c r="O281" s="155">
        <f>+IF(OR($Q281=Parametres!$G$2,$Q281=Parametres!$G$3),J281,D281)</f>
        <v>9351.0400000000009</v>
      </c>
      <c r="P281" s="155">
        <f>+IF(OR($Q281=Parametres!$G$2,$Q281=Parametres!$G$3),K281,E281)</f>
        <v>22061.19</v>
      </c>
      <c r="Q281" s="154" t="str">
        <f t="shared" si="37"/>
        <v>7-Dépenses</v>
      </c>
      <c r="R281" s="153" t="str">
        <f t="shared" si="38"/>
        <v>6123</v>
      </c>
      <c r="S281" s="154">
        <f t="shared" si="39"/>
        <v>0</v>
      </c>
      <c r="T281" s="156" t="str">
        <f>+VLOOKUP($L281,Data_Validation!$A:$D,1,0)</f>
        <v>6123</v>
      </c>
      <c r="U281" s="156" t="str">
        <f>+VLOOKUP($L281,Data_Validation!$A:$D,3,0)</f>
        <v>Véhicules neufs</v>
      </c>
      <c r="V281" s="156" t="str">
        <f>+VLOOKUP($L281,Data_Validation!$A:$D,4,0)</f>
        <v>Salaires commis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4" t="s">
        <v>1249</v>
      </c>
      <c r="B282" s="1014" t="s">
        <v>2735</v>
      </c>
      <c r="C282" s="1016">
        <v>11094.76</v>
      </c>
      <c r="D282" s="1016">
        <v>7584.35</v>
      </c>
      <c r="E282" s="1016">
        <v>18679.11</v>
      </c>
      <c r="F282" s="1014" t="s">
        <v>401</v>
      </c>
      <c r="G282" s="1014" t="s">
        <v>2735</v>
      </c>
      <c r="H282" s="150"/>
      <c r="I282" s="151"/>
      <c r="J282" s="151"/>
      <c r="K282" s="151"/>
      <c r="L282" s="153" t="str">
        <f t="shared" si="35"/>
        <v>6124</v>
      </c>
      <c r="M282" s="154" t="str">
        <f t="shared" si="36"/>
        <v>SALAIRES &amp; RENUM. - AUTRES</v>
      </c>
      <c r="N282" s="155">
        <f>+IF(OR($Q282=Parametres!$G$2,$Q282=Parametres!$G$3),I282,C282)</f>
        <v>11094.76</v>
      </c>
      <c r="O282" s="155">
        <f>+IF(OR($Q282=Parametres!$G$2,$Q282=Parametres!$G$3),J282,D282)</f>
        <v>7584.35</v>
      </c>
      <c r="P282" s="155">
        <f>+IF(OR($Q282=Parametres!$G$2,$Q282=Parametres!$G$3),K282,E282)</f>
        <v>18679.11</v>
      </c>
      <c r="Q282" s="154" t="str">
        <f t="shared" si="37"/>
        <v>7-Dépenses</v>
      </c>
      <c r="R282" s="153" t="str">
        <f t="shared" si="38"/>
        <v>6124</v>
      </c>
      <c r="S282" s="154">
        <f t="shared" si="39"/>
        <v>0</v>
      </c>
      <c r="T282" s="156" t="str">
        <f>+VLOOKUP($L282,Data_Validation!$A:$D,1,0)</f>
        <v>6124</v>
      </c>
      <c r="U282" s="156" t="str">
        <f>+VLOOKUP($L282,Data_Validation!$A:$D,3,0)</f>
        <v>Véhicules neufs</v>
      </c>
      <c r="V282" s="156" t="str">
        <f>+VLOOKUP($L282,Data_Validation!$A:$D,4,0)</f>
        <v>Salaires autres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4" t="s">
        <v>1445</v>
      </c>
      <c r="B283" s="1014" t="s">
        <v>2641</v>
      </c>
      <c r="C283" s="1016">
        <v>18229.28</v>
      </c>
      <c r="D283" s="1016">
        <v>9708.4</v>
      </c>
      <c r="E283" s="1016">
        <v>27937.68</v>
      </c>
      <c r="F283" s="1014" t="s">
        <v>401</v>
      </c>
      <c r="G283" s="1014" t="s">
        <v>2641</v>
      </c>
      <c r="H283" s="949"/>
      <c r="I283" s="948"/>
      <c r="J283" s="948"/>
      <c r="K283" s="948"/>
      <c r="L283" s="153" t="str">
        <f t="shared" si="35"/>
        <v>6129</v>
      </c>
      <c r="M283" s="154" t="str">
        <f t="shared" si="36"/>
        <v>ABS., VACANCE &amp; SAL. JOURS FER</v>
      </c>
      <c r="N283" s="155">
        <f>+IF(OR($Q283=Parametres!$G$2,$Q283=Parametres!$G$3),I283,C283)</f>
        <v>18229.28</v>
      </c>
      <c r="O283" s="155">
        <f>+IF(OR($Q283=Parametres!$G$2,$Q283=Parametres!$G$3),J283,D283)</f>
        <v>9708.4</v>
      </c>
      <c r="P283" s="155">
        <f>+IF(OR($Q283=Parametres!$G$2,$Q283=Parametres!$G$3),K283,E283)</f>
        <v>27937.68</v>
      </c>
      <c r="Q283" s="154" t="str">
        <f t="shared" si="37"/>
        <v>7-Dépenses</v>
      </c>
      <c r="R283" s="153" t="str">
        <f t="shared" si="38"/>
        <v>6129</v>
      </c>
      <c r="S283" s="154">
        <f t="shared" si="39"/>
        <v>0</v>
      </c>
      <c r="T283" s="156" t="str">
        <f>+VLOOKUP($L283,Data_Validation!$A:$D,1,0)</f>
        <v>6129</v>
      </c>
      <c r="U283" s="156" t="str">
        <f>+VLOOKUP($L283,Data_Validation!$A:$D,3,0)</f>
        <v>Véhicules neufs</v>
      </c>
      <c r="V283" s="156" t="str">
        <f>+VLOOKUP($L283,Data_Validation!$A:$D,4,0)</f>
        <v>Salaires en absences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4" t="s">
        <v>1252</v>
      </c>
      <c r="B284" s="1014" t="s">
        <v>2586</v>
      </c>
      <c r="C284" s="1016">
        <v>2918.05</v>
      </c>
      <c r="D284" s="1016">
        <v>1660.71</v>
      </c>
      <c r="E284" s="1016">
        <v>4578.76</v>
      </c>
      <c r="F284" s="1014" t="s">
        <v>401</v>
      </c>
      <c r="G284" s="1014" t="s">
        <v>2586</v>
      </c>
      <c r="H284" s="150"/>
      <c r="I284" s="157"/>
      <c r="J284" s="157"/>
      <c r="K284" s="157"/>
      <c r="L284" s="153" t="str">
        <f t="shared" si="35"/>
        <v>6131</v>
      </c>
      <c r="M284" s="154" t="str">
        <f t="shared" si="36"/>
        <v>CSST</v>
      </c>
      <c r="N284" s="155">
        <f>+IF(OR($Q284=Parametres!$G$2,$Q284=Parametres!$G$3),I284,C284)</f>
        <v>2918.05</v>
      </c>
      <c r="O284" s="155">
        <f>+IF(OR($Q284=Parametres!$G$2,$Q284=Parametres!$G$3),J284,D284)</f>
        <v>1660.71</v>
      </c>
      <c r="P284" s="155">
        <f>+IF(OR($Q284=Parametres!$G$2,$Q284=Parametres!$G$3),K284,E284)</f>
        <v>4578.76</v>
      </c>
      <c r="Q284" s="154" t="str">
        <f t="shared" si="37"/>
        <v>7-Dépenses</v>
      </c>
      <c r="R284" s="153" t="str">
        <f t="shared" si="38"/>
        <v>6131</v>
      </c>
      <c r="S284" s="154">
        <f t="shared" si="39"/>
        <v>0</v>
      </c>
      <c r="T284" s="156" t="str">
        <f>+VLOOKUP($L284,Data_Validation!$A:$D,1,0)</f>
        <v>6131</v>
      </c>
      <c r="U284" s="156" t="str">
        <f>+VLOOKUP($L284,Data_Validation!$A:$D,3,0)</f>
        <v>Véhicules neufs</v>
      </c>
      <c r="V284" s="156" t="str">
        <f>+VLOOKUP($L284,Data_Validation!$A:$D,4,0)</f>
        <v>Csst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4" t="s">
        <v>1283</v>
      </c>
      <c r="B285" s="1014" t="s">
        <v>2685</v>
      </c>
      <c r="C285" s="1016">
        <v>28179.94</v>
      </c>
      <c r="D285" s="1016">
        <v>-707.4</v>
      </c>
      <c r="E285" s="1016">
        <v>27472.54</v>
      </c>
      <c r="F285" s="1014" t="s">
        <v>401</v>
      </c>
      <c r="G285" s="1014" t="s">
        <v>2685</v>
      </c>
      <c r="H285" s="150"/>
      <c r="I285" s="151"/>
      <c r="J285" s="151"/>
      <c r="K285" s="151"/>
      <c r="L285" s="153" t="str">
        <f t="shared" si="35"/>
        <v>6132</v>
      </c>
      <c r="M285" s="154" t="str">
        <f t="shared" si="36"/>
        <v>RRQ RAMQ AC</v>
      </c>
      <c r="N285" s="155">
        <f>+IF(OR($Q285=Parametres!$G$2,$Q285=Parametres!$G$3),I285,C285)</f>
        <v>28179.94</v>
      </c>
      <c r="O285" s="155">
        <f>+IF(OR($Q285=Parametres!$G$2,$Q285=Parametres!$G$3),J285,D285)</f>
        <v>-707.4</v>
      </c>
      <c r="P285" s="155">
        <f>+IF(OR($Q285=Parametres!$G$2,$Q285=Parametres!$G$3),K285,E285)</f>
        <v>27472.54</v>
      </c>
      <c r="Q285" s="154" t="str">
        <f t="shared" si="37"/>
        <v>7-Dépenses</v>
      </c>
      <c r="R285" s="153" t="str">
        <f t="shared" si="38"/>
        <v>6132</v>
      </c>
      <c r="S285" s="154">
        <f t="shared" si="39"/>
        <v>0</v>
      </c>
      <c r="T285" s="156" t="str">
        <f>+VLOOKUP($L285,Data_Validation!$A:$D,1,0)</f>
        <v>6132</v>
      </c>
      <c r="U285" s="156" t="str">
        <f>+VLOOKUP($L285,Data_Validation!$A:$D,3,0)</f>
        <v>Véhicules neufs</v>
      </c>
      <c r="V285" s="156" t="str">
        <f>+VLOOKUP($L285,Data_Validation!$A:$D,4,0)</f>
        <v>Déduction à la source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4" t="s">
        <v>1414</v>
      </c>
      <c r="B286" s="1014" t="s">
        <v>2694</v>
      </c>
      <c r="C286" s="1016">
        <v>11518.03</v>
      </c>
      <c r="D286" s="1016">
        <v>8170.62</v>
      </c>
      <c r="E286" s="1016">
        <v>19688.650000000001</v>
      </c>
      <c r="F286" s="1014" t="s">
        <v>401</v>
      </c>
      <c r="G286" s="1014" t="s">
        <v>2694</v>
      </c>
      <c r="H286" s="150"/>
      <c r="I286" s="151"/>
      <c r="J286" s="151"/>
      <c r="K286" s="151"/>
      <c r="L286" s="153" t="str">
        <f t="shared" si="35"/>
        <v>6139</v>
      </c>
      <c r="M286" s="154" t="str">
        <f t="shared" si="36"/>
        <v>ASSURANCE GROUPS</v>
      </c>
      <c r="N286" s="155">
        <f>+IF(OR($Q286=Parametres!$G$2,$Q286=Parametres!$G$3),I286,C286)</f>
        <v>11518.03</v>
      </c>
      <c r="O286" s="155">
        <f>+IF(OR($Q286=Parametres!$G$2,$Q286=Parametres!$G$3),J286,D286)</f>
        <v>8170.62</v>
      </c>
      <c r="P286" s="155">
        <f>+IF(OR($Q286=Parametres!$G$2,$Q286=Parametres!$G$3),K286,E286)</f>
        <v>19688.650000000001</v>
      </c>
      <c r="Q286" s="154" t="str">
        <f t="shared" si="37"/>
        <v>7-Dépenses</v>
      </c>
      <c r="R286" s="153" t="str">
        <f t="shared" si="38"/>
        <v>6139</v>
      </c>
      <c r="S286" s="154">
        <f t="shared" si="39"/>
        <v>0</v>
      </c>
      <c r="T286" s="156" t="str">
        <f>+VLOOKUP($L286,Data_Validation!$A:$D,1,0)</f>
        <v>6139</v>
      </c>
      <c r="U286" s="156" t="str">
        <f>+VLOOKUP($L286,Data_Validation!$A:$D,3,0)</f>
        <v>Véhicules neufs</v>
      </c>
      <c r="V286" s="156" t="str">
        <f>+VLOOKUP($L286,Data_Validation!$A:$D,4,0)</f>
        <v>Bénéfices marginaux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4" t="s">
        <v>934</v>
      </c>
      <c r="B287" s="1014" t="s">
        <v>2561</v>
      </c>
      <c r="C287" s="1016">
        <v>1046.6600000000001</v>
      </c>
      <c r="D287" s="1016">
        <v>523.33000000000004</v>
      </c>
      <c r="E287" s="1016">
        <v>1569.99</v>
      </c>
      <c r="F287" s="1014" t="s">
        <v>401</v>
      </c>
      <c r="G287" s="1014" t="s">
        <v>2561</v>
      </c>
      <c r="H287" s="150"/>
      <c r="I287" s="157"/>
      <c r="J287" s="157"/>
      <c r="K287" s="157"/>
      <c r="L287" s="153" t="str">
        <f t="shared" si="35"/>
        <v>6144</v>
      </c>
      <c r="M287" s="154" t="str">
        <f t="shared" si="36"/>
        <v>FORMATION</v>
      </c>
      <c r="N287" s="155">
        <f>+IF(OR($Q287=Parametres!$G$2,$Q287=Parametres!$G$3),I287,C287)</f>
        <v>1046.6600000000001</v>
      </c>
      <c r="O287" s="155">
        <f>+IF(OR($Q287=Parametres!$G$2,$Q287=Parametres!$G$3),J287,D287)</f>
        <v>523.33000000000004</v>
      </c>
      <c r="P287" s="155">
        <f>+IF(OR($Q287=Parametres!$G$2,$Q287=Parametres!$G$3),K287,E287)</f>
        <v>1569.99</v>
      </c>
      <c r="Q287" s="154" t="str">
        <f t="shared" si="37"/>
        <v>7-Dépenses</v>
      </c>
      <c r="R287" s="153" t="str">
        <f t="shared" si="38"/>
        <v>6144</v>
      </c>
      <c r="S287" s="154">
        <f t="shared" si="39"/>
        <v>0</v>
      </c>
      <c r="T287" s="156" t="str">
        <f>+VLOOKUP($L287,Data_Validation!$A:$D,1,0)</f>
        <v>6144</v>
      </c>
      <c r="U287" s="156" t="str">
        <f>+VLOOKUP($L287,Data_Validation!$A:$D,3,0)</f>
        <v>Véhicules neufs</v>
      </c>
      <c r="V287" s="156" t="str">
        <f>+VLOOKUP($L287,Data_Validation!$A:$D,4,0)</f>
        <v>Formation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4" t="s">
        <v>1186</v>
      </c>
      <c r="B288" s="1014" t="s">
        <v>2632</v>
      </c>
      <c r="C288" s="1016">
        <v>10424.42</v>
      </c>
      <c r="D288" s="1016">
        <v>5758.38</v>
      </c>
      <c r="E288" s="1016">
        <v>16182.8</v>
      </c>
      <c r="F288" s="1014" t="s">
        <v>401</v>
      </c>
      <c r="G288" s="1014" t="s">
        <v>2632</v>
      </c>
      <c r="H288" s="949"/>
      <c r="I288" s="948"/>
      <c r="J288" s="948"/>
      <c r="K288" s="948"/>
      <c r="L288" s="153" t="str">
        <f t="shared" si="35"/>
        <v>6145</v>
      </c>
      <c r="M288" s="154" t="str">
        <f t="shared" si="36"/>
        <v>VEHICULE DE COMPAGNIE - DEPENS</v>
      </c>
      <c r="N288" s="155">
        <f>+IF(OR($Q288=Parametres!$G$2,$Q288=Parametres!$G$3),I288,C288)</f>
        <v>10424.42</v>
      </c>
      <c r="O288" s="155">
        <f>+IF(OR($Q288=Parametres!$G$2,$Q288=Parametres!$G$3),J288,D288)</f>
        <v>5758.38</v>
      </c>
      <c r="P288" s="155">
        <f>+IF(OR($Q288=Parametres!$G$2,$Q288=Parametres!$G$3),K288,E288)</f>
        <v>16182.8</v>
      </c>
      <c r="Q288" s="154" t="str">
        <f t="shared" si="37"/>
        <v>7-Dépenses</v>
      </c>
      <c r="R288" s="153" t="str">
        <f t="shared" si="38"/>
        <v>6145</v>
      </c>
      <c r="S288" s="154">
        <f t="shared" si="39"/>
        <v>0</v>
      </c>
      <c r="T288" s="156" t="str">
        <f>+VLOOKUP($L288,Data_Validation!$A:$D,1,0)</f>
        <v>6145</v>
      </c>
      <c r="U288" s="156" t="str">
        <f>+VLOOKUP($L288,Data_Validation!$A:$D,3,0)</f>
        <v>Véhicules neufs</v>
      </c>
      <c r="V288" s="156" t="str">
        <f>+VLOOKUP($L288,Data_Validation!$A:$D,4,0)</f>
        <v>Frais véhicules de cie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4" t="s">
        <v>1180</v>
      </c>
      <c r="B289" s="1014" t="s">
        <v>2581</v>
      </c>
      <c r="C289" s="1016">
        <v>143.96</v>
      </c>
      <c r="D289" s="1016">
        <v>136.35</v>
      </c>
      <c r="E289" s="1016">
        <v>280.31</v>
      </c>
      <c r="F289" s="1014" t="s">
        <v>401</v>
      </c>
      <c r="G289" s="1014" t="s">
        <v>2581</v>
      </c>
      <c r="H289" s="949"/>
      <c r="I289" s="948"/>
      <c r="J289" s="948"/>
      <c r="K289" s="948"/>
      <c r="L289" s="153" t="str">
        <f t="shared" si="35"/>
        <v>6147</v>
      </c>
      <c r="M289" s="154" t="str">
        <f t="shared" si="36"/>
        <v>FRET/EXPRESS/TRANS. PAR CAMION</v>
      </c>
      <c r="N289" s="155">
        <f>+IF(OR($Q289=Parametres!$G$2,$Q289=Parametres!$G$3),I289,C289)</f>
        <v>143.96</v>
      </c>
      <c r="O289" s="155">
        <f>+IF(OR($Q289=Parametres!$G$2,$Q289=Parametres!$G$3),J289,D289)</f>
        <v>136.35</v>
      </c>
      <c r="P289" s="155">
        <f>+IF(OR($Q289=Parametres!$G$2,$Q289=Parametres!$G$3),K289,E289)</f>
        <v>280.31</v>
      </c>
      <c r="Q289" s="154" t="str">
        <f t="shared" si="37"/>
        <v>7-Dépenses</v>
      </c>
      <c r="R289" s="153" t="str">
        <f t="shared" si="38"/>
        <v>6147</v>
      </c>
      <c r="S289" s="154">
        <f t="shared" si="39"/>
        <v>0</v>
      </c>
      <c r="T289" s="156" t="str">
        <f>+VLOOKUP($L289,Data_Validation!$A:$D,1,0)</f>
        <v>6147</v>
      </c>
      <c r="U289" s="156" t="str">
        <f>+VLOOKUP($L289,Data_Validation!$A:$D,3,0)</f>
        <v>Véhicules neufs</v>
      </c>
      <c r="V289" s="156" t="str">
        <f>+VLOOKUP($L289,Data_Validation!$A:$D,4,0)</f>
        <v>Frais postaux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4" t="s">
        <v>1286</v>
      </c>
      <c r="B290" s="1014" t="s">
        <v>2702</v>
      </c>
      <c r="C290" s="1016">
        <v>12166.29</v>
      </c>
      <c r="D290" s="1016">
        <v>5346.08</v>
      </c>
      <c r="E290" s="1016">
        <v>17512.37</v>
      </c>
      <c r="F290" s="1014" t="s">
        <v>401</v>
      </c>
      <c r="G290" s="1014" t="s">
        <v>2702</v>
      </c>
      <c r="H290" s="150"/>
      <c r="I290" s="157"/>
      <c r="J290" s="157"/>
      <c r="K290" s="157"/>
      <c r="L290" s="153" t="str">
        <f t="shared" si="35"/>
        <v>6151</v>
      </c>
      <c r="M290" s="154" t="str">
        <f t="shared" si="36"/>
        <v>DEP. DU TRAITEMENT DES DONNEES</v>
      </c>
      <c r="N290" s="155">
        <f>+IF(OR($Q290=Parametres!$G$2,$Q290=Parametres!$G$3),I290,C290)</f>
        <v>12166.29</v>
      </c>
      <c r="O290" s="155">
        <f>+IF(OR($Q290=Parametres!$G$2,$Q290=Parametres!$G$3),J290,D290)</f>
        <v>5346.08</v>
      </c>
      <c r="P290" s="155">
        <f>+IF(OR($Q290=Parametres!$G$2,$Q290=Parametres!$G$3),K290,E290)</f>
        <v>17512.37</v>
      </c>
      <c r="Q290" s="154" t="str">
        <f t="shared" si="37"/>
        <v>7-Dépenses</v>
      </c>
      <c r="R290" s="153" t="str">
        <f t="shared" si="38"/>
        <v>6151</v>
      </c>
      <c r="S290" s="154">
        <f t="shared" si="39"/>
        <v>0</v>
      </c>
      <c r="T290" s="156" t="str">
        <f>+VLOOKUP($L290,Data_Validation!$A:$D,1,0)</f>
        <v>6151</v>
      </c>
      <c r="U290" s="156" t="str">
        <f>+VLOOKUP($L290,Data_Validation!$A:$D,3,0)</f>
        <v>Véhicules neufs</v>
      </c>
      <c r="V290" s="156" t="str">
        <f>+VLOOKUP($L290,Data_Validation!$A:$D,4,0)</f>
        <v>Informatique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4" t="s">
        <v>1206</v>
      </c>
      <c r="B291" s="1014" t="s">
        <v>2588</v>
      </c>
      <c r="C291" s="1016">
        <v>923.81</v>
      </c>
      <c r="D291" s="1016">
        <v>500.69</v>
      </c>
      <c r="E291" s="1016">
        <v>1424.5</v>
      </c>
      <c r="F291" s="1014" t="s">
        <v>401</v>
      </c>
      <c r="G291" s="1014" t="s">
        <v>2588</v>
      </c>
      <c r="H291" s="150"/>
      <c r="I291" s="157"/>
      <c r="J291" s="157"/>
      <c r="K291" s="157"/>
      <c r="L291" s="153" t="str">
        <f t="shared" si="35"/>
        <v>6152</v>
      </c>
      <c r="M291" s="154" t="str">
        <f t="shared" si="36"/>
        <v>PAPETERIE</v>
      </c>
      <c r="N291" s="155">
        <f>+IF(OR($Q291=Parametres!$G$2,$Q291=Parametres!$G$3),I291,C291)</f>
        <v>923.81</v>
      </c>
      <c r="O291" s="155">
        <f>+IF(OR($Q291=Parametres!$G$2,$Q291=Parametres!$G$3),J291,D291)</f>
        <v>500.69</v>
      </c>
      <c r="P291" s="155">
        <f>+IF(OR($Q291=Parametres!$G$2,$Q291=Parametres!$G$3),K291,E291)</f>
        <v>1424.5</v>
      </c>
      <c r="Q291" s="154" t="str">
        <f t="shared" si="37"/>
        <v>7-Dépenses</v>
      </c>
      <c r="R291" s="153" t="str">
        <f t="shared" si="38"/>
        <v>6152</v>
      </c>
      <c r="S291" s="154">
        <f t="shared" si="39"/>
        <v>0</v>
      </c>
      <c r="T291" s="156" t="str">
        <f>+VLOOKUP($L291,Data_Validation!$A:$D,1,0)</f>
        <v>6152</v>
      </c>
      <c r="U291" s="156" t="str">
        <f>+VLOOKUP($L291,Data_Validation!$A:$D,3,0)</f>
        <v>Véhicules neufs</v>
      </c>
      <c r="V291" s="156" t="str">
        <f>+VLOOKUP($L291,Data_Validation!$A:$D,4,0)</f>
        <v>Papeterie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4" t="s">
        <v>1154</v>
      </c>
      <c r="B292" s="1014" t="s">
        <v>2592</v>
      </c>
      <c r="C292" s="1016">
        <v>918.94</v>
      </c>
      <c r="D292" s="1016">
        <v>238.05</v>
      </c>
      <c r="E292" s="1016">
        <v>1156.99</v>
      </c>
      <c r="F292" s="1014" t="s">
        <v>401</v>
      </c>
      <c r="G292" s="1014" t="s">
        <v>2592</v>
      </c>
      <c r="H292" s="150"/>
      <c r="I292" s="152"/>
      <c r="J292" s="152"/>
      <c r="K292" s="152"/>
      <c r="L292" s="153" t="str">
        <f t="shared" si="35"/>
        <v>6153</v>
      </c>
      <c r="M292" s="154" t="str">
        <f t="shared" si="36"/>
        <v>TELEPHONE ET TELEX</v>
      </c>
      <c r="N292" s="155">
        <f>+IF(OR($Q292=Parametres!$G$2,$Q292=Parametres!$G$3),I292,C292)</f>
        <v>918.94</v>
      </c>
      <c r="O292" s="155">
        <f>+IF(OR($Q292=Parametres!$G$2,$Q292=Parametres!$G$3),J292,D292)</f>
        <v>238.05</v>
      </c>
      <c r="P292" s="155">
        <f>+IF(OR($Q292=Parametres!$G$2,$Q292=Parametres!$G$3),K292,E292)</f>
        <v>1156.99</v>
      </c>
      <c r="Q292" s="154" t="str">
        <f t="shared" si="37"/>
        <v>7-Dépenses</v>
      </c>
      <c r="R292" s="153" t="str">
        <f t="shared" si="38"/>
        <v>6153</v>
      </c>
      <c r="S292" s="154">
        <f t="shared" si="39"/>
        <v>0</v>
      </c>
      <c r="T292" s="156" t="str">
        <f>+VLOOKUP($L292,Data_Validation!$A:$D,1,0)</f>
        <v>6153</v>
      </c>
      <c r="U292" s="156" t="str">
        <f>+VLOOKUP($L292,Data_Validation!$A:$D,3,0)</f>
        <v>Véhicules neufs</v>
      </c>
      <c r="V292" s="156" t="str">
        <f>+VLOOKUP($L292,Data_Validation!$A:$D,4,0)</f>
        <v>Téléphone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4" t="s">
        <v>1237</v>
      </c>
      <c r="B293" s="1014" t="s">
        <v>2637</v>
      </c>
      <c r="C293" s="1016">
        <v>638.42999999999995</v>
      </c>
      <c r="D293" s="1016">
        <v>3441.41</v>
      </c>
      <c r="E293" s="1016">
        <v>4079.84</v>
      </c>
      <c r="F293" s="1014" t="s">
        <v>401</v>
      </c>
      <c r="G293" s="1014" t="s">
        <v>2637</v>
      </c>
      <c r="H293" s="150"/>
      <c r="I293" s="157"/>
      <c r="J293" s="157"/>
      <c r="K293" s="157"/>
      <c r="L293" s="153" t="str">
        <f t="shared" si="35"/>
        <v>6155</v>
      </c>
      <c r="M293" s="154" t="str">
        <f t="shared" si="36"/>
        <v>DEPENSES DIVERS</v>
      </c>
      <c r="N293" s="155">
        <f>+IF(OR($Q293=Parametres!$G$2,$Q293=Parametres!$G$3),I293,C293)</f>
        <v>638.42999999999995</v>
      </c>
      <c r="O293" s="155">
        <f>+IF(OR($Q293=Parametres!$G$2,$Q293=Parametres!$G$3),J293,D293)</f>
        <v>3441.41</v>
      </c>
      <c r="P293" s="155">
        <f>+IF(OR($Q293=Parametres!$G$2,$Q293=Parametres!$G$3),K293,E293)</f>
        <v>4079.84</v>
      </c>
      <c r="Q293" s="154" t="str">
        <f t="shared" si="37"/>
        <v>7-Dépenses</v>
      </c>
      <c r="R293" s="153" t="str">
        <f t="shared" si="38"/>
        <v>6155</v>
      </c>
      <c r="S293" s="154">
        <f t="shared" si="39"/>
        <v>0</v>
      </c>
      <c r="T293" s="156" t="str">
        <f>+VLOOKUP($L293,Data_Validation!$A:$D,1,0)</f>
        <v>6155</v>
      </c>
      <c r="U293" s="156" t="str">
        <f>+VLOOKUP($L293,Data_Validation!$A:$D,3,0)</f>
        <v>Véhicules neufs</v>
      </c>
      <c r="V293" s="156" t="str">
        <f>+VLOOKUP($L293,Data_Validation!$A:$D,4,0)</f>
        <v>Divers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4" t="s">
        <v>1315</v>
      </c>
      <c r="B294" s="1014" t="s">
        <v>2470</v>
      </c>
      <c r="C294" s="1016">
        <v>171.02</v>
      </c>
      <c r="D294" s="1016">
        <v>587.39</v>
      </c>
      <c r="E294" s="1016">
        <v>758.41</v>
      </c>
      <c r="F294" s="1014" t="s">
        <v>401</v>
      </c>
      <c r="G294" s="1014" t="s">
        <v>2470</v>
      </c>
      <c r="H294" s="150"/>
      <c r="I294" s="151"/>
      <c r="J294" s="151"/>
      <c r="K294" s="151"/>
      <c r="L294" s="153" t="str">
        <f t="shared" si="35"/>
        <v>6156</v>
      </c>
      <c r="M294" s="154" t="str">
        <f t="shared" si="36"/>
        <v>FRAIS REPRESENTATION - NEUF</v>
      </c>
      <c r="N294" s="155">
        <f>+IF(OR($Q294=Parametres!$G$2,$Q294=Parametres!$G$3),I294,C294)</f>
        <v>171.02</v>
      </c>
      <c r="O294" s="155">
        <f>+IF(OR($Q294=Parametres!$G$2,$Q294=Parametres!$G$3),J294,D294)</f>
        <v>587.39</v>
      </c>
      <c r="P294" s="155">
        <f>+IF(OR($Q294=Parametres!$G$2,$Q294=Parametres!$G$3),K294,E294)</f>
        <v>758.41</v>
      </c>
      <c r="Q294" s="154" t="str">
        <f t="shared" si="37"/>
        <v>7-Dépenses</v>
      </c>
      <c r="R294" s="153" t="str">
        <f t="shared" si="38"/>
        <v>6156</v>
      </c>
      <c r="S294" s="154">
        <f t="shared" si="39"/>
        <v>0</v>
      </c>
      <c r="T294" s="156" t="str">
        <f>+VLOOKUP($L294,Data_Validation!$A:$D,1,0)</f>
        <v>6156</v>
      </c>
      <c r="U294" s="156" t="str">
        <f>+VLOOKUP($L294,Data_Validation!$A:$D,3,0)</f>
        <v>Véhicules neufs</v>
      </c>
      <c r="V294" s="156" t="str">
        <f>+VLOOKUP($L294,Data_Validation!$A:$D,4,0)</f>
        <v>Frais de déplacement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4" t="s">
        <v>1308</v>
      </c>
      <c r="B295" s="1014" t="s">
        <v>2662</v>
      </c>
      <c r="C295" s="1016">
        <v>15300.33</v>
      </c>
      <c r="D295" s="1016">
        <v>6225.94</v>
      </c>
      <c r="E295" s="1016">
        <v>21526.27</v>
      </c>
      <c r="F295" s="1014" t="s">
        <v>401</v>
      </c>
      <c r="G295" s="1014" t="s">
        <v>2662</v>
      </c>
      <c r="H295" s="150"/>
      <c r="I295" s="157"/>
      <c r="J295" s="157"/>
      <c r="K295" s="157"/>
      <c r="L295" s="153" t="str">
        <f t="shared" si="35"/>
        <v>6159</v>
      </c>
      <c r="M295" s="154" t="str">
        <f t="shared" si="36"/>
        <v>SERVICE EXTERIEUR</v>
      </c>
      <c r="N295" s="155">
        <f>+IF(OR($Q295=Parametres!$G$2,$Q295=Parametres!$G$3),I295,C295)</f>
        <v>15300.33</v>
      </c>
      <c r="O295" s="155">
        <f>+IF(OR($Q295=Parametres!$G$2,$Q295=Parametres!$G$3),J295,D295)</f>
        <v>6225.94</v>
      </c>
      <c r="P295" s="155">
        <f>+IF(OR($Q295=Parametres!$G$2,$Q295=Parametres!$G$3),K295,E295)</f>
        <v>21526.27</v>
      </c>
      <c r="Q295" s="154" t="str">
        <f t="shared" si="37"/>
        <v>7-Dépenses</v>
      </c>
      <c r="R295" s="153" t="str">
        <f t="shared" si="38"/>
        <v>6159</v>
      </c>
      <c r="S295" s="154">
        <f t="shared" si="39"/>
        <v>0</v>
      </c>
      <c r="T295" s="156" t="str">
        <f>+VLOOKUP($L295,Data_Validation!$A:$D,1,0)</f>
        <v>6159</v>
      </c>
      <c r="U295" s="156" t="str">
        <f>+VLOOKUP($L295,Data_Validation!$A:$D,3,0)</f>
        <v>Véhicules neufs</v>
      </c>
      <c r="V295" s="156" t="str">
        <f>+VLOOKUP($L295,Data_Validation!$A:$D,4,0)</f>
        <v>Services extérieurs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4" t="s">
        <v>1333</v>
      </c>
      <c r="B296" s="1014" t="s">
        <v>2653</v>
      </c>
      <c r="C296" s="1016">
        <v>5866.88</v>
      </c>
      <c r="D296" s="1016">
        <v>2933.44</v>
      </c>
      <c r="E296" s="1016">
        <v>8800.32</v>
      </c>
      <c r="F296" s="1014" t="s">
        <v>401</v>
      </c>
      <c r="G296" s="1014" t="s">
        <v>2653</v>
      </c>
      <c r="H296" s="150"/>
      <c r="I296" s="157"/>
      <c r="J296" s="157"/>
      <c r="K296" s="157"/>
      <c r="L296" s="153" t="str">
        <f t="shared" si="35"/>
        <v>6161</v>
      </c>
      <c r="M296" s="154" t="str">
        <f t="shared" si="36"/>
        <v>DEPRECIATION EQUIP. &amp; FIXTURES</v>
      </c>
      <c r="N296" s="155">
        <f>+IF(OR($Q296=Parametres!$G$2,$Q296=Parametres!$G$3),I296,C296)</f>
        <v>5866.88</v>
      </c>
      <c r="O296" s="155">
        <f>+IF(OR($Q296=Parametres!$G$2,$Q296=Parametres!$G$3),J296,D296)</f>
        <v>2933.44</v>
      </c>
      <c r="P296" s="155">
        <f>+IF(OR($Q296=Parametres!$G$2,$Q296=Parametres!$G$3),K296,E296)</f>
        <v>8800.32</v>
      </c>
      <c r="Q296" s="154" t="str">
        <f t="shared" si="37"/>
        <v>7-Dépenses</v>
      </c>
      <c r="R296" s="153" t="str">
        <f t="shared" si="38"/>
        <v>6161</v>
      </c>
      <c r="S296" s="154">
        <f t="shared" si="39"/>
        <v>0</v>
      </c>
      <c r="T296" s="156" t="str">
        <f>+VLOOKUP($L296,Data_Validation!$A:$D,1,0)</f>
        <v>6161</v>
      </c>
      <c r="U296" s="156" t="str">
        <f>+VLOOKUP($L296,Data_Validation!$A:$D,3,0)</f>
        <v>Véhicules neufs</v>
      </c>
      <c r="V296" s="156" t="str">
        <f>+VLOOKUP($L296,Data_Validation!$A:$D,4,0)</f>
        <v>Amortissement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4" t="s">
        <v>1332</v>
      </c>
      <c r="B297" s="1014" t="s">
        <v>2604</v>
      </c>
      <c r="C297" s="1016">
        <v>1756.3</v>
      </c>
      <c r="D297" s="1016">
        <v>2222.35</v>
      </c>
      <c r="E297" s="1016">
        <v>3978.65</v>
      </c>
      <c r="F297" s="1014" t="s">
        <v>401</v>
      </c>
      <c r="G297" s="1014" t="s">
        <v>2604</v>
      </c>
      <c r="H297" s="150"/>
      <c r="I297" s="151"/>
      <c r="J297" s="151"/>
      <c r="K297" s="151"/>
      <c r="L297" s="153" t="str">
        <f t="shared" si="35"/>
        <v>6181</v>
      </c>
      <c r="M297" s="154" t="str">
        <f t="shared" si="36"/>
        <v>ELECTRICITE CHAUFFAGE</v>
      </c>
      <c r="N297" s="155">
        <f>+IF(OR($Q297=Parametres!$G$2,$Q297=Parametres!$G$3),I297,C297)</f>
        <v>1756.3</v>
      </c>
      <c r="O297" s="155">
        <f>+IF(OR($Q297=Parametres!$G$2,$Q297=Parametres!$G$3),J297,D297)</f>
        <v>2222.35</v>
      </c>
      <c r="P297" s="155">
        <f>+IF(OR($Q297=Parametres!$G$2,$Q297=Parametres!$G$3),K297,E297)</f>
        <v>3978.65</v>
      </c>
      <c r="Q297" s="154" t="str">
        <f t="shared" si="37"/>
        <v>7-Dépenses</v>
      </c>
      <c r="R297" s="153" t="str">
        <f t="shared" si="38"/>
        <v>6181</v>
      </c>
      <c r="S297" s="154">
        <f t="shared" si="39"/>
        <v>0</v>
      </c>
      <c r="T297" s="156" t="str">
        <f>+VLOOKUP($L297,Data_Validation!$A:$D,1,0)</f>
        <v>6181</v>
      </c>
      <c r="U297" s="156" t="str">
        <f>+VLOOKUP($L297,Data_Validation!$A:$D,3,0)</f>
        <v>Véhicules neufs</v>
      </c>
      <c r="V297" s="156" t="str">
        <f>+VLOOKUP($L297,Data_Validation!$A:$D,4,0)</f>
        <v>Chauffage, éclairage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4" t="s">
        <v>1469</v>
      </c>
      <c r="B298" s="1014" t="s">
        <v>2709</v>
      </c>
      <c r="C298" s="1016">
        <v>16640</v>
      </c>
      <c r="D298" s="1016">
        <v>8320</v>
      </c>
      <c r="E298" s="1016">
        <v>24960</v>
      </c>
      <c r="F298" s="1014" t="s">
        <v>401</v>
      </c>
      <c r="G298" s="1014" t="s">
        <v>2709</v>
      </c>
      <c r="H298" s="150"/>
      <c r="I298" s="151"/>
      <c r="J298" s="151"/>
      <c r="K298" s="151"/>
      <c r="L298" s="153" t="str">
        <f t="shared" si="35"/>
        <v>6182</v>
      </c>
      <c r="M298" s="154" t="str">
        <f t="shared" si="36"/>
        <v>LOYER NEUFS</v>
      </c>
      <c r="N298" s="155">
        <f>+IF(OR($Q298=Parametres!$G$2,$Q298=Parametres!$G$3),I298,C298)</f>
        <v>16640</v>
      </c>
      <c r="O298" s="155">
        <f>+IF(OR($Q298=Parametres!$G$2,$Q298=Parametres!$G$3),J298,D298)</f>
        <v>8320</v>
      </c>
      <c r="P298" s="155">
        <f>+IF(OR($Q298=Parametres!$G$2,$Q298=Parametres!$G$3),K298,E298)</f>
        <v>24960</v>
      </c>
      <c r="Q298" s="154" t="str">
        <f t="shared" si="37"/>
        <v>7-Dépenses</v>
      </c>
      <c r="R298" s="153" t="str">
        <f t="shared" si="38"/>
        <v>6182</v>
      </c>
      <c r="S298" s="154">
        <f t="shared" si="39"/>
        <v>0</v>
      </c>
      <c r="T298" s="156" t="str">
        <f>+VLOOKUP($L298,Data_Validation!$A:$D,1,0)</f>
        <v>6182</v>
      </c>
      <c r="U298" s="156" t="str">
        <f>+VLOOKUP($L298,Data_Validation!$A:$D,3,0)</f>
        <v>Véhicules neufs</v>
      </c>
      <c r="V298" s="156" t="str">
        <f>+VLOOKUP($L298,Data_Validation!$A:$D,4,0)</f>
        <v>Loyer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4" t="s">
        <v>1366</v>
      </c>
      <c r="B299" s="1014" t="s">
        <v>2594</v>
      </c>
      <c r="C299" s="1016">
        <v>2373.1999999999998</v>
      </c>
      <c r="D299" s="1016">
        <v>1186.5999999999999</v>
      </c>
      <c r="E299" s="1016">
        <v>3559.8</v>
      </c>
      <c r="F299" s="1014" t="s">
        <v>401</v>
      </c>
      <c r="G299" s="1014" t="s">
        <v>2594</v>
      </c>
      <c r="H299" s="949"/>
      <c r="I299" s="949"/>
      <c r="J299" s="949"/>
      <c r="K299" s="949"/>
      <c r="L299" s="153" t="str">
        <f t="shared" si="35"/>
        <v>6186</v>
      </c>
      <c r="M299" s="154" t="str">
        <f t="shared" si="36"/>
        <v>ASSURANCE BATIMENT</v>
      </c>
      <c r="N299" s="155">
        <f>+IF(OR($Q299=Parametres!$G$2,$Q299=Parametres!$G$3),I299,C299)</f>
        <v>2373.1999999999998</v>
      </c>
      <c r="O299" s="155">
        <f>+IF(OR($Q299=Parametres!$G$2,$Q299=Parametres!$G$3),J299,D299)</f>
        <v>1186.5999999999999</v>
      </c>
      <c r="P299" s="155">
        <f>+IF(OR($Q299=Parametres!$G$2,$Q299=Parametres!$G$3),K299,E299)</f>
        <v>3559.8</v>
      </c>
      <c r="Q299" s="154" t="str">
        <f t="shared" si="37"/>
        <v>7-Dépenses</v>
      </c>
      <c r="R299" s="153" t="str">
        <f t="shared" si="38"/>
        <v>6186</v>
      </c>
      <c r="S299" s="154">
        <f t="shared" si="39"/>
        <v>0</v>
      </c>
      <c r="T299" s="156" t="str">
        <f>+VLOOKUP($L299,Data_Validation!$A:$D,1,0)</f>
        <v>6186</v>
      </c>
      <c r="U299" s="156" t="str">
        <f>+VLOOKUP($L299,Data_Validation!$A:$D,3,0)</f>
        <v>Véhicules neufs</v>
      </c>
      <c r="V299" s="156" t="str">
        <f>+VLOOKUP($L299,Data_Validation!$A:$D,4,0)</f>
        <v>Assurances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4" t="s">
        <v>1362</v>
      </c>
      <c r="B300" s="1014" t="s">
        <v>2614</v>
      </c>
      <c r="C300" s="1016">
        <v>3078.4</v>
      </c>
      <c r="D300" s="1016">
        <v>1539.2</v>
      </c>
      <c r="E300" s="1016">
        <v>4617.6000000000004</v>
      </c>
      <c r="F300" s="1014" t="s">
        <v>401</v>
      </c>
      <c r="G300" s="1014" t="s">
        <v>2614</v>
      </c>
      <c r="H300" s="150"/>
      <c r="I300" s="152"/>
      <c r="J300" s="152"/>
      <c r="K300" s="152"/>
      <c r="L300" s="153" t="str">
        <f t="shared" si="35"/>
        <v>6187</v>
      </c>
      <c r="M300" s="154" t="str">
        <f t="shared" si="36"/>
        <v>TAXE SUR PROPRIETE</v>
      </c>
      <c r="N300" s="155">
        <f>+IF(OR($Q300=Parametres!$G$2,$Q300=Parametres!$G$3),I300,C300)</f>
        <v>3078.4</v>
      </c>
      <c r="O300" s="155">
        <f>+IF(OR($Q300=Parametres!$G$2,$Q300=Parametres!$G$3),J300,D300)</f>
        <v>1539.2</v>
      </c>
      <c r="P300" s="155">
        <f>+IF(OR($Q300=Parametres!$G$2,$Q300=Parametres!$G$3),K300,E300)</f>
        <v>4617.6000000000004</v>
      </c>
      <c r="Q300" s="154" t="str">
        <f t="shared" si="37"/>
        <v>7-Dépenses</v>
      </c>
      <c r="R300" s="153" t="str">
        <f t="shared" si="38"/>
        <v>6187</v>
      </c>
      <c r="S300" s="154">
        <f t="shared" si="39"/>
        <v>0</v>
      </c>
      <c r="T300" s="156" t="str">
        <f>+VLOOKUP($L300,Data_Validation!$A:$D,1,0)</f>
        <v>6187</v>
      </c>
      <c r="U300" s="156" t="str">
        <f>+VLOOKUP($L300,Data_Validation!$A:$D,3,0)</f>
        <v>Véhicules neufs</v>
      </c>
      <c r="V300" s="156" t="str">
        <f>+VLOOKUP($L300,Data_Validation!$A:$D,4,0)</f>
        <v>Taxes foncières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4" t="s">
        <v>1296</v>
      </c>
      <c r="B301" s="1014" t="s">
        <v>2597</v>
      </c>
      <c r="C301" s="1016">
        <v>2048</v>
      </c>
      <c r="D301" s="1016">
        <v>1024</v>
      </c>
      <c r="E301" s="1016">
        <v>3072</v>
      </c>
      <c r="F301" s="1014" t="s">
        <v>401</v>
      </c>
      <c r="G301" s="1014" t="s">
        <v>2597</v>
      </c>
      <c r="H301" s="150"/>
      <c r="I301" s="157"/>
      <c r="J301" s="157"/>
      <c r="K301" s="157"/>
      <c r="L301" s="153" t="str">
        <f t="shared" si="35"/>
        <v>6193</v>
      </c>
      <c r="M301" s="154" t="str">
        <f t="shared" si="36"/>
        <v>TAXES AUTRES PERMIS LICENCE</v>
      </c>
      <c r="N301" s="155">
        <f>+IF(OR($Q301=Parametres!$G$2,$Q301=Parametres!$G$3),I301,C301)</f>
        <v>2048</v>
      </c>
      <c r="O301" s="155">
        <f>+IF(OR($Q301=Parametres!$G$2,$Q301=Parametres!$G$3),J301,D301)</f>
        <v>1024</v>
      </c>
      <c r="P301" s="155">
        <f>+IF(OR($Q301=Parametres!$G$2,$Q301=Parametres!$G$3),K301,E301)</f>
        <v>3072</v>
      </c>
      <c r="Q301" s="154" t="str">
        <f t="shared" si="37"/>
        <v>7-Dépenses</v>
      </c>
      <c r="R301" s="153" t="str">
        <f t="shared" si="38"/>
        <v>6193</v>
      </c>
      <c r="S301" s="154">
        <f t="shared" si="39"/>
        <v>0</v>
      </c>
      <c r="T301" s="156" t="str">
        <f>+VLOOKUP($L301,Data_Validation!$A:$D,1,0)</f>
        <v>6193</v>
      </c>
      <c r="U301" s="156" t="str">
        <f>+VLOOKUP($L301,Data_Validation!$A:$D,3,0)</f>
        <v>Véhicules neufs</v>
      </c>
      <c r="V301" s="156" t="str">
        <f>+VLOOKUP($L301,Data_Validation!$A:$D,4,0)</f>
        <v>Taxes d`affaires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4" t="s">
        <v>1395</v>
      </c>
      <c r="B302" s="1014" t="s">
        <v>2635</v>
      </c>
      <c r="C302" s="1016">
        <v>3978.94</v>
      </c>
      <c r="D302" s="1016">
        <v>1989.47</v>
      </c>
      <c r="E302" s="1016">
        <v>5968.41</v>
      </c>
      <c r="F302" s="1014" t="s">
        <v>401</v>
      </c>
      <c r="G302" s="1014" t="s">
        <v>2635</v>
      </c>
      <c r="H302" s="150"/>
      <c r="I302" s="151"/>
      <c r="J302" s="151"/>
      <c r="K302" s="151"/>
      <c r="L302" s="153" t="str">
        <f t="shared" si="35"/>
        <v>6194</v>
      </c>
      <c r="M302" s="154" t="str">
        <f t="shared" si="36"/>
        <v>HONORAIRES PROFESSIONNELS</v>
      </c>
      <c r="N302" s="155">
        <f>+IF(OR($Q302=Parametres!$G$2,$Q302=Parametres!$G$3),I302,C302)</f>
        <v>3978.94</v>
      </c>
      <c r="O302" s="155">
        <f>+IF(OR($Q302=Parametres!$G$2,$Q302=Parametres!$G$3),J302,D302)</f>
        <v>1989.47</v>
      </c>
      <c r="P302" s="155">
        <f>+IF(OR($Q302=Parametres!$G$2,$Q302=Parametres!$G$3),K302,E302)</f>
        <v>5968.41</v>
      </c>
      <c r="Q302" s="154" t="str">
        <f t="shared" si="37"/>
        <v>7-Dépenses</v>
      </c>
      <c r="R302" s="153" t="str">
        <f t="shared" si="38"/>
        <v>6194</v>
      </c>
      <c r="S302" s="154">
        <f t="shared" si="39"/>
        <v>0</v>
      </c>
      <c r="T302" s="156" t="str">
        <f>+VLOOKUP($L302,Data_Validation!$A:$D,1,0)</f>
        <v>6194</v>
      </c>
      <c r="U302" s="156" t="str">
        <f>+VLOOKUP($L302,Data_Validation!$A:$D,3,0)</f>
        <v>Véhicules neufs</v>
      </c>
      <c r="V302" s="156" t="str">
        <f>+VLOOKUP($L302,Data_Validation!$A:$D,4,0)</f>
        <v>Honoraires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4" t="s">
        <v>1483</v>
      </c>
      <c r="B303" s="1014" t="s">
        <v>2780</v>
      </c>
      <c r="C303" s="1016">
        <v>19369.91</v>
      </c>
      <c r="D303" s="1016">
        <v>19590.259999999998</v>
      </c>
      <c r="E303" s="1016">
        <v>38960.17</v>
      </c>
      <c r="F303" s="1014" t="s">
        <v>401</v>
      </c>
      <c r="G303" s="1014" t="s">
        <v>2781</v>
      </c>
      <c r="H303" s="150"/>
      <c r="I303" s="157"/>
      <c r="J303" s="157"/>
      <c r="K303" s="157"/>
      <c r="L303" s="153" t="str">
        <f t="shared" si="35"/>
        <v>6201</v>
      </c>
      <c r="M303" s="154" t="str">
        <f t="shared" si="36"/>
        <v>COMMISSION USAGES</v>
      </c>
      <c r="N303" s="155">
        <f>+IF(OR($Q303=Parametres!$G$2,$Q303=Parametres!$G$3),I303,C303)</f>
        <v>19369.91</v>
      </c>
      <c r="O303" s="155">
        <f>+IF(OR($Q303=Parametres!$G$2,$Q303=Parametres!$G$3),J303,D303)</f>
        <v>19590.259999999998</v>
      </c>
      <c r="P303" s="155">
        <f>+IF(OR($Q303=Parametres!$G$2,$Q303=Parametres!$G$3),K303,E303)</f>
        <v>38960.17</v>
      </c>
      <c r="Q303" s="154" t="str">
        <f t="shared" si="37"/>
        <v>7-Dépenses</v>
      </c>
      <c r="R303" s="153" t="str">
        <f t="shared" si="38"/>
        <v>6101</v>
      </c>
      <c r="S303" s="154">
        <f t="shared" si="39"/>
        <v>0</v>
      </c>
      <c r="T303" s="156" t="str">
        <f>+VLOOKUP($L303,Data_Validation!$A:$D,1,0)</f>
        <v>6201</v>
      </c>
      <c r="U303" s="156" t="str">
        <f>+VLOOKUP($L303,Data_Validation!$A:$D,3,0)</f>
        <v>Véhicules usagés</v>
      </c>
      <c r="V303" s="156" t="str">
        <f>+VLOOKUP($L303,Data_Validation!$A:$D,4,0)</f>
        <v>Comm. vendeurs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4" t="s">
        <v>1442</v>
      </c>
      <c r="B304" s="1014" t="s">
        <v>2769</v>
      </c>
      <c r="C304" s="1016">
        <v>21113.68</v>
      </c>
      <c r="D304" s="1016">
        <v>22319.200000000001</v>
      </c>
      <c r="E304" s="1016">
        <v>43432.88</v>
      </c>
      <c r="F304" s="1014" t="s">
        <v>401</v>
      </c>
      <c r="G304" s="1014" t="s">
        <v>2770</v>
      </c>
      <c r="H304" s="150"/>
      <c r="I304" s="157"/>
      <c r="J304" s="157"/>
      <c r="K304" s="157"/>
      <c r="L304" s="153" t="str">
        <f t="shared" si="35"/>
        <v>6202</v>
      </c>
      <c r="M304" s="154" t="str">
        <f t="shared" si="36"/>
        <v>RENUMERATION F &amp; I</v>
      </c>
      <c r="N304" s="155">
        <f>+IF(OR($Q304=Parametres!$G$2,$Q304=Parametres!$G$3),I304,C304)</f>
        <v>21113.68</v>
      </c>
      <c r="O304" s="155">
        <f>+IF(OR($Q304=Parametres!$G$2,$Q304=Parametres!$G$3),J304,D304)</f>
        <v>22319.200000000001</v>
      </c>
      <c r="P304" s="155">
        <f>+IF(OR($Q304=Parametres!$G$2,$Q304=Parametres!$G$3),K304,E304)</f>
        <v>43432.88</v>
      </c>
      <c r="Q304" s="154" t="str">
        <f t="shared" si="37"/>
        <v>7-Dépenses</v>
      </c>
      <c r="R304" s="153" t="str">
        <f t="shared" si="38"/>
        <v>6102</v>
      </c>
      <c r="S304" s="154">
        <f t="shared" si="39"/>
        <v>0</v>
      </c>
      <c r="T304" s="156" t="str">
        <f>+VLOOKUP($L304,Data_Validation!$A:$D,1,0)</f>
        <v>6202</v>
      </c>
      <c r="U304" s="156" t="str">
        <f>+VLOOKUP($L304,Data_Validation!$A:$D,3,0)</f>
        <v>Véhicules usagés</v>
      </c>
      <c r="V304" s="156" t="str">
        <f>+VLOOKUP($L304,Data_Validation!$A:$D,4,0)</f>
        <v>Comm. F&amp;I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4" t="s">
        <v>1230</v>
      </c>
      <c r="B305" s="1014" t="s">
        <v>2751</v>
      </c>
      <c r="C305" s="1016">
        <v>2535.9299999999998</v>
      </c>
      <c r="D305" s="1016">
        <v>0</v>
      </c>
      <c r="E305" s="1016">
        <v>2535.9299999999998</v>
      </c>
      <c r="F305" s="1014" t="s">
        <v>401</v>
      </c>
      <c r="G305" s="1014" t="s">
        <v>2706</v>
      </c>
      <c r="H305" s="150"/>
      <c r="I305" s="157"/>
      <c r="J305" s="157"/>
      <c r="K305" s="157"/>
      <c r="L305" s="153" t="str">
        <f t="shared" si="35"/>
        <v>6203</v>
      </c>
      <c r="M305" s="154" t="str">
        <f t="shared" si="36"/>
        <v>RELAT. A LA CLIENTELLE &amp; AJUST</v>
      </c>
      <c r="N305" s="155">
        <f>+IF(OR($Q305=Parametres!$G$2,$Q305=Parametres!$G$3),I305,C305)</f>
        <v>2535.9299999999998</v>
      </c>
      <c r="O305" s="155">
        <f>+IF(OR($Q305=Parametres!$G$2,$Q305=Parametres!$G$3),J305,D305)</f>
        <v>0</v>
      </c>
      <c r="P305" s="155">
        <f>+IF(OR($Q305=Parametres!$G$2,$Q305=Parametres!$G$3),K305,E305)</f>
        <v>2535.9299999999998</v>
      </c>
      <c r="Q305" s="154" t="str">
        <f t="shared" si="37"/>
        <v>7-Dépenses</v>
      </c>
      <c r="R305" s="153" t="str">
        <f t="shared" si="38"/>
        <v>6103</v>
      </c>
      <c r="S305" s="154">
        <f t="shared" si="39"/>
        <v>0</v>
      </c>
      <c r="T305" s="156" t="str">
        <f>+VLOOKUP($L305,Data_Validation!$A:$D,1,0)</f>
        <v>6203</v>
      </c>
      <c r="U305" s="156" t="str">
        <f>+VLOOKUP($L305,Data_Validation!$A:$D,3,0)</f>
        <v>Véhicules usagés</v>
      </c>
      <c r="V305" s="156" t="str">
        <f>+VLOOKUP($L305,Data_Validation!$A:$D,4,0)</f>
        <v>Service gratuit 1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4" t="s">
        <v>2757</v>
      </c>
      <c r="B306" s="1014" t="s">
        <v>2758</v>
      </c>
      <c r="C306" s="1016">
        <v>4588.25</v>
      </c>
      <c r="D306" s="1016">
        <v>2817.25</v>
      </c>
      <c r="E306" s="1016">
        <v>7405.5</v>
      </c>
      <c r="F306" s="1014" t="s">
        <v>401</v>
      </c>
      <c r="G306" s="1014" t="s">
        <v>2759</v>
      </c>
      <c r="H306" s="150"/>
      <c r="I306" s="151"/>
      <c r="J306" s="151"/>
      <c r="K306" s="151"/>
      <c r="L306" s="153" t="str">
        <f t="shared" si="35"/>
        <v>6206</v>
      </c>
      <c r="M306" s="154" t="str">
        <f t="shared" si="36"/>
        <v>ENTRETIEN DES STOCKS</v>
      </c>
      <c r="N306" s="155">
        <f>+IF(OR($Q306=Parametres!$G$2,$Q306=Parametres!$G$3),I306,C306)</f>
        <v>4588.25</v>
      </c>
      <c r="O306" s="155">
        <f>+IF(OR($Q306=Parametres!$G$2,$Q306=Parametres!$G$3),J306,D306)</f>
        <v>2817.25</v>
      </c>
      <c r="P306" s="155">
        <f>+IF(OR($Q306=Parametres!$G$2,$Q306=Parametres!$G$3),K306,E306)</f>
        <v>7405.5</v>
      </c>
      <c r="Q306" s="154" t="str">
        <f t="shared" si="37"/>
        <v>7-Dépenses</v>
      </c>
      <c r="R306" s="153" t="str">
        <f t="shared" si="38"/>
        <v>6106</v>
      </c>
      <c r="S306" s="154">
        <f t="shared" si="39"/>
        <v>0</v>
      </c>
      <c r="T306" s="156" t="str">
        <f>+VLOOKUP($L306,Data_Validation!$A:$D,1,0)</f>
        <v>6206</v>
      </c>
      <c r="U306" s="156" t="str">
        <f>+VLOOKUP($L306,Data_Validation!$A:$D,3,0)</f>
        <v>Véhicules usagés</v>
      </c>
      <c r="V306" s="156" t="str">
        <f>+VLOOKUP($L306,Data_Validation!$A:$D,4,0)</f>
        <v>Entretien stock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4" t="s">
        <v>938</v>
      </c>
      <c r="B307" s="1014" t="s">
        <v>2611</v>
      </c>
      <c r="C307" s="1016">
        <v>1160.1600000000001</v>
      </c>
      <c r="D307" s="1016">
        <v>628.89</v>
      </c>
      <c r="E307" s="1016">
        <v>1789.05</v>
      </c>
      <c r="F307" s="1014" t="s">
        <v>401</v>
      </c>
      <c r="G307" s="1014" t="s">
        <v>2612</v>
      </c>
      <c r="H307" s="949"/>
      <c r="I307" s="949"/>
      <c r="J307" s="949"/>
      <c r="K307" s="949"/>
      <c r="L307" s="153" t="str">
        <f t="shared" si="35"/>
        <v>6207</v>
      </c>
      <c r="M307" s="154" t="str">
        <f t="shared" si="36"/>
        <v>INTERET-PLAN DE FINANCEMENT</v>
      </c>
      <c r="N307" s="155">
        <f>+IF(OR($Q307=Parametres!$G$2,$Q307=Parametres!$G$3),I307,C307)</f>
        <v>1160.1600000000001</v>
      </c>
      <c r="O307" s="155">
        <f>+IF(OR($Q307=Parametres!$G$2,$Q307=Parametres!$G$3),J307,D307)</f>
        <v>628.89</v>
      </c>
      <c r="P307" s="155">
        <f>+IF(OR($Q307=Parametres!$G$2,$Q307=Parametres!$G$3),K307,E307)</f>
        <v>1789.05</v>
      </c>
      <c r="Q307" s="154" t="str">
        <f t="shared" si="37"/>
        <v>7-Dépenses</v>
      </c>
      <c r="R307" s="153" t="str">
        <f t="shared" si="38"/>
        <v>6107</v>
      </c>
      <c r="S307" s="154">
        <f t="shared" si="39"/>
        <v>0</v>
      </c>
      <c r="T307" s="156" t="str">
        <f>+VLOOKUP($L307,Data_Validation!$A:$D,1,0)</f>
        <v>6207</v>
      </c>
      <c r="U307" s="156" t="str">
        <f>+VLOOKUP($L307,Data_Validation!$A:$D,3,0)</f>
        <v>Véhicules usagés</v>
      </c>
      <c r="V307" s="156" t="str">
        <f>+VLOOKUP($L307,Data_Validation!$A:$D,4,0)</f>
        <v>Intérêt de gros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4" t="s">
        <v>1407</v>
      </c>
      <c r="B308" s="1014" t="s">
        <v>2695</v>
      </c>
      <c r="C308" s="1016">
        <v>2448.89</v>
      </c>
      <c r="D308" s="1016">
        <v>2212.5300000000002</v>
      </c>
      <c r="E308" s="1016">
        <v>4661.42</v>
      </c>
      <c r="F308" s="1014" t="s">
        <v>401</v>
      </c>
      <c r="G308" s="1014" t="s">
        <v>2696</v>
      </c>
      <c r="H308" s="150"/>
      <c r="I308" s="157"/>
      <c r="J308" s="157"/>
      <c r="K308" s="157"/>
      <c r="L308" s="153" t="str">
        <f t="shared" si="35"/>
        <v>6208</v>
      </c>
      <c r="M308" s="154" t="str">
        <f t="shared" si="36"/>
        <v>FRAIS DE LIVRAISON</v>
      </c>
      <c r="N308" s="155">
        <f>+IF(OR($Q308=Parametres!$G$2,$Q308=Parametres!$G$3),I308,C308)</f>
        <v>2448.89</v>
      </c>
      <c r="O308" s="577">
        <f>+IF(OR($Q308=Parametres!$G$2,$Q308=Parametres!$G$3),J308,D308)</f>
        <v>2212.5300000000002</v>
      </c>
      <c r="P308" s="155">
        <f>+IF(OR($Q308=Parametres!$G$2,$Q308=Parametres!$G$3),K308,E308)</f>
        <v>4661.42</v>
      </c>
      <c r="Q308" s="154" t="str">
        <f t="shared" si="37"/>
        <v>7-Dépenses</v>
      </c>
      <c r="R308" s="153" t="str">
        <f t="shared" si="38"/>
        <v>6108</v>
      </c>
      <c r="S308" s="154">
        <f t="shared" si="39"/>
        <v>0</v>
      </c>
      <c r="T308" s="156" t="str">
        <f>+VLOOKUP($L308,Data_Validation!$A:$D,1,0)</f>
        <v>6208</v>
      </c>
      <c r="U308" s="156" t="str">
        <f>+VLOOKUP($L308,Data_Validation!$A:$D,3,0)</f>
        <v>Véhicules usagés</v>
      </c>
      <c r="V308" s="156" t="str">
        <f>+VLOOKUP($L308,Data_Validation!$A:$D,4,0)</f>
        <v>Frais de livraison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4" t="s">
        <v>1374</v>
      </c>
      <c r="B309" s="1014" t="s">
        <v>2774</v>
      </c>
      <c r="C309" s="1016">
        <v>15154.11</v>
      </c>
      <c r="D309" s="1016">
        <v>7543.89</v>
      </c>
      <c r="E309" s="1016">
        <v>22698</v>
      </c>
      <c r="F309" s="1014" t="s">
        <v>401</v>
      </c>
      <c r="G309" s="1014" t="s">
        <v>2113</v>
      </c>
      <c r="H309" s="949"/>
      <c r="I309" s="948"/>
      <c r="J309" s="948"/>
      <c r="K309" s="948"/>
      <c r="L309" s="153" t="str">
        <f t="shared" si="35"/>
        <v>6214</v>
      </c>
      <c r="M309" s="154" t="str">
        <f t="shared" si="36"/>
        <v>PUBLICITE</v>
      </c>
      <c r="N309" s="155">
        <f>+IF(OR($Q309=Parametres!$G$2,$Q309=Parametres!$G$3),I309,C309)</f>
        <v>15154.11</v>
      </c>
      <c r="O309" s="575">
        <f>+IF(OR($Q309=Parametres!$G$2,$Q309=Parametres!$G$3),J309,D309)</f>
        <v>7543.89</v>
      </c>
      <c r="P309" s="155">
        <f>+IF(OR($Q309=Parametres!$G$2,$Q309=Parametres!$G$3),K309,E309)</f>
        <v>22698</v>
      </c>
      <c r="Q309" s="154" t="str">
        <f t="shared" si="37"/>
        <v>7-Dépenses</v>
      </c>
      <c r="R309" s="153" t="str">
        <f t="shared" si="38"/>
        <v>6114</v>
      </c>
      <c r="S309" s="154">
        <f t="shared" si="39"/>
        <v>0</v>
      </c>
      <c r="T309" s="156" t="str">
        <f>+VLOOKUP($L309,Data_Validation!$A:$D,1,0)</f>
        <v>6214</v>
      </c>
      <c r="U309" s="156" t="str">
        <f>+VLOOKUP($L309,Data_Validation!$A:$D,3,0)</f>
        <v>Véhicules usagés</v>
      </c>
      <c r="V309" s="156" t="str">
        <f>+VLOOKUP($L309,Data_Validation!$A:$D,4,0)</f>
        <v>Publicité 1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4" t="s">
        <v>2148</v>
      </c>
      <c r="B310" s="1014" t="s">
        <v>2149</v>
      </c>
      <c r="C310" s="1016">
        <v>-4400</v>
      </c>
      <c r="D310" s="1016">
        <v>-4200</v>
      </c>
      <c r="E310" s="1016">
        <v>-8600</v>
      </c>
      <c r="F310" s="1014" t="s">
        <v>401</v>
      </c>
      <c r="G310" s="1014" t="s">
        <v>2113</v>
      </c>
      <c r="H310" s="150"/>
      <c r="I310" s="157"/>
      <c r="J310" s="157"/>
      <c r="K310" s="157"/>
      <c r="L310" s="153" t="str">
        <f t="shared" si="35"/>
        <v>6215</v>
      </c>
      <c r="M310" s="154" t="str">
        <f t="shared" si="36"/>
        <v>CREDIT PUBLICITE USAGES</v>
      </c>
      <c r="N310" s="155">
        <f>+IF(OR($Q310=Parametres!$G$2,$Q310=Parametres!$G$3),I310,C310)</f>
        <v>-4400</v>
      </c>
      <c r="O310" s="155">
        <f>+IF(OR($Q310=Parametres!$G$2,$Q310=Parametres!$G$3),J310,D310)</f>
        <v>-4200</v>
      </c>
      <c r="P310" s="155">
        <f>+IF(OR($Q310=Parametres!$G$2,$Q310=Parametres!$G$3),K310,E310)</f>
        <v>-8600</v>
      </c>
      <c r="Q310" s="154" t="str">
        <f t="shared" si="37"/>
        <v>7-Dépenses</v>
      </c>
      <c r="R310" s="153" t="str">
        <f t="shared" si="38"/>
        <v>6114</v>
      </c>
      <c r="S310" s="154">
        <f t="shared" si="39"/>
        <v>0</v>
      </c>
      <c r="T310" s="156" t="str">
        <f>+VLOOKUP($L310,Data_Validation!$A:$D,1,0)</f>
        <v>6215</v>
      </c>
      <c r="U310" s="156" t="str">
        <f>+VLOOKUP($L310,Data_Validation!$A:$D,3,0)</f>
        <v>Véhicules usagés</v>
      </c>
      <c r="V310" s="156" t="str">
        <f>+VLOOKUP($L310,Data_Validation!$A:$D,4,0)</f>
        <v>Publicité 1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4" t="s">
        <v>1259</v>
      </c>
      <c r="B311" s="1014" t="s">
        <v>2674</v>
      </c>
      <c r="C311" s="1016">
        <v>700</v>
      </c>
      <c r="D311" s="1016">
        <v>350</v>
      </c>
      <c r="E311" s="1016">
        <v>1050</v>
      </c>
      <c r="F311" s="1014" t="s">
        <v>401</v>
      </c>
      <c r="G311" s="1014" t="s">
        <v>2648</v>
      </c>
      <c r="H311" s="150"/>
      <c r="I311" s="157"/>
      <c r="J311" s="157"/>
      <c r="K311" s="157"/>
      <c r="L311" s="153" t="str">
        <f t="shared" si="35"/>
        <v>6221</v>
      </c>
      <c r="M311" s="154" t="str">
        <f t="shared" si="36"/>
        <v>SALAIRES - PROPRIETAIRES</v>
      </c>
      <c r="N311" s="155">
        <f>+IF(OR($Q311=Parametres!$G$2,$Q311=Parametres!$G$3),I311,C311)</f>
        <v>700</v>
      </c>
      <c r="O311" s="155">
        <f>+IF(OR($Q311=Parametres!$G$2,$Q311=Parametres!$G$3),J311,D311)</f>
        <v>350</v>
      </c>
      <c r="P311" s="155">
        <f>+IF(OR($Q311=Parametres!$G$2,$Q311=Parametres!$G$3),K311,E311)</f>
        <v>1050</v>
      </c>
      <c r="Q311" s="154" t="str">
        <f t="shared" si="37"/>
        <v>7-Dépenses</v>
      </c>
      <c r="R311" s="153" t="str">
        <f t="shared" si="38"/>
        <v>6121</v>
      </c>
      <c r="S311" s="154">
        <f t="shared" si="39"/>
        <v>0</v>
      </c>
      <c r="T311" s="156" t="str">
        <f>+VLOOKUP($L311,Data_Validation!$A:$D,1,0)</f>
        <v>6221</v>
      </c>
      <c r="U311" s="156" t="str">
        <f>+VLOOKUP($L311,Data_Validation!$A:$D,3,0)</f>
        <v>Véhicules usagés</v>
      </c>
      <c r="V311" s="156" t="str">
        <f>+VLOOKUP($L311,Data_Validation!$A:$D,4,0)</f>
        <v>Salaires propriétaire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4" t="s">
        <v>2624</v>
      </c>
      <c r="B312" s="1014" t="s">
        <v>2748</v>
      </c>
      <c r="C312" s="1016">
        <v>20393.400000000001</v>
      </c>
      <c r="D312" s="1016">
        <v>4858.37</v>
      </c>
      <c r="E312" s="1016">
        <v>25251.77</v>
      </c>
      <c r="F312" s="1014" t="s">
        <v>401</v>
      </c>
      <c r="G312" s="1014" t="s">
        <v>2626</v>
      </c>
      <c r="H312" s="150"/>
      <c r="I312" s="151"/>
      <c r="J312" s="151"/>
      <c r="K312" s="151"/>
      <c r="L312" s="153" t="str">
        <f t="shared" si="35"/>
        <v>6222</v>
      </c>
      <c r="M312" s="154" t="str">
        <f t="shared" si="36"/>
        <v>SAL SUPERVISION / GERANT</v>
      </c>
      <c r="N312" s="155">
        <f>+IF(OR($Q312=Parametres!$G$2,$Q312=Parametres!$G$3),I312,C312)</f>
        <v>20393.400000000001</v>
      </c>
      <c r="O312" s="155">
        <f>+IF(OR($Q312=Parametres!$G$2,$Q312=Parametres!$G$3),J312,D312)</f>
        <v>4858.37</v>
      </c>
      <c r="P312" s="155">
        <f>+IF(OR($Q312=Parametres!$G$2,$Q312=Parametres!$G$3),K312,E312)</f>
        <v>25251.77</v>
      </c>
      <c r="Q312" s="154" t="str">
        <f t="shared" si="37"/>
        <v>7-Dépenses</v>
      </c>
      <c r="R312" s="153" t="str">
        <f t="shared" si="38"/>
        <v>6122</v>
      </c>
      <c r="S312" s="154">
        <f t="shared" si="39"/>
        <v>0</v>
      </c>
      <c r="T312" s="156" t="str">
        <f>+VLOOKUP($L312,Data_Validation!$A:$D,1,0)</f>
        <v>6222</v>
      </c>
      <c r="U312" s="156" t="str">
        <f>+VLOOKUP($L312,Data_Validation!$A:$D,3,0)</f>
        <v>Véhicules usagés</v>
      </c>
      <c r="V312" s="156" t="str">
        <f>+VLOOKUP($L312,Data_Validation!$A:$D,4,0)</f>
        <v>Salaires cadres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4" t="s">
        <v>1342</v>
      </c>
      <c r="B313" s="1014" t="s">
        <v>2707</v>
      </c>
      <c r="C313" s="1016">
        <v>3678.44</v>
      </c>
      <c r="D313" s="1016">
        <v>2078.0100000000002</v>
      </c>
      <c r="E313" s="1016">
        <v>5756.45</v>
      </c>
      <c r="F313" s="1014" t="s">
        <v>401</v>
      </c>
      <c r="G313" s="1014" t="s">
        <v>2679</v>
      </c>
      <c r="H313" s="150"/>
      <c r="I313" s="152"/>
      <c r="J313" s="152"/>
      <c r="K313" s="152"/>
      <c r="L313" s="153" t="str">
        <f t="shared" si="35"/>
        <v>6223</v>
      </c>
      <c r="M313" s="154" t="str">
        <f t="shared" si="36"/>
        <v>SAL. &amp; RENUM. - CLERICAL</v>
      </c>
      <c r="N313" s="155">
        <f>+IF(OR($Q313=Parametres!$G$2,$Q313=Parametres!$G$3),I313,C313)</f>
        <v>3678.44</v>
      </c>
      <c r="O313" s="155">
        <f>+IF(OR($Q313=Parametres!$G$2,$Q313=Parametres!$G$3),J313,D313)</f>
        <v>2078.0100000000002</v>
      </c>
      <c r="P313" s="155">
        <f>+IF(OR($Q313=Parametres!$G$2,$Q313=Parametres!$G$3),K313,E313)</f>
        <v>5756.45</v>
      </c>
      <c r="Q313" s="154" t="str">
        <f t="shared" si="37"/>
        <v>7-Dépenses</v>
      </c>
      <c r="R313" s="153" t="str">
        <f t="shared" si="38"/>
        <v>6123</v>
      </c>
      <c r="S313" s="154">
        <f t="shared" si="39"/>
        <v>0</v>
      </c>
      <c r="T313" s="156" t="str">
        <f>+VLOOKUP($L313,Data_Validation!$A:$D,1,0)</f>
        <v>6223</v>
      </c>
      <c r="U313" s="156" t="str">
        <f>+VLOOKUP($L313,Data_Validation!$A:$D,3,0)</f>
        <v>Véhicules usagés</v>
      </c>
      <c r="V313" s="156" t="str">
        <f>+VLOOKUP($L313,Data_Validation!$A:$D,4,0)</f>
        <v>Salaires commis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4" t="s">
        <v>1412</v>
      </c>
      <c r="B314" s="1014" t="s">
        <v>2776</v>
      </c>
      <c r="C314" s="1016">
        <v>12025.94</v>
      </c>
      <c r="D314" s="1016">
        <v>6845.89</v>
      </c>
      <c r="E314" s="1016">
        <v>18871.830000000002</v>
      </c>
      <c r="F314" s="1014" t="s">
        <v>401</v>
      </c>
      <c r="G314" s="1014" t="s">
        <v>2735</v>
      </c>
      <c r="H314" s="150"/>
      <c r="I314" s="157"/>
      <c r="J314" s="157"/>
      <c r="K314" s="157"/>
      <c r="L314" s="153" t="str">
        <f t="shared" si="35"/>
        <v>6224</v>
      </c>
      <c r="M314" s="154" t="str">
        <f t="shared" si="36"/>
        <v>SALAIRE &amp; RENUM. - AUTRES</v>
      </c>
      <c r="N314" s="155">
        <f>+IF(OR($Q314=Parametres!$G$2,$Q314=Parametres!$G$3),I314,C314)</f>
        <v>12025.94</v>
      </c>
      <c r="O314" s="155">
        <f>+IF(OR($Q314=Parametres!$G$2,$Q314=Parametres!$G$3),J314,D314)</f>
        <v>6845.89</v>
      </c>
      <c r="P314" s="155">
        <f>+IF(OR($Q314=Parametres!$G$2,$Q314=Parametres!$G$3),K314,E314)</f>
        <v>18871.830000000002</v>
      </c>
      <c r="Q314" s="154" t="str">
        <f t="shared" si="37"/>
        <v>7-Dépenses</v>
      </c>
      <c r="R314" s="153" t="str">
        <f t="shared" si="38"/>
        <v>6124</v>
      </c>
      <c r="S314" s="154">
        <f t="shared" si="39"/>
        <v>0</v>
      </c>
      <c r="T314" s="156" t="str">
        <f>+VLOOKUP($L314,Data_Validation!$A:$D,1,0)</f>
        <v>6224</v>
      </c>
      <c r="U314" s="156" t="str">
        <f>+VLOOKUP($L314,Data_Validation!$A:$D,3,0)</f>
        <v>Véhicules usagés</v>
      </c>
      <c r="V314" s="156" t="str">
        <f>+VLOOKUP($L314,Data_Validation!$A:$D,4,0)</f>
        <v>Salaires autres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4" t="s">
        <v>1211</v>
      </c>
      <c r="B315" s="1014" t="s">
        <v>2712</v>
      </c>
      <c r="C315" s="1016">
        <v>5692.88</v>
      </c>
      <c r="D315" s="1016">
        <v>4893.1099999999997</v>
      </c>
      <c r="E315" s="1016">
        <v>10585.99</v>
      </c>
      <c r="F315" s="1014" t="s">
        <v>401</v>
      </c>
      <c r="G315" s="1014" t="s">
        <v>2641</v>
      </c>
      <c r="H315" s="150"/>
      <c r="I315" s="157"/>
      <c r="J315" s="157"/>
      <c r="K315" s="157"/>
      <c r="L315" s="153" t="str">
        <f t="shared" si="35"/>
        <v>6229</v>
      </c>
      <c r="M315" s="154" t="str">
        <f t="shared" si="36"/>
        <v>ABS.,VACANCES &amp; SAL. JOURS FER</v>
      </c>
      <c r="N315" s="155">
        <f>+IF(OR($Q315=Parametres!$G$2,$Q315=Parametres!$G$3),I315,C315)</f>
        <v>5692.88</v>
      </c>
      <c r="O315" s="155">
        <f>+IF(OR($Q315=Parametres!$G$2,$Q315=Parametres!$G$3),J315,D315)</f>
        <v>4893.1099999999997</v>
      </c>
      <c r="P315" s="155">
        <f>+IF(OR($Q315=Parametres!$G$2,$Q315=Parametres!$G$3),K315,E315)</f>
        <v>10585.99</v>
      </c>
      <c r="Q315" s="154" t="str">
        <f t="shared" si="37"/>
        <v>7-Dépenses</v>
      </c>
      <c r="R315" s="153" t="str">
        <f t="shared" si="38"/>
        <v>6129</v>
      </c>
      <c r="S315" s="154">
        <f t="shared" si="39"/>
        <v>0</v>
      </c>
      <c r="T315" s="156" t="str">
        <f>+VLOOKUP($L315,Data_Validation!$A:$D,1,0)</f>
        <v>6229</v>
      </c>
      <c r="U315" s="156" t="str">
        <f>+VLOOKUP($L315,Data_Validation!$A:$D,3,0)</f>
        <v>Véhicules usagés</v>
      </c>
      <c r="V315" s="156" t="str">
        <f>+VLOOKUP($L315,Data_Validation!$A:$D,4,0)</f>
        <v>Salaires en absences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4" t="s">
        <v>1252</v>
      </c>
      <c r="B316" s="1014" t="s">
        <v>2697</v>
      </c>
      <c r="C316" s="1016">
        <v>1291.4000000000001</v>
      </c>
      <c r="D316" s="1016">
        <v>643.29999999999995</v>
      </c>
      <c r="E316" s="1016">
        <v>1934.7</v>
      </c>
      <c r="F316" s="1014" t="s">
        <v>401</v>
      </c>
      <c r="G316" s="1014" t="s">
        <v>2586</v>
      </c>
      <c r="H316" s="150"/>
      <c r="I316" s="151"/>
      <c r="J316" s="151"/>
      <c r="K316" s="151"/>
      <c r="L316" s="153" t="str">
        <f t="shared" si="35"/>
        <v>6231</v>
      </c>
      <c r="M316" s="154" t="str">
        <f t="shared" si="36"/>
        <v>CSST</v>
      </c>
      <c r="N316" s="155">
        <f>+IF(OR($Q316=Parametres!$G$2,$Q316=Parametres!$G$3),I316,C316)</f>
        <v>1291.4000000000001</v>
      </c>
      <c r="O316" s="155">
        <f>+IF(OR($Q316=Parametres!$G$2,$Q316=Parametres!$G$3),J316,D316)</f>
        <v>643.29999999999995</v>
      </c>
      <c r="P316" s="155">
        <f>+IF(OR($Q316=Parametres!$G$2,$Q316=Parametres!$G$3),K316,E316)</f>
        <v>1934.7</v>
      </c>
      <c r="Q316" s="154" t="str">
        <f t="shared" si="37"/>
        <v>7-Dépenses</v>
      </c>
      <c r="R316" s="153" t="str">
        <f t="shared" si="38"/>
        <v>6131</v>
      </c>
      <c r="S316" s="154">
        <f t="shared" si="39"/>
        <v>0</v>
      </c>
      <c r="T316" s="156" t="str">
        <f>+VLOOKUP($L316,Data_Validation!$A:$D,1,0)</f>
        <v>6231</v>
      </c>
      <c r="U316" s="156" t="str">
        <f>+VLOOKUP($L316,Data_Validation!$A:$D,3,0)</f>
        <v>Véhicules usagés</v>
      </c>
      <c r="V316" s="156" t="str">
        <f>+VLOOKUP($L316,Data_Validation!$A:$D,4,0)</f>
        <v>Csst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4" t="s">
        <v>1283</v>
      </c>
      <c r="B317" s="1014" t="s">
        <v>2717</v>
      </c>
      <c r="C317" s="1016">
        <v>5532.17</v>
      </c>
      <c r="D317" s="1016">
        <v>6076.04</v>
      </c>
      <c r="E317" s="1016">
        <v>11608.21</v>
      </c>
      <c r="F317" s="1014" t="s">
        <v>401</v>
      </c>
      <c r="G317" s="1014" t="s">
        <v>2685</v>
      </c>
      <c r="H317" s="150"/>
      <c r="I317" s="157"/>
      <c r="J317" s="157"/>
      <c r="K317" s="157"/>
      <c r="L317" s="153" t="str">
        <f t="shared" si="35"/>
        <v>6232</v>
      </c>
      <c r="M317" s="154" t="str">
        <f t="shared" si="36"/>
        <v>RRQ RAMQ AC</v>
      </c>
      <c r="N317" s="155">
        <f>+IF(OR($Q317=Parametres!$G$2,$Q317=Parametres!$G$3),I317,C317)</f>
        <v>5532.17</v>
      </c>
      <c r="O317" s="155">
        <f>+IF(OR($Q317=Parametres!$G$2,$Q317=Parametres!$G$3),J317,D317)</f>
        <v>6076.04</v>
      </c>
      <c r="P317" s="155">
        <f>+IF(OR($Q317=Parametres!$G$2,$Q317=Parametres!$G$3),K317,E317)</f>
        <v>11608.21</v>
      </c>
      <c r="Q317" s="154" t="str">
        <f t="shared" si="37"/>
        <v>7-Dépenses</v>
      </c>
      <c r="R317" s="153" t="str">
        <f t="shared" si="38"/>
        <v>6132</v>
      </c>
      <c r="S317" s="154">
        <f t="shared" si="39"/>
        <v>0</v>
      </c>
      <c r="T317" s="156" t="str">
        <f>+VLOOKUP($L317,Data_Validation!$A:$D,1,0)</f>
        <v>6232</v>
      </c>
      <c r="U317" s="156" t="str">
        <f>+VLOOKUP($L317,Data_Validation!$A:$D,3,0)</f>
        <v>Véhicules usagés</v>
      </c>
      <c r="V317" s="156" t="str">
        <f>+VLOOKUP($L317,Data_Validation!$A:$D,4,0)</f>
        <v>Déduction à la source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4" t="s">
        <v>1305</v>
      </c>
      <c r="B318" s="1014" t="s">
        <v>2719</v>
      </c>
      <c r="C318" s="1016">
        <v>4319.2700000000004</v>
      </c>
      <c r="D318" s="1016">
        <v>3999.95</v>
      </c>
      <c r="E318" s="1016">
        <v>8319.2199999999993</v>
      </c>
      <c r="F318" s="1014" t="s">
        <v>401</v>
      </c>
      <c r="G318" s="1014" t="s">
        <v>2694</v>
      </c>
      <c r="H318" s="150"/>
      <c r="I318" s="151"/>
      <c r="J318" s="151"/>
      <c r="K318" s="151"/>
      <c r="L318" s="153" t="str">
        <f t="shared" si="35"/>
        <v>6239</v>
      </c>
      <c r="M318" s="154" t="str">
        <f t="shared" si="36"/>
        <v>ASSURANCE GROUPE</v>
      </c>
      <c r="N318" s="155">
        <f>+IF(OR($Q318=Parametres!$G$2,$Q318=Parametres!$G$3),I318,C318)</f>
        <v>4319.2700000000004</v>
      </c>
      <c r="O318" s="155">
        <f>+IF(OR($Q318=Parametres!$G$2,$Q318=Parametres!$G$3),J318,D318)</f>
        <v>3999.95</v>
      </c>
      <c r="P318" s="155">
        <f>+IF(OR($Q318=Parametres!$G$2,$Q318=Parametres!$G$3),K318,E318)</f>
        <v>8319.2199999999993</v>
      </c>
      <c r="Q318" s="154" t="str">
        <f t="shared" si="37"/>
        <v>7-Dépenses</v>
      </c>
      <c r="R318" s="153" t="str">
        <f t="shared" si="38"/>
        <v>6139</v>
      </c>
      <c r="S318" s="154">
        <f t="shared" si="39"/>
        <v>0</v>
      </c>
      <c r="T318" s="156" t="str">
        <f>+VLOOKUP($L318,Data_Validation!$A:$D,1,0)</f>
        <v>6239</v>
      </c>
      <c r="U318" s="156" t="str">
        <f>+VLOOKUP($L318,Data_Validation!$A:$D,3,0)</f>
        <v>Véhicules usagés</v>
      </c>
      <c r="V318" s="156" t="str">
        <f>+VLOOKUP($L318,Data_Validation!$A:$D,4,0)</f>
        <v>Bénéfices marginaux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4" t="s">
        <v>934</v>
      </c>
      <c r="B319" s="1014" t="s">
        <v>2564</v>
      </c>
      <c r="C319" s="1016">
        <v>21.24</v>
      </c>
      <c r="D319" s="1016">
        <v>10.62</v>
      </c>
      <c r="E319" s="1016">
        <v>31.86</v>
      </c>
      <c r="F319" s="1014" t="s">
        <v>401</v>
      </c>
      <c r="G319" s="1014" t="s">
        <v>2561</v>
      </c>
      <c r="H319" s="150"/>
      <c r="I319" s="157"/>
      <c r="J319" s="157"/>
      <c r="K319" s="157"/>
      <c r="L319" s="153" t="str">
        <f t="shared" si="35"/>
        <v>6244</v>
      </c>
      <c r="M319" s="154" t="str">
        <f t="shared" si="36"/>
        <v>FORMATION</v>
      </c>
      <c r="N319" s="155">
        <f>+IF(OR($Q319=Parametres!$G$2,$Q319=Parametres!$G$3),I319,C319)</f>
        <v>21.24</v>
      </c>
      <c r="O319" s="155">
        <f>+IF(OR($Q319=Parametres!$G$2,$Q319=Parametres!$G$3),J319,D319)</f>
        <v>10.62</v>
      </c>
      <c r="P319" s="155">
        <f>+IF(OR($Q319=Parametres!$G$2,$Q319=Parametres!$G$3),K319,E319)</f>
        <v>31.86</v>
      </c>
      <c r="Q319" s="154" t="str">
        <f t="shared" si="37"/>
        <v>7-Dépenses</v>
      </c>
      <c r="R319" s="153" t="str">
        <f t="shared" si="38"/>
        <v>6144</v>
      </c>
      <c r="S319" s="154">
        <f t="shared" si="39"/>
        <v>0</v>
      </c>
      <c r="T319" s="156" t="str">
        <f>+VLOOKUP($L319,Data_Validation!$A:$D,1,0)</f>
        <v>6244</v>
      </c>
      <c r="U319" s="156" t="str">
        <f>+VLOOKUP($L319,Data_Validation!$A:$D,3,0)</f>
        <v>Véhicules usagés</v>
      </c>
      <c r="V319" s="156" t="str">
        <f>+VLOOKUP($L319,Data_Validation!$A:$D,4,0)</f>
        <v>Formation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4" t="s">
        <v>1186</v>
      </c>
      <c r="B320" s="1014" t="s">
        <v>2649</v>
      </c>
      <c r="C320" s="1016">
        <v>-640.58000000000004</v>
      </c>
      <c r="D320" s="1016">
        <v>-492.65</v>
      </c>
      <c r="E320" s="1016">
        <v>-1133.23</v>
      </c>
      <c r="F320" s="1014" t="s">
        <v>401</v>
      </c>
      <c r="G320" s="1014" t="s">
        <v>2632</v>
      </c>
      <c r="H320" s="150"/>
      <c r="I320" s="151"/>
      <c r="J320" s="151"/>
      <c r="K320" s="151"/>
      <c r="L320" s="153" t="str">
        <f t="shared" si="35"/>
        <v>6245</v>
      </c>
      <c r="M320" s="154" t="str">
        <f t="shared" si="36"/>
        <v>VEHICULE DE COMPAGNIE - DEPENS</v>
      </c>
      <c r="N320" s="155">
        <f>+IF(OR($Q320=Parametres!$G$2,$Q320=Parametres!$G$3),I320,C320)</f>
        <v>-640.58000000000004</v>
      </c>
      <c r="O320" s="155">
        <f>+IF(OR($Q320=Parametres!$G$2,$Q320=Parametres!$G$3),J320,D320)</f>
        <v>-492.65</v>
      </c>
      <c r="P320" s="155">
        <f>+IF(OR($Q320=Parametres!$G$2,$Q320=Parametres!$G$3),K320,E320)</f>
        <v>-1133.23</v>
      </c>
      <c r="Q320" s="154" t="str">
        <f t="shared" si="37"/>
        <v>7-Dépenses</v>
      </c>
      <c r="R320" s="153" t="str">
        <f t="shared" si="38"/>
        <v>6145</v>
      </c>
      <c r="S320" s="154">
        <f t="shared" si="39"/>
        <v>0</v>
      </c>
      <c r="T320" s="156" t="str">
        <f>+VLOOKUP($L320,Data_Validation!$A:$D,1,0)</f>
        <v>6245</v>
      </c>
      <c r="U320" s="156" t="str">
        <f>+VLOOKUP($L320,Data_Validation!$A:$D,3,0)</f>
        <v>Véhicules usagés</v>
      </c>
      <c r="V320" s="156" t="str">
        <f>+VLOOKUP($L320,Data_Validation!$A:$D,4,0)</f>
        <v>Frais véhicules de cie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4" t="s">
        <v>1180</v>
      </c>
      <c r="B321" s="1014" t="s">
        <v>2584</v>
      </c>
      <c r="C321" s="1016">
        <v>91.72</v>
      </c>
      <c r="D321" s="1016">
        <v>66.33</v>
      </c>
      <c r="E321" s="1016">
        <v>158.05000000000001</v>
      </c>
      <c r="F321" s="1014" t="s">
        <v>401</v>
      </c>
      <c r="G321" s="1014" t="s">
        <v>2581</v>
      </c>
      <c r="H321" s="150"/>
      <c r="I321" s="152"/>
      <c r="J321" s="152"/>
      <c r="K321" s="152"/>
      <c r="L321" s="153" t="str">
        <f t="shared" si="35"/>
        <v>6247</v>
      </c>
      <c r="M321" s="154" t="str">
        <f t="shared" si="36"/>
        <v>FRET/EXPRESS/TRANS. PAR CAMION</v>
      </c>
      <c r="N321" s="155">
        <f>+IF(OR($Q321=Parametres!$G$2,$Q321=Parametres!$G$3),I321,C321)</f>
        <v>91.72</v>
      </c>
      <c r="O321" s="155">
        <f>+IF(OR($Q321=Parametres!$G$2,$Q321=Parametres!$G$3),J321,D321)</f>
        <v>66.33</v>
      </c>
      <c r="P321" s="155">
        <f>+IF(OR($Q321=Parametres!$G$2,$Q321=Parametres!$G$3),K321,E321)</f>
        <v>158.05000000000001</v>
      </c>
      <c r="Q321" s="154" t="str">
        <f t="shared" si="37"/>
        <v>7-Dépenses</v>
      </c>
      <c r="R321" s="153" t="str">
        <f t="shared" si="38"/>
        <v>6147</v>
      </c>
      <c r="S321" s="154">
        <f t="shared" si="39"/>
        <v>0</v>
      </c>
      <c r="T321" s="156" t="str">
        <f>+VLOOKUP($L321,Data_Validation!$A:$D,1,0)</f>
        <v>6247</v>
      </c>
      <c r="U321" s="156" t="str">
        <f>+VLOOKUP($L321,Data_Validation!$A:$D,3,0)</f>
        <v>Véhicules usagés</v>
      </c>
      <c r="V321" s="156" t="str">
        <f>+VLOOKUP($L321,Data_Validation!$A:$D,4,0)</f>
        <v>Frais postaux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4" t="s">
        <v>1286</v>
      </c>
      <c r="B322" s="1014" t="s">
        <v>2723</v>
      </c>
      <c r="C322" s="1016">
        <v>4334.3500000000004</v>
      </c>
      <c r="D322" s="1016">
        <v>1758.75</v>
      </c>
      <c r="E322" s="1016">
        <v>6093.1</v>
      </c>
      <c r="F322" s="1014" t="s">
        <v>401</v>
      </c>
      <c r="G322" s="1014" t="s">
        <v>2702</v>
      </c>
      <c r="H322" s="150"/>
      <c r="I322" s="157"/>
      <c r="J322" s="157"/>
      <c r="K322" s="157"/>
      <c r="L322" s="153" t="str">
        <f t="shared" ref="L322:L385" si="40">+B322</f>
        <v>6251</v>
      </c>
      <c r="M322" s="154" t="str">
        <f t="shared" ref="M322:M385" si="41">+A322</f>
        <v>DEP. DU TRAITEMENT DES DONNEES</v>
      </c>
      <c r="N322" s="155">
        <f>+IF(OR($Q322=Parametres!$G$2,$Q322=Parametres!$G$3),I322,C322)</f>
        <v>4334.3500000000004</v>
      </c>
      <c r="O322" s="155">
        <f>+IF(OR($Q322=Parametres!$G$2,$Q322=Parametres!$G$3),J322,D322)</f>
        <v>1758.75</v>
      </c>
      <c r="P322" s="155">
        <f>+IF(OR($Q322=Parametres!$G$2,$Q322=Parametres!$G$3),K322,E322)</f>
        <v>6093.1</v>
      </c>
      <c r="Q322" s="154" t="str">
        <f t="shared" ref="Q322:Q385" si="42">+F322</f>
        <v>7-Dépenses</v>
      </c>
      <c r="R322" s="153" t="str">
        <f t="shared" ref="R322:R385" si="43">+G322</f>
        <v>6151</v>
      </c>
      <c r="S322" s="154">
        <f t="shared" ref="S322:S385" si="44">+H322</f>
        <v>0</v>
      </c>
      <c r="T322" s="156" t="str">
        <f>+VLOOKUP($L322,Data_Validation!$A:$D,1,0)</f>
        <v>6251</v>
      </c>
      <c r="U322" s="156" t="str">
        <f>+VLOOKUP($L322,Data_Validation!$A:$D,3,0)</f>
        <v>Véhicules usagés</v>
      </c>
      <c r="V322" s="156" t="str">
        <f>+VLOOKUP($L322,Data_Validation!$A:$D,4,0)</f>
        <v>Informatique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4" t="s">
        <v>1206</v>
      </c>
      <c r="B323" s="1014" t="s">
        <v>2602</v>
      </c>
      <c r="C323" s="1016">
        <v>283.93</v>
      </c>
      <c r="D323" s="1016">
        <v>144.71</v>
      </c>
      <c r="E323" s="1016">
        <v>428.64</v>
      </c>
      <c r="F323" s="1014" t="s">
        <v>401</v>
      </c>
      <c r="G323" s="1014" t="s">
        <v>2588</v>
      </c>
      <c r="H323" s="150"/>
      <c r="I323" s="151"/>
      <c r="J323" s="151"/>
      <c r="K323" s="151"/>
      <c r="L323" s="153" t="str">
        <f t="shared" si="40"/>
        <v>6252</v>
      </c>
      <c r="M323" s="154" t="str">
        <f t="shared" si="41"/>
        <v>PAPETERIE</v>
      </c>
      <c r="N323" s="155">
        <f>+IF(OR($Q323=Parametres!$G$2,$Q323=Parametres!$G$3),I323,C323)</f>
        <v>283.93</v>
      </c>
      <c r="O323" s="155">
        <f>+IF(OR($Q323=Parametres!$G$2,$Q323=Parametres!$G$3),J323,D323)</f>
        <v>144.71</v>
      </c>
      <c r="P323" s="155">
        <f>+IF(OR($Q323=Parametres!$G$2,$Q323=Parametres!$G$3),K323,E323)</f>
        <v>428.64</v>
      </c>
      <c r="Q323" s="154" t="str">
        <f t="shared" si="42"/>
        <v>7-Dépenses</v>
      </c>
      <c r="R323" s="153" t="str">
        <f t="shared" si="43"/>
        <v>6152</v>
      </c>
      <c r="S323" s="154">
        <f t="shared" si="44"/>
        <v>0</v>
      </c>
      <c r="T323" s="156" t="str">
        <f>+VLOOKUP($L323,Data_Validation!$A:$D,1,0)</f>
        <v>6252</v>
      </c>
      <c r="U323" s="156" t="str">
        <f>+VLOOKUP($L323,Data_Validation!$A:$D,3,0)</f>
        <v>Véhicules usagés</v>
      </c>
      <c r="V323" s="156" t="str">
        <f>+VLOOKUP($L323,Data_Validation!$A:$D,4,0)</f>
        <v>Papeterie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4" t="s">
        <v>1154</v>
      </c>
      <c r="B324" s="1014" t="s">
        <v>2595</v>
      </c>
      <c r="C324" s="1016">
        <v>248.74</v>
      </c>
      <c r="D324" s="1016">
        <v>89.27</v>
      </c>
      <c r="E324" s="1016">
        <v>338.01</v>
      </c>
      <c r="F324" s="1014" t="s">
        <v>401</v>
      </c>
      <c r="G324" s="1014" t="s">
        <v>2592</v>
      </c>
      <c r="H324" s="150"/>
      <c r="I324" s="157"/>
      <c r="J324" s="157"/>
      <c r="K324" s="157"/>
      <c r="L324" s="153" t="str">
        <f t="shared" si="40"/>
        <v>6253</v>
      </c>
      <c r="M324" s="154" t="str">
        <f t="shared" si="41"/>
        <v>TELEPHONE ET TELEX</v>
      </c>
      <c r="N324" s="155">
        <f>+IF(OR($Q324=Parametres!$G$2,$Q324=Parametres!$G$3),I324,C324)</f>
        <v>248.74</v>
      </c>
      <c r="O324" s="155">
        <f>+IF(OR($Q324=Parametres!$G$2,$Q324=Parametres!$G$3),J324,D324)</f>
        <v>89.27</v>
      </c>
      <c r="P324" s="155">
        <f>+IF(OR($Q324=Parametres!$G$2,$Q324=Parametres!$G$3),K324,E324)</f>
        <v>338.01</v>
      </c>
      <c r="Q324" s="154" t="str">
        <f t="shared" si="42"/>
        <v>7-Dépenses</v>
      </c>
      <c r="R324" s="153" t="str">
        <f t="shared" si="43"/>
        <v>6153</v>
      </c>
      <c r="S324" s="154">
        <f t="shared" si="44"/>
        <v>0</v>
      </c>
      <c r="T324" s="156" t="str">
        <f>+VLOOKUP($L324,Data_Validation!$A:$D,1,0)</f>
        <v>6253</v>
      </c>
      <c r="U324" s="156" t="str">
        <f>+VLOOKUP($L324,Data_Validation!$A:$D,3,0)</f>
        <v>Véhicules usagés</v>
      </c>
      <c r="V324" s="156" t="str">
        <f>+VLOOKUP($L324,Data_Validation!$A:$D,4,0)</f>
        <v>Téléphone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4" t="s">
        <v>1237</v>
      </c>
      <c r="B325" s="1014" t="s">
        <v>2666</v>
      </c>
      <c r="C325" s="1016">
        <v>239.41</v>
      </c>
      <c r="D325" s="1016">
        <v>714.45</v>
      </c>
      <c r="E325" s="1016">
        <v>953.86</v>
      </c>
      <c r="F325" s="1014" t="s">
        <v>401</v>
      </c>
      <c r="G325" s="1014" t="s">
        <v>2637</v>
      </c>
      <c r="H325" s="150"/>
      <c r="I325" s="152"/>
      <c r="J325" s="152"/>
      <c r="K325" s="152"/>
      <c r="L325" s="153" t="str">
        <f t="shared" si="40"/>
        <v>6255</v>
      </c>
      <c r="M325" s="154" t="str">
        <f t="shared" si="41"/>
        <v>DEPENSES DIVERS</v>
      </c>
      <c r="N325" s="155">
        <f>+IF(OR($Q325=Parametres!$G$2,$Q325=Parametres!$G$3),I325,C325)</f>
        <v>239.41</v>
      </c>
      <c r="O325" s="155">
        <f>+IF(OR($Q325=Parametres!$G$2,$Q325=Parametres!$G$3),J325,D325)</f>
        <v>714.45</v>
      </c>
      <c r="P325" s="155">
        <f>+IF(OR($Q325=Parametres!$G$2,$Q325=Parametres!$G$3),K325,E325)</f>
        <v>953.86</v>
      </c>
      <c r="Q325" s="154" t="str">
        <f t="shared" si="42"/>
        <v>7-Dépenses</v>
      </c>
      <c r="R325" s="153" t="str">
        <f t="shared" si="43"/>
        <v>6155</v>
      </c>
      <c r="S325" s="154">
        <f t="shared" si="44"/>
        <v>0</v>
      </c>
      <c r="T325" s="156" t="str">
        <f>+VLOOKUP($L325,Data_Validation!$A:$D,1,0)</f>
        <v>6255</v>
      </c>
      <c r="U325" s="156" t="str">
        <f>+VLOOKUP($L325,Data_Validation!$A:$D,3,0)</f>
        <v>Véhicules usagés</v>
      </c>
      <c r="V325" s="156" t="str">
        <f>+VLOOKUP($L325,Data_Validation!$A:$D,4,0)</f>
        <v>Divers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4" t="s">
        <v>1247</v>
      </c>
      <c r="B326" s="1014" t="s">
        <v>2676</v>
      </c>
      <c r="C326" s="1016">
        <v>50.53</v>
      </c>
      <c r="D326" s="1016">
        <v>220.28</v>
      </c>
      <c r="E326" s="1016">
        <v>270.81</v>
      </c>
      <c r="F326" s="1014" t="s">
        <v>401</v>
      </c>
      <c r="G326" s="1014" t="s">
        <v>2470</v>
      </c>
      <c r="H326" s="949"/>
      <c r="I326" s="948"/>
      <c r="J326" s="948"/>
      <c r="K326" s="948"/>
      <c r="L326" s="153" t="str">
        <f t="shared" si="40"/>
        <v>6256</v>
      </c>
      <c r="M326" s="154" t="str">
        <f t="shared" si="41"/>
        <v>FRAIS REPRESENTATION - USAGE</v>
      </c>
      <c r="N326" s="155">
        <f>+IF(OR($Q326=Parametres!$G$2,$Q326=Parametres!$G$3),I326,C326)</f>
        <v>50.53</v>
      </c>
      <c r="O326" s="155">
        <f>+IF(OR($Q326=Parametres!$G$2,$Q326=Parametres!$G$3),J326,D326)</f>
        <v>220.28</v>
      </c>
      <c r="P326" s="155">
        <f>+IF(OR($Q326=Parametres!$G$2,$Q326=Parametres!$G$3),K326,E326)</f>
        <v>270.81</v>
      </c>
      <c r="Q326" s="154" t="str">
        <f t="shared" si="42"/>
        <v>7-Dépenses</v>
      </c>
      <c r="R326" s="153" t="str">
        <f t="shared" si="43"/>
        <v>6156</v>
      </c>
      <c r="S326" s="154">
        <f t="shared" si="44"/>
        <v>0</v>
      </c>
      <c r="T326" s="156" t="str">
        <f>+VLOOKUP($L326,Data_Validation!$A:$D,1,0)</f>
        <v>6256</v>
      </c>
      <c r="U326" s="156" t="str">
        <f>+VLOOKUP($L326,Data_Validation!$A:$D,3,0)</f>
        <v>Véhicules usagés</v>
      </c>
      <c r="V326" s="156" t="str">
        <f>+VLOOKUP($L326,Data_Validation!$A:$D,4,0)</f>
        <v>Frais de déplacement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4" t="s">
        <v>1308</v>
      </c>
      <c r="B327" s="1014" t="s">
        <v>2698</v>
      </c>
      <c r="C327" s="1016">
        <v>1678.92</v>
      </c>
      <c r="D327" s="1016">
        <v>850.06</v>
      </c>
      <c r="E327" s="1016">
        <v>2528.98</v>
      </c>
      <c r="F327" s="1014" t="s">
        <v>401</v>
      </c>
      <c r="G327" s="1014" t="s">
        <v>2662</v>
      </c>
      <c r="H327" s="150"/>
      <c r="I327" s="157"/>
      <c r="J327" s="157"/>
      <c r="K327" s="157"/>
      <c r="L327" s="153" t="str">
        <f t="shared" si="40"/>
        <v>6259</v>
      </c>
      <c r="M327" s="154" t="str">
        <f t="shared" si="41"/>
        <v>SERVICE EXTERIEUR</v>
      </c>
      <c r="N327" s="155">
        <f>+IF(OR($Q327=Parametres!$G$2,$Q327=Parametres!$G$3),I327,C327)</f>
        <v>1678.92</v>
      </c>
      <c r="O327" s="155">
        <f>+IF(OR($Q327=Parametres!$G$2,$Q327=Parametres!$G$3),J327,D327)</f>
        <v>850.06</v>
      </c>
      <c r="P327" s="155">
        <f>+IF(OR($Q327=Parametres!$G$2,$Q327=Parametres!$G$3),K327,E327)</f>
        <v>2528.98</v>
      </c>
      <c r="Q327" s="154" t="str">
        <f t="shared" si="42"/>
        <v>7-Dépenses</v>
      </c>
      <c r="R327" s="153" t="str">
        <f t="shared" si="43"/>
        <v>6159</v>
      </c>
      <c r="S327" s="154">
        <f t="shared" si="44"/>
        <v>0</v>
      </c>
      <c r="T327" s="156" t="str">
        <f>+VLOOKUP($L327,Data_Validation!$A:$D,1,0)</f>
        <v>6259</v>
      </c>
      <c r="U327" s="156" t="str">
        <f>+VLOOKUP($L327,Data_Validation!$A:$D,3,0)</f>
        <v>Véhicules usagés</v>
      </c>
      <c r="V327" s="156" t="str">
        <f>+VLOOKUP($L327,Data_Validation!$A:$D,4,0)</f>
        <v>Services extérieurs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4" t="s">
        <v>1333</v>
      </c>
      <c r="B328" s="1014" t="s">
        <v>2680</v>
      </c>
      <c r="C328" s="1016">
        <v>2200.08</v>
      </c>
      <c r="D328" s="1016">
        <v>1100.04</v>
      </c>
      <c r="E328" s="1016">
        <v>3300.12</v>
      </c>
      <c r="F328" s="1014" t="s">
        <v>401</v>
      </c>
      <c r="G328" s="1014" t="s">
        <v>2653</v>
      </c>
      <c r="H328" s="150"/>
      <c r="I328" s="151"/>
      <c r="J328" s="151"/>
      <c r="K328" s="151"/>
      <c r="L328" s="153" t="str">
        <f t="shared" si="40"/>
        <v>6261</v>
      </c>
      <c r="M328" s="154" t="str">
        <f t="shared" si="41"/>
        <v>DEPRECIATION EQUIP. &amp; FIXTURES</v>
      </c>
      <c r="N328" s="155">
        <f>+IF(OR($Q328=Parametres!$G$2,$Q328=Parametres!$G$3),I328,C328)</f>
        <v>2200.08</v>
      </c>
      <c r="O328" s="155">
        <f>+IF(OR($Q328=Parametres!$G$2,$Q328=Parametres!$G$3),J328,D328)</f>
        <v>1100.04</v>
      </c>
      <c r="P328" s="155">
        <f>+IF(OR($Q328=Parametres!$G$2,$Q328=Parametres!$G$3),K328,E328)</f>
        <v>3300.12</v>
      </c>
      <c r="Q328" s="154" t="str">
        <f t="shared" si="42"/>
        <v>7-Dépenses</v>
      </c>
      <c r="R328" s="153" t="str">
        <f t="shared" si="43"/>
        <v>6161</v>
      </c>
      <c r="S328" s="154">
        <f t="shared" si="44"/>
        <v>0</v>
      </c>
      <c r="T328" s="156" t="str">
        <f>+VLOOKUP($L328,Data_Validation!$A:$D,1,0)</f>
        <v>6261</v>
      </c>
      <c r="U328" s="156" t="str">
        <f>+VLOOKUP($L328,Data_Validation!$A:$D,3,0)</f>
        <v>Véhicules usagés</v>
      </c>
      <c r="V328" s="156" t="str">
        <f>+VLOOKUP($L328,Data_Validation!$A:$D,4,0)</f>
        <v>Amortissement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4" t="s">
        <v>1380</v>
      </c>
      <c r="B329" s="1014" t="s">
        <v>2633</v>
      </c>
      <c r="C329" s="1016">
        <v>658.63</v>
      </c>
      <c r="D329" s="1016">
        <v>833.38</v>
      </c>
      <c r="E329" s="1016">
        <v>1492.01</v>
      </c>
      <c r="F329" s="1014" t="s">
        <v>401</v>
      </c>
      <c r="G329" s="1014" t="s">
        <v>2604</v>
      </c>
      <c r="H329" s="150"/>
      <c r="I329" s="151"/>
      <c r="J329" s="151"/>
      <c r="K329" s="151"/>
      <c r="L329" s="153" t="str">
        <f t="shared" si="40"/>
        <v>6281</v>
      </c>
      <c r="M329" s="154" t="str">
        <f t="shared" si="41"/>
        <v>CHAUFFAGE,ELECTRICITE,EAU-USAGE</v>
      </c>
      <c r="N329" s="155">
        <f>+IF(OR($Q329=Parametres!$G$2,$Q329=Parametres!$G$3),I329,C329)</f>
        <v>658.63</v>
      </c>
      <c r="O329" s="155">
        <f>+IF(OR($Q329=Parametres!$G$2,$Q329=Parametres!$G$3),J329,D329)</f>
        <v>833.38</v>
      </c>
      <c r="P329" s="155">
        <f>+IF(OR($Q329=Parametres!$G$2,$Q329=Parametres!$G$3),K329,E329)</f>
        <v>1492.01</v>
      </c>
      <c r="Q329" s="154" t="str">
        <f t="shared" si="42"/>
        <v>7-Dépenses</v>
      </c>
      <c r="R329" s="153" t="str">
        <f t="shared" si="43"/>
        <v>6181</v>
      </c>
      <c r="S329" s="154">
        <f t="shared" si="44"/>
        <v>0</v>
      </c>
      <c r="T329" s="156" t="str">
        <f>+VLOOKUP($L329,Data_Validation!$A:$D,1,0)</f>
        <v>6281</v>
      </c>
      <c r="U329" s="156" t="str">
        <f>+VLOOKUP($L329,Data_Validation!$A:$D,3,0)</f>
        <v>Véhicules usagés</v>
      </c>
      <c r="V329" s="156" t="str">
        <f>+VLOOKUP($L329,Data_Validation!$A:$D,4,0)</f>
        <v>Chauffage, éclairage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4" t="s">
        <v>1462</v>
      </c>
      <c r="B330" s="1014" t="s">
        <v>2724</v>
      </c>
      <c r="C330" s="1016">
        <v>6240</v>
      </c>
      <c r="D330" s="1016">
        <v>3120</v>
      </c>
      <c r="E330" s="1016">
        <v>9360</v>
      </c>
      <c r="F330" s="1014" t="s">
        <v>401</v>
      </c>
      <c r="G330" s="1014" t="s">
        <v>2709</v>
      </c>
      <c r="H330" s="150"/>
      <c r="I330" s="157"/>
      <c r="J330" s="157"/>
      <c r="K330" s="157"/>
      <c r="L330" s="153" t="str">
        <f t="shared" si="40"/>
        <v>6282</v>
      </c>
      <c r="M330" s="154" t="str">
        <f t="shared" si="41"/>
        <v>LOYER - USAGE</v>
      </c>
      <c r="N330" s="155">
        <f>+IF(OR($Q330=Parametres!$G$2,$Q330=Parametres!$G$3),I330,C330)</f>
        <v>6240</v>
      </c>
      <c r="O330" s="155">
        <f>+IF(OR($Q330=Parametres!$G$2,$Q330=Parametres!$G$3),J330,D330)</f>
        <v>3120</v>
      </c>
      <c r="P330" s="155">
        <f>+IF(OR($Q330=Parametres!$G$2,$Q330=Parametres!$G$3),K330,E330)</f>
        <v>9360</v>
      </c>
      <c r="Q330" s="154" t="str">
        <f t="shared" si="42"/>
        <v>7-Dépenses</v>
      </c>
      <c r="R330" s="153" t="str">
        <f t="shared" si="43"/>
        <v>6182</v>
      </c>
      <c r="S330" s="154">
        <f t="shared" si="44"/>
        <v>0</v>
      </c>
      <c r="T330" s="156" t="str">
        <f>+VLOOKUP($L330,Data_Validation!$A:$D,1,0)</f>
        <v>6282</v>
      </c>
      <c r="U330" s="156" t="str">
        <f>+VLOOKUP($L330,Data_Validation!$A:$D,3,0)</f>
        <v>Véhicules usagés</v>
      </c>
      <c r="V330" s="156" t="str">
        <f>+VLOOKUP($L330,Data_Validation!$A:$D,4,0)</f>
        <v>Loyer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4" t="s">
        <v>1290</v>
      </c>
      <c r="B331" s="1014" t="s">
        <v>2615</v>
      </c>
      <c r="C331" s="1016">
        <v>889.94</v>
      </c>
      <c r="D331" s="1016">
        <v>444.97</v>
      </c>
      <c r="E331" s="1016">
        <v>1334.91</v>
      </c>
      <c r="F331" s="1014" t="s">
        <v>401</v>
      </c>
      <c r="G331" s="1014" t="s">
        <v>2594</v>
      </c>
      <c r="H331" s="150"/>
      <c r="I331" s="157"/>
      <c r="J331" s="157"/>
      <c r="K331" s="157"/>
      <c r="L331" s="153" t="str">
        <f t="shared" si="40"/>
        <v>6286</v>
      </c>
      <c r="M331" s="154" t="str">
        <f t="shared" si="41"/>
        <v>ASSURANCE BATISSE &amp; AMEL.-USAGE</v>
      </c>
      <c r="N331" s="155">
        <f>+IF(OR($Q331=Parametres!$G$2,$Q331=Parametres!$G$3),I331,C331)</f>
        <v>889.94</v>
      </c>
      <c r="O331" s="155">
        <f>+IF(OR($Q331=Parametres!$G$2,$Q331=Parametres!$G$3),J331,D331)</f>
        <v>444.97</v>
      </c>
      <c r="P331" s="155">
        <f>+IF(OR($Q331=Parametres!$G$2,$Q331=Parametres!$G$3),K331,E331)</f>
        <v>1334.91</v>
      </c>
      <c r="Q331" s="154" t="str">
        <f t="shared" si="42"/>
        <v>7-Dépenses</v>
      </c>
      <c r="R331" s="153" t="str">
        <f t="shared" si="43"/>
        <v>6186</v>
      </c>
      <c r="S331" s="154">
        <f t="shared" si="44"/>
        <v>0</v>
      </c>
      <c r="T331" s="156" t="str">
        <f>+VLOOKUP($L331,Data_Validation!$A:$D,1,0)</f>
        <v>6286</v>
      </c>
      <c r="U331" s="156" t="str">
        <f>+VLOOKUP($L331,Data_Validation!$A:$D,3,0)</f>
        <v>Véhicules usagés</v>
      </c>
      <c r="V331" s="156" t="str">
        <f>+VLOOKUP($L331,Data_Validation!$A:$D,4,0)</f>
        <v>Assurances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4" t="s">
        <v>1203</v>
      </c>
      <c r="B332" s="1014" t="s">
        <v>2651</v>
      </c>
      <c r="C332" s="1016">
        <v>1154.4000000000001</v>
      </c>
      <c r="D332" s="1016">
        <v>577.20000000000005</v>
      </c>
      <c r="E332" s="1016">
        <v>1731.6</v>
      </c>
      <c r="F332" s="1014" t="s">
        <v>401</v>
      </c>
      <c r="G332" s="1014" t="s">
        <v>2614</v>
      </c>
      <c r="H332" s="949"/>
      <c r="I332" s="948"/>
      <c r="J332" s="948"/>
      <c r="K332" s="948"/>
      <c r="L332" s="153" t="str">
        <f t="shared" si="40"/>
        <v>6287</v>
      </c>
      <c r="M332" s="154" t="str">
        <f t="shared" si="41"/>
        <v>TAXES FONCIERES - USAGE</v>
      </c>
      <c r="N332" s="155">
        <f>+IF(OR($Q332=Parametres!$G$2,$Q332=Parametres!$G$3),I332,C332)</f>
        <v>1154.4000000000001</v>
      </c>
      <c r="O332" s="155">
        <f>+IF(OR($Q332=Parametres!$G$2,$Q332=Parametres!$G$3),J332,D332)</f>
        <v>577.20000000000005</v>
      </c>
      <c r="P332" s="155">
        <f>+IF(OR($Q332=Parametres!$G$2,$Q332=Parametres!$G$3),K332,E332)</f>
        <v>1731.6</v>
      </c>
      <c r="Q332" s="154" t="str">
        <f t="shared" si="42"/>
        <v>7-Dépenses</v>
      </c>
      <c r="R332" s="153" t="str">
        <f t="shared" si="43"/>
        <v>6187</v>
      </c>
      <c r="S332" s="154">
        <f t="shared" si="44"/>
        <v>0</v>
      </c>
      <c r="T332" s="156" t="str">
        <f>+VLOOKUP($L332,Data_Validation!$A:$D,1,0)</f>
        <v>6287</v>
      </c>
      <c r="U332" s="156" t="str">
        <f>+VLOOKUP($L332,Data_Validation!$A:$D,3,0)</f>
        <v>Véhicules usagés</v>
      </c>
      <c r="V332" s="156" t="str">
        <f>+VLOOKUP($L332,Data_Validation!$A:$D,4,0)</f>
        <v>Taxes foncières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4" t="s">
        <v>1393</v>
      </c>
      <c r="B333" s="1014" t="s">
        <v>2620</v>
      </c>
      <c r="C333" s="1016">
        <v>768</v>
      </c>
      <c r="D333" s="1016">
        <v>384</v>
      </c>
      <c r="E333" s="1016">
        <v>1152</v>
      </c>
      <c r="F333" s="1014" t="s">
        <v>401</v>
      </c>
      <c r="G333" s="1014" t="s">
        <v>2597</v>
      </c>
      <c r="H333" s="150"/>
      <c r="I333" s="152"/>
      <c r="J333" s="152"/>
      <c r="K333" s="152"/>
      <c r="L333" s="153" t="str">
        <f t="shared" si="40"/>
        <v>6293</v>
      </c>
      <c r="M333" s="154" t="str">
        <f t="shared" si="41"/>
        <v>AUTRE TAXES - USAGES</v>
      </c>
      <c r="N333" s="155">
        <f>+IF(OR($Q333=Parametres!$G$2,$Q333=Parametres!$G$3),I333,C333)</f>
        <v>768</v>
      </c>
      <c r="O333" s="155">
        <f>+IF(OR($Q333=Parametres!$G$2,$Q333=Parametres!$G$3),J333,D333)</f>
        <v>384</v>
      </c>
      <c r="P333" s="155">
        <f>+IF(OR($Q333=Parametres!$G$2,$Q333=Parametres!$G$3),K333,E333)</f>
        <v>1152</v>
      </c>
      <c r="Q333" s="154" t="str">
        <f t="shared" si="42"/>
        <v>7-Dépenses</v>
      </c>
      <c r="R333" s="153" t="str">
        <f t="shared" si="43"/>
        <v>6193</v>
      </c>
      <c r="S333" s="154">
        <f t="shared" si="44"/>
        <v>0</v>
      </c>
      <c r="T333" s="156" t="str">
        <f>+VLOOKUP($L333,Data_Validation!$A:$D,1,0)</f>
        <v>6293</v>
      </c>
      <c r="U333" s="156" t="str">
        <f>+VLOOKUP($L333,Data_Validation!$A:$D,3,0)</f>
        <v>Véhicules usagés</v>
      </c>
      <c r="V333" s="156" t="str">
        <f>+VLOOKUP($L333,Data_Validation!$A:$D,4,0)</f>
        <v>Taxes d`affaires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4" t="s">
        <v>1318</v>
      </c>
      <c r="B334" s="1014" t="s">
        <v>2664</v>
      </c>
      <c r="C334" s="1016">
        <v>1492.12</v>
      </c>
      <c r="D334" s="1016">
        <v>746.06</v>
      </c>
      <c r="E334" s="1016">
        <v>2238.1799999999998</v>
      </c>
      <c r="F334" s="1014" t="s">
        <v>401</v>
      </c>
      <c r="G334" s="1014" t="s">
        <v>2635</v>
      </c>
      <c r="H334" s="150"/>
      <c r="I334" s="151"/>
      <c r="J334" s="151"/>
      <c r="K334" s="151"/>
      <c r="L334" s="153" t="str">
        <f t="shared" si="40"/>
        <v>6294</v>
      </c>
      <c r="M334" s="154" t="str">
        <f t="shared" si="41"/>
        <v>FRAIS PROFESSIONNEL-USAGE</v>
      </c>
      <c r="N334" s="155">
        <f>+IF(OR($Q334=Parametres!$G$2,$Q334=Parametres!$G$3),I334,C334)</f>
        <v>1492.12</v>
      </c>
      <c r="O334" s="155">
        <f>+IF(OR($Q334=Parametres!$G$2,$Q334=Parametres!$G$3),J334,D334)</f>
        <v>746.06</v>
      </c>
      <c r="P334" s="155">
        <f>+IF(OR($Q334=Parametres!$G$2,$Q334=Parametres!$G$3),K334,E334)</f>
        <v>2238.1799999999998</v>
      </c>
      <c r="Q334" s="154" t="str">
        <f t="shared" si="42"/>
        <v>7-Dépenses</v>
      </c>
      <c r="R334" s="153" t="str">
        <f t="shared" si="43"/>
        <v>6194</v>
      </c>
      <c r="S334" s="154">
        <f t="shared" si="44"/>
        <v>0</v>
      </c>
      <c r="T334" s="156" t="str">
        <f>+VLOOKUP($L334,Data_Validation!$A:$D,1,0)</f>
        <v>6294</v>
      </c>
      <c r="U334" s="156" t="str">
        <f>+VLOOKUP($L334,Data_Validation!$A:$D,3,0)</f>
        <v>Véhicules usagés</v>
      </c>
      <c r="V334" s="156" t="str">
        <f>+VLOOKUP($L334,Data_Validation!$A:$D,4,0)</f>
        <v>Honoraires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4" t="s">
        <v>1403</v>
      </c>
      <c r="B335" s="1014" t="s">
        <v>2743</v>
      </c>
      <c r="C335" s="1016">
        <v>2217.83</v>
      </c>
      <c r="D335" s="1016">
        <v>5381.04</v>
      </c>
      <c r="E335" s="1016">
        <v>7598.87</v>
      </c>
      <c r="F335" s="1014" t="s">
        <v>401</v>
      </c>
      <c r="G335" s="1014" t="s">
        <v>2467</v>
      </c>
      <c r="H335" s="150"/>
      <c r="I335" s="151"/>
      <c r="J335" s="151"/>
      <c r="K335" s="151"/>
      <c r="L335" s="153" t="str">
        <f t="shared" si="40"/>
        <v>6403</v>
      </c>
      <c r="M335" s="154" t="str">
        <f t="shared" si="41"/>
        <v>RELAT. A LA CLIENTELE &amp; AJUST</v>
      </c>
      <c r="N335" s="155">
        <f>+IF(OR($Q335=Parametres!$G$2,$Q335=Parametres!$G$3),I335,C335)</f>
        <v>2217.83</v>
      </c>
      <c r="O335" s="155">
        <f>+IF(OR($Q335=Parametres!$G$2,$Q335=Parametres!$G$3),J335,D335)</f>
        <v>5381.04</v>
      </c>
      <c r="P335" s="155">
        <f>+IF(OR($Q335=Parametres!$G$2,$Q335=Parametres!$G$3),K335,E335)</f>
        <v>7598.87</v>
      </c>
      <c r="Q335" s="154" t="str">
        <f t="shared" si="42"/>
        <v>7-Dépenses</v>
      </c>
      <c r="R335" s="153" t="str">
        <f t="shared" si="43"/>
        <v>6112</v>
      </c>
      <c r="S335" s="154">
        <f t="shared" si="44"/>
        <v>0</v>
      </c>
      <c r="T335" s="156" t="str">
        <f>+VLOOKUP($L335,Data_Validation!$A:$D,1,0)</f>
        <v>6403</v>
      </c>
      <c r="U335" s="156" t="str">
        <f>+VLOOKUP($L335,Data_Validation!$A:$D,3,0)</f>
        <v>Service</v>
      </c>
      <c r="V335" s="156" t="str">
        <f>+VLOOKUP($L335,Data_Validation!$A:$D,4,0)</f>
        <v>Service gratuit 2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4" t="s">
        <v>1450</v>
      </c>
      <c r="B336" s="1014" t="s">
        <v>2677</v>
      </c>
      <c r="C336" s="1016">
        <v>-74.58</v>
      </c>
      <c r="D336" s="1016">
        <v>205.41</v>
      </c>
      <c r="E336" s="1016">
        <v>130.83000000000001</v>
      </c>
      <c r="F336" s="1014" t="s">
        <v>401</v>
      </c>
      <c r="G336" s="1014" t="s">
        <v>2467</v>
      </c>
      <c r="H336" s="150"/>
      <c r="I336" s="151"/>
      <c r="J336" s="151"/>
      <c r="K336" s="151"/>
      <c r="L336" s="153" t="str">
        <f t="shared" si="40"/>
        <v>6412</v>
      </c>
      <c r="M336" s="154" t="str">
        <f t="shared" si="41"/>
        <v>AUTORISATION &amp; GAR./VEH. USA</v>
      </c>
      <c r="N336" s="155">
        <f>+IF(OR($Q336=Parametres!$G$2,$Q336=Parametres!$G$3),I336,C336)</f>
        <v>-74.58</v>
      </c>
      <c r="O336" s="155">
        <f>+IF(OR($Q336=Parametres!$G$2,$Q336=Parametres!$G$3),J336,D336)</f>
        <v>205.41</v>
      </c>
      <c r="P336" s="155">
        <f>+IF(OR($Q336=Parametres!$G$2,$Q336=Parametres!$G$3),K336,E336)</f>
        <v>130.83000000000001</v>
      </c>
      <c r="Q336" s="154" t="str">
        <f t="shared" si="42"/>
        <v>7-Dépenses</v>
      </c>
      <c r="R336" s="153" t="str">
        <f t="shared" si="43"/>
        <v>6112</v>
      </c>
      <c r="S336" s="154">
        <f t="shared" si="44"/>
        <v>0</v>
      </c>
      <c r="T336" s="156" t="str">
        <f>+VLOOKUP($L336,Data_Validation!$A:$D,1,0)</f>
        <v>6412</v>
      </c>
      <c r="U336" s="156" t="str">
        <f>+VLOOKUP($L336,Data_Validation!$A:$D,3,0)</f>
        <v>Service</v>
      </c>
      <c r="V336" s="156" t="str">
        <f>+VLOOKUP($L336,Data_Validation!$A:$D,4,0)</f>
        <v>Service gratuit 2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4" t="s">
        <v>1374</v>
      </c>
      <c r="B337" s="1014" t="s">
        <v>2714</v>
      </c>
      <c r="C337" s="1016">
        <v>13051.27</v>
      </c>
      <c r="D337" s="1016">
        <v>6647.43</v>
      </c>
      <c r="E337" s="1016">
        <v>19698.7</v>
      </c>
      <c r="F337" s="1014" t="s">
        <v>401</v>
      </c>
      <c r="G337" s="1014" t="s">
        <v>2113</v>
      </c>
      <c r="H337" s="150"/>
      <c r="I337" s="151"/>
      <c r="J337" s="151"/>
      <c r="K337" s="151"/>
      <c r="L337" s="153" t="str">
        <f t="shared" si="40"/>
        <v>6414</v>
      </c>
      <c r="M337" s="154" t="str">
        <f t="shared" si="41"/>
        <v>PUBLICITE</v>
      </c>
      <c r="N337" s="155">
        <f>+IF(OR($Q337=Parametres!$G$2,$Q337=Parametres!$G$3),I337,C337)</f>
        <v>13051.27</v>
      </c>
      <c r="O337" s="155">
        <f>+IF(OR($Q337=Parametres!$G$2,$Q337=Parametres!$G$3),J337,D337)</f>
        <v>6647.43</v>
      </c>
      <c r="P337" s="155">
        <f>+IF(OR($Q337=Parametres!$G$2,$Q337=Parametres!$G$3),K337,E337)</f>
        <v>19698.7</v>
      </c>
      <c r="Q337" s="154" t="str">
        <f t="shared" si="42"/>
        <v>7-Dépenses</v>
      </c>
      <c r="R337" s="153" t="str">
        <f t="shared" si="43"/>
        <v>6114</v>
      </c>
      <c r="S337" s="154">
        <f t="shared" si="44"/>
        <v>0</v>
      </c>
      <c r="T337" s="156" t="str">
        <f>+VLOOKUP($L337,Data_Validation!$A:$D,1,0)</f>
        <v>6414</v>
      </c>
      <c r="U337" s="156" t="str">
        <f>+VLOOKUP($L337,Data_Validation!$A:$D,3,0)</f>
        <v>Service</v>
      </c>
      <c r="V337" s="156" t="str">
        <f>+VLOOKUP($L337,Data_Validation!$A:$D,4,0)</f>
        <v>Publicité 2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4" t="s">
        <v>1259</v>
      </c>
      <c r="B338" s="1014" t="s">
        <v>2711</v>
      </c>
      <c r="C338" s="1016">
        <v>1400</v>
      </c>
      <c r="D338" s="1016">
        <v>700</v>
      </c>
      <c r="E338" s="1016">
        <v>2100</v>
      </c>
      <c r="F338" s="1014" t="s">
        <v>401</v>
      </c>
      <c r="G338" s="1014" t="s">
        <v>2648</v>
      </c>
      <c r="H338" s="150"/>
      <c r="I338" s="157"/>
      <c r="J338" s="157"/>
      <c r="K338" s="157"/>
      <c r="L338" s="153" t="str">
        <f t="shared" si="40"/>
        <v>6421</v>
      </c>
      <c r="M338" s="154" t="str">
        <f t="shared" si="41"/>
        <v>SALAIRES - PROPRIETAIRES</v>
      </c>
      <c r="N338" s="155">
        <f>+IF(OR($Q338=Parametres!$G$2,$Q338=Parametres!$G$3),I338,C338)</f>
        <v>1400</v>
      </c>
      <c r="O338" s="155">
        <f>+IF(OR($Q338=Parametres!$G$2,$Q338=Parametres!$G$3),J338,D338)</f>
        <v>700</v>
      </c>
      <c r="P338" s="155">
        <f>+IF(OR($Q338=Parametres!$G$2,$Q338=Parametres!$G$3),K338,E338)</f>
        <v>2100</v>
      </c>
      <c r="Q338" s="154" t="str">
        <f t="shared" si="42"/>
        <v>7-Dépenses</v>
      </c>
      <c r="R338" s="153" t="str">
        <f t="shared" si="43"/>
        <v>6121</v>
      </c>
      <c r="S338" s="154">
        <f t="shared" si="44"/>
        <v>0</v>
      </c>
      <c r="T338" s="156" t="str">
        <f>+VLOOKUP($L338,Data_Validation!$A:$D,1,0)</f>
        <v>6421</v>
      </c>
      <c r="U338" s="156" t="str">
        <f>+VLOOKUP($L338,Data_Validation!$A:$D,3,0)</f>
        <v>Service</v>
      </c>
      <c r="V338" s="156" t="str">
        <f>+VLOOKUP($L338,Data_Validation!$A:$D,4,0)</f>
        <v>Salaires propriétaire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4" t="s">
        <v>2624</v>
      </c>
      <c r="B339" s="1014" t="s">
        <v>2771</v>
      </c>
      <c r="C339" s="1016">
        <v>23258.36</v>
      </c>
      <c r="D339" s="1016">
        <v>7357.42</v>
      </c>
      <c r="E339" s="1016">
        <v>30615.78</v>
      </c>
      <c r="F339" s="1014" t="s">
        <v>401</v>
      </c>
      <c r="G339" s="1014" t="s">
        <v>2626</v>
      </c>
      <c r="H339" s="150"/>
      <c r="I339" s="151"/>
      <c r="J339" s="151"/>
      <c r="K339" s="151"/>
      <c r="L339" s="153" t="str">
        <f t="shared" si="40"/>
        <v>6422</v>
      </c>
      <c r="M339" s="154" t="str">
        <f t="shared" si="41"/>
        <v>SAL SUPERVISION / GERANT</v>
      </c>
      <c r="N339" s="155">
        <f>+IF(OR($Q339=Parametres!$G$2,$Q339=Parametres!$G$3),I339,C339)</f>
        <v>23258.36</v>
      </c>
      <c r="O339" s="155">
        <f>+IF(OR($Q339=Parametres!$G$2,$Q339=Parametres!$G$3),J339,D339)</f>
        <v>7357.42</v>
      </c>
      <c r="P339" s="155">
        <f>+IF(OR($Q339=Parametres!$G$2,$Q339=Parametres!$G$3),K339,E339)</f>
        <v>30615.78</v>
      </c>
      <c r="Q339" s="154" t="str">
        <f t="shared" si="42"/>
        <v>7-Dépenses</v>
      </c>
      <c r="R339" s="153" t="str">
        <f t="shared" si="43"/>
        <v>6122</v>
      </c>
      <c r="S339" s="154">
        <f t="shared" si="44"/>
        <v>0</v>
      </c>
      <c r="T339" s="156" t="str">
        <f>+VLOOKUP($L339,Data_Validation!$A:$D,1,0)</f>
        <v>6422</v>
      </c>
      <c r="U339" s="156" t="str">
        <f>+VLOOKUP($L339,Data_Validation!$A:$D,3,0)</f>
        <v>Service</v>
      </c>
      <c r="V339" s="156" t="str">
        <f>+VLOOKUP($L339,Data_Validation!$A:$D,4,0)</f>
        <v>Salaires cadres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4" t="s">
        <v>1266</v>
      </c>
      <c r="B340" s="1014" t="s">
        <v>2766</v>
      </c>
      <c r="C340" s="1016">
        <v>15274</v>
      </c>
      <c r="D340" s="1016">
        <v>7597.25</v>
      </c>
      <c r="E340" s="1016">
        <v>22871.25</v>
      </c>
      <c r="F340" s="1014" t="s">
        <v>401</v>
      </c>
      <c r="G340" s="1014" t="s">
        <v>2679</v>
      </c>
      <c r="H340" s="949"/>
      <c r="I340" s="949"/>
      <c r="J340" s="949"/>
      <c r="K340" s="949"/>
      <c r="L340" s="153" t="str">
        <f t="shared" si="40"/>
        <v>6423</v>
      </c>
      <c r="M340" s="154" t="str">
        <f t="shared" si="41"/>
        <v>SAL. &amp; RENUM. CLERICAL</v>
      </c>
      <c r="N340" s="155">
        <f>+IF(OR($Q340=Parametres!$G$2,$Q340=Parametres!$G$3),I340,C340)</f>
        <v>15274</v>
      </c>
      <c r="O340" s="155">
        <f>+IF(OR($Q340=Parametres!$G$2,$Q340=Parametres!$G$3),J340,D340)</f>
        <v>7597.25</v>
      </c>
      <c r="P340" s="155">
        <f>+IF(OR($Q340=Parametres!$G$2,$Q340=Parametres!$G$3),K340,E340)</f>
        <v>22871.25</v>
      </c>
      <c r="Q340" s="154" t="str">
        <f t="shared" si="42"/>
        <v>7-Dépenses</v>
      </c>
      <c r="R340" s="153" t="str">
        <f t="shared" si="43"/>
        <v>6123</v>
      </c>
      <c r="S340" s="154">
        <f t="shared" si="44"/>
        <v>0</v>
      </c>
      <c r="T340" s="156" t="str">
        <f>+VLOOKUP($L340,Data_Validation!$A:$D,1,0)</f>
        <v>6423</v>
      </c>
      <c r="U340" s="156" t="str">
        <f>+VLOOKUP($L340,Data_Validation!$A:$D,3,0)</f>
        <v>Service</v>
      </c>
      <c r="V340" s="156" t="str">
        <f>+VLOOKUP($L340,Data_Validation!$A:$D,4,0)</f>
        <v>Salaires commis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4" t="s">
        <v>1249</v>
      </c>
      <c r="B341" s="1014" t="s">
        <v>2805</v>
      </c>
      <c r="C341" s="1016">
        <v>24779.07</v>
      </c>
      <c r="D341" s="1016">
        <v>14700.04</v>
      </c>
      <c r="E341" s="1016">
        <v>39479.11</v>
      </c>
      <c r="F341" s="1014" t="s">
        <v>401</v>
      </c>
      <c r="G341" s="1014" t="s">
        <v>2735</v>
      </c>
      <c r="H341" s="150"/>
      <c r="I341" s="151"/>
      <c r="J341" s="151"/>
      <c r="K341" s="151"/>
      <c r="L341" s="153" t="str">
        <f t="shared" si="40"/>
        <v>6424</v>
      </c>
      <c r="M341" s="154" t="str">
        <f t="shared" si="41"/>
        <v>SALAIRES &amp; RENUM. - AUTRES</v>
      </c>
      <c r="N341" s="155">
        <f>+IF(OR($Q341=Parametres!$G$2,$Q341=Parametres!$G$3),I341,C341)</f>
        <v>24779.07</v>
      </c>
      <c r="O341" s="155">
        <f>+IF(OR($Q341=Parametres!$G$2,$Q341=Parametres!$G$3),J341,D341)</f>
        <v>14700.04</v>
      </c>
      <c r="P341" s="155">
        <f>+IF(OR($Q341=Parametres!$G$2,$Q341=Parametres!$G$3),K341,E341)</f>
        <v>39479.11</v>
      </c>
      <c r="Q341" s="154" t="str">
        <f t="shared" si="42"/>
        <v>7-Dépenses</v>
      </c>
      <c r="R341" s="153" t="str">
        <f t="shared" si="43"/>
        <v>6124</v>
      </c>
      <c r="S341" s="154">
        <f t="shared" si="44"/>
        <v>0</v>
      </c>
      <c r="T341" s="156" t="str">
        <f>+VLOOKUP($L341,Data_Validation!$A:$D,1,0)</f>
        <v>6424</v>
      </c>
      <c r="U341" s="156" t="str">
        <f>+VLOOKUP($L341,Data_Validation!$A:$D,3,0)</f>
        <v>Service</v>
      </c>
      <c r="V341" s="156" t="str">
        <f>+VLOOKUP($L341,Data_Validation!$A:$D,4,0)</f>
        <v>Salaires autres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4" t="s">
        <v>1330</v>
      </c>
      <c r="B342" s="1014" t="s">
        <v>2810</v>
      </c>
      <c r="C342" s="1016">
        <v>35838.300000000003</v>
      </c>
      <c r="D342" s="1016">
        <v>25430.05</v>
      </c>
      <c r="E342" s="1016">
        <v>61268.35</v>
      </c>
      <c r="F342" s="1014" t="s">
        <v>401</v>
      </c>
      <c r="G342" s="1014" t="s">
        <v>2721</v>
      </c>
      <c r="H342" s="150"/>
      <c r="I342" s="157"/>
      <c r="J342" s="157"/>
      <c r="K342" s="157"/>
      <c r="L342" s="153" t="str">
        <f t="shared" si="40"/>
        <v>6425</v>
      </c>
      <c r="M342" s="154" t="str">
        <f t="shared" si="41"/>
        <v>SALAIRE SPECIALISTES</v>
      </c>
      <c r="N342" s="155">
        <f>+IF(OR($Q342=Parametres!$G$2,$Q342=Parametres!$G$3),I342,C342)</f>
        <v>35838.300000000003</v>
      </c>
      <c r="O342" s="155">
        <f>+IF(OR($Q342=Parametres!$G$2,$Q342=Parametres!$G$3),J342,D342)</f>
        <v>25430.05</v>
      </c>
      <c r="P342" s="155">
        <f>+IF(OR($Q342=Parametres!$G$2,$Q342=Parametres!$G$3),K342,E342)</f>
        <v>61268.35</v>
      </c>
      <c r="Q342" s="154" t="str">
        <f t="shared" si="42"/>
        <v>7-Dépenses</v>
      </c>
      <c r="R342" s="153" t="str">
        <f t="shared" si="43"/>
        <v>6125</v>
      </c>
      <c r="S342" s="154">
        <f t="shared" si="44"/>
        <v>0</v>
      </c>
      <c r="T342" s="156" t="str">
        <f>+VLOOKUP($L342,Data_Validation!$A:$D,1,0)</f>
        <v>6425</v>
      </c>
      <c r="U342" s="156" t="str">
        <f>+VLOOKUP($L342,Data_Validation!$A:$D,3,0)</f>
        <v>Service</v>
      </c>
      <c r="V342" s="156" t="str">
        <f>+VLOOKUP($L342,Data_Validation!$A:$D,4,0)</f>
        <v>Salaires spécialistes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4" t="s">
        <v>1448</v>
      </c>
      <c r="B343" s="1014" t="s">
        <v>2793</v>
      </c>
      <c r="C343" s="1016">
        <v>22240.560000000001</v>
      </c>
      <c r="D343" s="1016">
        <v>17605.2</v>
      </c>
      <c r="E343" s="1016">
        <v>39845.760000000002</v>
      </c>
      <c r="F343" s="1014" t="s">
        <v>401</v>
      </c>
      <c r="G343" s="1014" t="s">
        <v>2641</v>
      </c>
      <c r="H343" s="150"/>
      <c r="I343" s="151"/>
      <c r="J343" s="151"/>
      <c r="K343" s="151"/>
      <c r="L343" s="153" t="str">
        <f t="shared" si="40"/>
        <v>6429</v>
      </c>
      <c r="M343" s="154" t="str">
        <f t="shared" si="41"/>
        <v>SAL.,VACANCE, &amp; SAL. JOURS FER</v>
      </c>
      <c r="N343" s="155">
        <f>+IF(OR($Q343=Parametres!$G$2,$Q343=Parametres!$G$3),I343,C343)</f>
        <v>22240.560000000001</v>
      </c>
      <c r="O343" s="155">
        <f>+IF(OR($Q343=Parametres!$G$2,$Q343=Parametres!$G$3),J343,D343)</f>
        <v>17605.2</v>
      </c>
      <c r="P343" s="155">
        <f>+IF(OR($Q343=Parametres!$G$2,$Q343=Parametres!$G$3),K343,E343)</f>
        <v>39845.760000000002</v>
      </c>
      <c r="Q343" s="154" t="str">
        <f t="shared" si="42"/>
        <v>7-Dépenses</v>
      </c>
      <c r="R343" s="153" t="str">
        <f t="shared" si="43"/>
        <v>6129</v>
      </c>
      <c r="S343" s="154">
        <f t="shared" si="44"/>
        <v>0</v>
      </c>
      <c r="T343" s="156" t="str">
        <f>+VLOOKUP($L343,Data_Validation!$A:$D,1,0)</f>
        <v>6429</v>
      </c>
      <c r="U343" s="156" t="str">
        <f>+VLOOKUP($L343,Data_Validation!$A:$D,3,0)</f>
        <v>Service</v>
      </c>
      <c r="V343" s="156" t="str">
        <f>+VLOOKUP($L343,Data_Validation!$A:$D,4,0)</f>
        <v>Salaires en absences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4" t="s">
        <v>1252</v>
      </c>
      <c r="B344" s="1014" t="s">
        <v>2732</v>
      </c>
      <c r="C344" s="1016">
        <v>1986.71</v>
      </c>
      <c r="D344" s="1016">
        <v>4846</v>
      </c>
      <c r="E344" s="1016">
        <v>6832.71</v>
      </c>
      <c r="F344" s="1014" t="s">
        <v>401</v>
      </c>
      <c r="G344" s="1014" t="s">
        <v>2586</v>
      </c>
      <c r="H344" s="150"/>
      <c r="I344" s="151"/>
      <c r="J344" s="151"/>
      <c r="K344" s="151"/>
      <c r="L344" s="153" t="str">
        <f t="shared" si="40"/>
        <v>6431</v>
      </c>
      <c r="M344" s="154" t="str">
        <f t="shared" si="41"/>
        <v>CSST</v>
      </c>
      <c r="N344" s="155">
        <f>+IF(OR($Q344=Parametres!$G$2,$Q344=Parametres!$G$3),I344,C344)</f>
        <v>1986.71</v>
      </c>
      <c r="O344" s="155">
        <f>+IF(OR($Q344=Parametres!$G$2,$Q344=Parametres!$G$3),J344,D344)</f>
        <v>4846</v>
      </c>
      <c r="P344" s="155">
        <f>+IF(OR($Q344=Parametres!$G$2,$Q344=Parametres!$G$3),K344,E344)</f>
        <v>6832.71</v>
      </c>
      <c r="Q344" s="154" t="str">
        <f t="shared" si="42"/>
        <v>7-Dépenses</v>
      </c>
      <c r="R344" s="153" t="str">
        <f t="shared" si="43"/>
        <v>6131</v>
      </c>
      <c r="S344" s="154">
        <f t="shared" si="44"/>
        <v>0</v>
      </c>
      <c r="T344" s="156" t="str">
        <f>+VLOOKUP($L344,Data_Validation!$A:$D,1,0)</f>
        <v>6431</v>
      </c>
      <c r="U344" s="156" t="str">
        <f>+VLOOKUP($L344,Data_Validation!$A:$D,3,0)</f>
        <v>Service</v>
      </c>
      <c r="V344" s="156" t="str">
        <f>+VLOOKUP($L344,Data_Validation!$A:$D,4,0)</f>
        <v>Csst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4" t="s">
        <v>1283</v>
      </c>
      <c r="B345" s="1014" t="s">
        <v>2779</v>
      </c>
      <c r="C345" s="1016">
        <v>26103.14</v>
      </c>
      <c r="D345" s="1016">
        <v>14893.12</v>
      </c>
      <c r="E345" s="1016">
        <v>40996.26</v>
      </c>
      <c r="F345" s="1014" t="s">
        <v>401</v>
      </c>
      <c r="G345" s="1014" t="s">
        <v>2685</v>
      </c>
      <c r="H345" s="150"/>
      <c r="I345" s="151"/>
      <c r="J345" s="151"/>
      <c r="K345" s="151"/>
      <c r="L345" s="153" t="str">
        <f t="shared" si="40"/>
        <v>6432</v>
      </c>
      <c r="M345" s="154" t="str">
        <f t="shared" si="41"/>
        <v>RRQ RAMQ AC</v>
      </c>
      <c r="N345" s="155">
        <f>+IF(OR($Q345=Parametres!$G$2,$Q345=Parametres!$G$3),I345,C345)</f>
        <v>26103.14</v>
      </c>
      <c r="O345" s="155">
        <f>+IF(OR($Q345=Parametres!$G$2,$Q345=Parametres!$G$3),J345,D345)</f>
        <v>14893.12</v>
      </c>
      <c r="P345" s="155">
        <f>+IF(OR($Q345=Parametres!$G$2,$Q345=Parametres!$G$3),K345,E345)</f>
        <v>40996.26</v>
      </c>
      <c r="Q345" s="154" t="str">
        <f t="shared" si="42"/>
        <v>7-Dépenses</v>
      </c>
      <c r="R345" s="153" t="str">
        <f t="shared" si="43"/>
        <v>6132</v>
      </c>
      <c r="S345" s="154">
        <f t="shared" si="44"/>
        <v>0</v>
      </c>
      <c r="T345" s="156" t="str">
        <f>+VLOOKUP($L345,Data_Validation!$A:$D,1,0)</f>
        <v>6432</v>
      </c>
      <c r="U345" s="156" t="str">
        <f>+VLOOKUP($L345,Data_Validation!$A:$D,3,0)</f>
        <v>Service</v>
      </c>
      <c r="V345" s="156" t="str">
        <f>+VLOOKUP($L345,Data_Validation!$A:$D,4,0)</f>
        <v>Déduction à la source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4" t="s">
        <v>1220</v>
      </c>
      <c r="B346" s="1014" t="s">
        <v>2608</v>
      </c>
      <c r="C346" s="1016">
        <v>406.45</v>
      </c>
      <c r="D346" s="1016">
        <v>250.1</v>
      </c>
      <c r="E346" s="1016">
        <v>656.55</v>
      </c>
      <c r="F346" s="1014" t="s">
        <v>401</v>
      </c>
      <c r="G346" s="1014" t="s">
        <v>2579</v>
      </c>
      <c r="H346" s="150"/>
      <c r="I346" s="151"/>
      <c r="J346" s="151"/>
      <c r="K346" s="151"/>
      <c r="L346" s="153" t="str">
        <f t="shared" si="40"/>
        <v>6433</v>
      </c>
      <c r="M346" s="154" t="str">
        <f t="shared" si="41"/>
        <v>FOND PENSION - SERVICE</v>
      </c>
      <c r="N346" s="155">
        <f>+IF(OR($Q346=Parametres!$G$2,$Q346=Parametres!$G$3),I346,C346)</f>
        <v>406.45</v>
      </c>
      <c r="O346" s="155">
        <f>+IF(OR($Q346=Parametres!$G$2,$Q346=Parametres!$G$3),J346,D346)</f>
        <v>250.1</v>
      </c>
      <c r="P346" s="155">
        <f>+IF(OR($Q346=Parametres!$G$2,$Q346=Parametres!$G$3),K346,E346)</f>
        <v>656.55</v>
      </c>
      <c r="Q346" s="154" t="str">
        <f t="shared" si="42"/>
        <v>7-Dépenses</v>
      </c>
      <c r="R346" s="153" t="str">
        <f t="shared" si="43"/>
        <v>6133</v>
      </c>
      <c r="S346" s="154">
        <f t="shared" si="44"/>
        <v>0</v>
      </c>
      <c r="T346" s="156" t="str">
        <f>+VLOOKUP($L346,Data_Validation!$A:$D,1,0)</f>
        <v>6433</v>
      </c>
      <c r="U346" s="156" t="str">
        <f>+VLOOKUP($L346,Data_Validation!$A:$D,3,0)</f>
        <v>Service</v>
      </c>
      <c r="V346" s="156" t="str">
        <f>+VLOOKUP($L346,Data_Validation!$A:$D,4,0)</f>
        <v>Bénéfices marginaux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4" t="s">
        <v>1305</v>
      </c>
      <c r="B347" s="1014" t="s">
        <v>2742</v>
      </c>
      <c r="C347" s="1016">
        <v>8638.52</v>
      </c>
      <c r="D347" s="1016">
        <v>20085.580000000002</v>
      </c>
      <c r="E347" s="1016">
        <v>28724.1</v>
      </c>
      <c r="F347" s="1014" t="s">
        <v>401</v>
      </c>
      <c r="G347" s="1014" t="s">
        <v>2694</v>
      </c>
      <c r="H347" s="150"/>
      <c r="I347" s="157"/>
      <c r="J347" s="157"/>
      <c r="K347" s="157"/>
      <c r="L347" s="153" t="str">
        <f t="shared" si="40"/>
        <v>6439</v>
      </c>
      <c r="M347" s="154" t="str">
        <f t="shared" si="41"/>
        <v>ASSURANCE GROUPE</v>
      </c>
      <c r="N347" s="155">
        <f>+IF(OR($Q347=Parametres!$G$2,$Q347=Parametres!$G$3),I347,C347)</f>
        <v>8638.52</v>
      </c>
      <c r="O347" s="155">
        <f>+IF(OR($Q347=Parametres!$G$2,$Q347=Parametres!$G$3),J347,D347)</f>
        <v>20085.580000000002</v>
      </c>
      <c r="P347" s="155">
        <f>+IF(OR($Q347=Parametres!$G$2,$Q347=Parametres!$G$3),K347,E347)</f>
        <v>28724.1</v>
      </c>
      <c r="Q347" s="154" t="str">
        <f t="shared" si="42"/>
        <v>7-Dépenses</v>
      </c>
      <c r="R347" s="153" t="str">
        <f t="shared" si="43"/>
        <v>6139</v>
      </c>
      <c r="S347" s="154">
        <f t="shared" si="44"/>
        <v>0</v>
      </c>
      <c r="T347" s="156" t="str">
        <f>+VLOOKUP($L347,Data_Validation!$A:$D,1,0)</f>
        <v>6439</v>
      </c>
      <c r="U347" s="156" t="str">
        <f>+VLOOKUP($L347,Data_Validation!$A:$D,3,0)</f>
        <v>Service</v>
      </c>
      <c r="V347" s="156" t="str">
        <f>+VLOOKUP($L347,Data_Validation!$A:$D,4,0)</f>
        <v>Bénéfices marginaux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4" t="s">
        <v>1157</v>
      </c>
      <c r="B348" s="1014" t="s">
        <v>2655</v>
      </c>
      <c r="C348" s="1016">
        <v>3194.57</v>
      </c>
      <c r="D348" s="1016">
        <v>726.3</v>
      </c>
      <c r="E348" s="1016">
        <v>3920.87</v>
      </c>
      <c r="F348" s="1014" t="s">
        <v>401</v>
      </c>
      <c r="G348" s="1014" t="s">
        <v>2563</v>
      </c>
      <c r="H348" s="150"/>
      <c r="I348" s="152"/>
      <c r="J348" s="152"/>
      <c r="K348" s="152"/>
      <c r="L348" s="153" t="str">
        <f t="shared" si="40"/>
        <v>6442</v>
      </c>
      <c r="M348" s="154" t="str">
        <f t="shared" si="41"/>
        <v>FOURNITURES &amp; PETITS OUTILS</v>
      </c>
      <c r="N348" s="155">
        <f>+IF(OR($Q348=Parametres!$G$2,$Q348=Parametres!$G$3),I348,C348)</f>
        <v>3194.57</v>
      </c>
      <c r="O348" s="155">
        <f>+IF(OR($Q348=Parametres!$G$2,$Q348=Parametres!$G$3),J348,D348)</f>
        <v>726.3</v>
      </c>
      <c r="P348" s="155">
        <f>+IF(OR($Q348=Parametres!$G$2,$Q348=Parametres!$G$3),K348,E348)</f>
        <v>3920.87</v>
      </c>
      <c r="Q348" s="154" t="str">
        <f t="shared" si="42"/>
        <v>7-Dépenses</v>
      </c>
      <c r="R348" s="153" t="str">
        <f t="shared" si="43"/>
        <v>6142</v>
      </c>
      <c r="S348" s="154">
        <f t="shared" si="44"/>
        <v>0</v>
      </c>
      <c r="T348" s="156" t="str">
        <f>+VLOOKUP($L348,Data_Validation!$A:$D,1,0)</f>
        <v>6442</v>
      </c>
      <c r="U348" s="156" t="str">
        <f>+VLOOKUP($L348,Data_Validation!$A:$D,3,0)</f>
        <v>Service</v>
      </c>
      <c r="V348" s="156" t="str">
        <f>+VLOOKUP($L348,Data_Validation!$A:$D,4,0)</f>
        <v>Fournitures autres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4" t="s">
        <v>932</v>
      </c>
      <c r="B349" s="1014" t="s">
        <v>2158</v>
      </c>
      <c r="C349" s="1016">
        <v>1236.49</v>
      </c>
      <c r="D349" s="1016">
        <v>844.55</v>
      </c>
      <c r="E349" s="1016">
        <v>2081.04</v>
      </c>
      <c r="F349" s="1014" t="s">
        <v>401</v>
      </c>
      <c r="G349" s="1014" t="s">
        <v>2159</v>
      </c>
      <c r="H349" s="150"/>
      <c r="I349" s="151"/>
      <c r="J349" s="151"/>
      <c r="K349" s="151"/>
      <c r="L349" s="153" t="str">
        <f t="shared" si="40"/>
        <v>6443</v>
      </c>
      <c r="M349" s="154" t="str">
        <f t="shared" si="41"/>
        <v>UNIFORMES &amp; LESSIVE</v>
      </c>
      <c r="N349" s="155">
        <f>+IF(OR($Q349=Parametres!$G$2,$Q349=Parametres!$G$3),I349,C349)</f>
        <v>1236.49</v>
      </c>
      <c r="O349" s="155">
        <f>+IF(OR($Q349=Parametres!$G$2,$Q349=Parametres!$G$3),J349,D349)</f>
        <v>844.55</v>
      </c>
      <c r="P349" s="155">
        <f>+IF(OR($Q349=Parametres!$G$2,$Q349=Parametres!$G$3),K349,E349)</f>
        <v>2081.04</v>
      </c>
      <c r="Q349" s="154" t="str">
        <f t="shared" si="42"/>
        <v>7-Dépenses</v>
      </c>
      <c r="R349" s="153" t="str">
        <f t="shared" si="43"/>
        <v>6143</v>
      </c>
      <c r="S349" s="154">
        <f t="shared" si="44"/>
        <v>0</v>
      </c>
      <c r="T349" s="156" t="str">
        <f>+VLOOKUP($L349,Data_Validation!$A:$D,1,0)</f>
        <v>6443</v>
      </c>
      <c r="U349" s="156" t="str">
        <f>+VLOOKUP($L349,Data_Validation!$A:$D,3,0)</f>
        <v>Service</v>
      </c>
      <c r="V349" s="156" t="str">
        <f>+VLOOKUP($L349,Data_Validation!$A:$D,4,0)</f>
        <v>Uniformes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4" t="s">
        <v>934</v>
      </c>
      <c r="B350" s="1014" t="s">
        <v>2572</v>
      </c>
      <c r="C350" s="1016">
        <v>1725.61</v>
      </c>
      <c r="D350" s="1016">
        <v>1565.09</v>
      </c>
      <c r="E350" s="1016">
        <v>3290.7</v>
      </c>
      <c r="F350" s="1014" t="s">
        <v>401</v>
      </c>
      <c r="G350" s="1014" t="s">
        <v>2561</v>
      </c>
      <c r="H350" s="150"/>
      <c r="I350" s="152"/>
      <c r="J350" s="152"/>
      <c r="K350" s="152"/>
      <c r="L350" s="153" t="str">
        <f t="shared" si="40"/>
        <v>6444</v>
      </c>
      <c r="M350" s="154" t="str">
        <f t="shared" si="41"/>
        <v>FORMATION</v>
      </c>
      <c r="N350" s="155">
        <f>+IF(OR($Q350=Parametres!$G$2,$Q350=Parametres!$G$3),I350,C350)</f>
        <v>1725.61</v>
      </c>
      <c r="O350" s="577">
        <f>+IF(OR($Q350=Parametres!$G$2,$Q350=Parametres!$G$3),J350,D350)</f>
        <v>1565.09</v>
      </c>
      <c r="P350" s="155">
        <f>+IF(OR($Q350=Parametres!$G$2,$Q350=Parametres!$G$3),K350,E350)</f>
        <v>3290.7</v>
      </c>
      <c r="Q350" s="154" t="str">
        <f t="shared" si="42"/>
        <v>7-Dépenses</v>
      </c>
      <c r="R350" s="153" t="str">
        <f t="shared" si="43"/>
        <v>6144</v>
      </c>
      <c r="S350" s="154">
        <f t="shared" si="44"/>
        <v>0</v>
      </c>
      <c r="T350" s="156" t="str">
        <f>+VLOOKUP($L350,Data_Validation!$A:$D,1,0)</f>
        <v>6444</v>
      </c>
      <c r="U350" s="156" t="str">
        <f>+VLOOKUP($L350,Data_Validation!$A:$D,3,0)</f>
        <v>Service</v>
      </c>
      <c r="V350" s="156" t="str">
        <f>+VLOOKUP($L350,Data_Validation!$A:$D,4,0)</f>
        <v>Formation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4" t="s">
        <v>1527</v>
      </c>
      <c r="B351" s="1014" t="s">
        <v>2801</v>
      </c>
      <c r="C351" s="1016">
        <v>24962.89</v>
      </c>
      <c r="D351" s="1016">
        <v>17414.099999999999</v>
      </c>
      <c r="E351" s="1016">
        <v>42376.99</v>
      </c>
      <c r="F351" s="1014" t="s">
        <v>401</v>
      </c>
      <c r="G351" s="1014" t="s">
        <v>2632</v>
      </c>
      <c r="H351" s="150"/>
      <c r="I351" s="157"/>
      <c r="J351" s="157"/>
      <c r="K351" s="157"/>
      <c r="L351" s="153" t="str">
        <f t="shared" si="40"/>
        <v>6445</v>
      </c>
      <c r="M351" s="154" t="str">
        <f t="shared" si="41"/>
        <v>LOCATION COURTOISIE</v>
      </c>
      <c r="N351" s="155">
        <f>+IF(OR($Q351=Parametres!$G$2,$Q351=Parametres!$G$3),I351,C351)</f>
        <v>24962.89</v>
      </c>
      <c r="O351" s="155">
        <f>+IF(OR($Q351=Parametres!$G$2,$Q351=Parametres!$G$3),J351,D351)</f>
        <v>17414.099999999999</v>
      </c>
      <c r="P351" s="155">
        <f>+IF(OR($Q351=Parametres!$G$2,$Q351=Parametres!$G$3),K351,E351)</f>
        <v>42376.99</v>
      </c>
      <c r="Q351" s="154" t="str">
        <f t="shared" si="42"/>
        <v>7-Dépenses</v>
      </c>
      <c r="R351" s="153" t="str">
        <f t="shared" si="43"/>
        <v>6145</v>
      </c>
      <c r="S351" s="154">
        <f t="shared" si="44"/>
        <v>0</v>
      </c>
      <c r="T351" s="156" t="str">
        <f>+VLOOKUP($L351,Data_Validation!$A:$D,1,0)</f>
        <v>6445</v>
      </c>
      <c r="U351" s="156" t="str">
        <f>+VLOOKUP($L351,Data_Validation!$A:$D,3,0)</f>
        <v>Service</v>
      </c>
      <c r="V351" s="156" t="str">
        <f>+VLOOKUP($L351,Data_Validation!$A:$D,4,0)</f>
        <v>Frais véhicules de cie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4" t="s">
        <v>1180</v>
      </c>
      <c r="B352" s="1014" t="s">
        <v>2609</v>
      </c>
      <c r="C352" s="1016">
        <v>117.96</v>
      </c>
      <c r="D352" s="1016">
        <v>103.76</v>
      </c>
      <c r="E352" s="1016">
        <v>221.72</v>
      </c>
      <c r="F352" s="1014" t="s">
        <v>401</v>
      </c>
      <c r="G352" s="1014" t="s">
        <v>2581</v>
      </c>
      <c r="H352" s="150"/>
      <c r="I352" s="151"/>
      <c r="J352" s="151"/>
      <c r="K352" s="151"/>
      <c r="L352" s="153" t="str">
        <f t="shared" si="40"/>
        <v>6447</v>
      </c>
      <c r="M352" s="154" t="str">
        <f t="shared" si="41"/>
        <v>FRET/EXPRESS/TRANS. PAR CAMION</v>
      </c>
      <c r="N352" s="155">
        <f>+IF(OR($Q352=Parametres!$G$2,$Q352=Parametres!$G$3),I352,C352)</f>
        <v>117.96</v>
      </c>
      <c r="O352" s="155">
        <f>+IF(OR($Q352=Parametres!$G$2,$Q352=Parametres!$G$3),J352,D352)</f>
        <v>103.76</v>
      </c>
      <c r="P352" s="155">
        <f>+IF(OR($Q352=Parametres!$G$2,$Q352=Parametres!$G$3),K352,E352)</f>
        <v>221.72</v>
      </c>
      <c r="Q352" s="154" t="str">
        <f t="shared" si="42"/>
        <v>7-Dépenses</v>
      </c>
      <c r="R352" s="153" t="str">
        <f t="shared" si="43"/>
        <v>6147</v>
      </c>
      <c r="S352" s="154">
        <f t="shared" si="44"/>
        <v>0</v>
      </c>
      <c r="T352" s="156" t="str">
        <f>+VLOOKUP($L352,Data_Validation!$A:$D,1,0)</f>
        <v>6447</v>
      </c>
      <c r="U352" s="156" t="str">
        <f>+VLOOKUP($L352,Data_Validation!$A:$D,3,0)</f>
        <v>Service</v>
      </c>
      <c r="V352" s="156" t="str">
        <f>+VLOOKUP($L352,Data_Validation!$A:$D,4,0)</f>
        <v>Frais postaux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4" t="s">
        <v>1286</v>
      </c>
      <c r="B353" s="1014" t="s">
        <v>2745</v>
      </c>
      <c r="C353" s="1016">
        <v>7780.62</v>
      </c>
      <c r="D353" s="1016">
        <v>4134.6099999999997</v>
      </c>
      <c r="E353" s="1016">
        <v>11915.23</v>
      </c>
      <c r="F353" s="1014" t="s">
        <v>401</v>
      </c>
      <c r="G353" s="1014" t="s">
        <v>2702</v>
      </c>
      <c r="H353" s="949"/>
      <c r="I353" s="948"/>
      <c r="J353" s="948"/>
      <c r="K353" s="948"/>
      <c r="L353" s="153" t="str">
        <f t="shared" si="40"/>
        <v>6451</v>
      </c>
      <c r="M353" s="154" t="str">
        <f t="shared" si="41"/>
        <v>DEP. DU TRAITEMENT DES DONNEES</v>
      </c>
      <c r="N353" s="155">
        <f>+IF(OR($Q353=Parametres!$G$2,$Q353=Parametres!$G$3),I353,C353)</f>
        <v>7780.62</v>
      </c>
      <c r="O353" s="155">
        <f>+IF(OR($Q353=Parametres!$G$2,$Q353=Parametres!$G$3),J353,D353)</f>
        <v>4134.6099999999997</v>
      </c>
      <c r="P353" s="155">
        <f>+IF(OR($Q353=Parametres!$G$2,$Q353=Parametres!$G$3),K353,E353)</f>
        <v>11915.23</v>
      </c>
      <c r="Q353" s="154" t="str">
        <f t="shared" si="42"/>
        <v>7-Dépenses</v>
      </c>
      <c r="R353" s="153" t="str">
        <f t="shared" si="43"/>
        <v>6151</v>
      </c>
      <c r="S353" s="154">
        <f t="shared" si="44"/>
        <v>0</v>
      </c>
      <c r="T353" s="156" t="str">
        <f>+VLOOKUP($L353,Data_Validation!$A:$D,1,0)</f>
        <v>6451</v>
      </c>
      <c r="U353" s="156" t="str">
        <f>+VLOOKUP($L353,Data_Validation!$A:$D,3,0)</f>
        <v>Service</v>
      </c>
      <c r="V353" s="156" t="str">
        <f>+VLOOKUP($L353,Data_Validation!$A:$D,4,0)</f>
        <v>Informatique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4" t="s">
        <v>1206</v>
      </c>
      <c r="B354" s="1014" t="s">
        <v>2644</v>
      </c>
      <c r="C354" s="1016">
        <v>567.85</v>
      </c>
      <c r="D354" s="1016">
        <v>289.43</v>
      </c>
      <c r="E354" s="1016">
        <v>857.28</v>
      </c>
      <c r="F354" s="1014" t="s">
        <v>401</v>
      </c>
      <c r="G354" s="1014" t="s">
        <v>2588</v>
      </c>
      <c r="H354" s="150"/>
      <c r="I354" s="157"/>
      <c r="J354" s="157"/>
      <c r="K354" s="157"/>
      <c r="L354" s="153" t="str">
        <f t="shared" si="40"/>
        <v>6452</v>
      </c>
      <c r="M354" s="154" t="str">
        <f t="shared" si="41"/>
        <v>PAPETERIE</v>
      </c>
      <c r="N354" s="155">
        <f>+IF(OR($Q354=Parametres!$G$2,$Q354=Parametres!$G$3),I354,C354)</f>
        <v>567.85</v>
      </c>
      <c r="O354" s="155">
        <f>+IF(OR($Q354=Parametres!$G$2,$Q354=Parametres!$G$3),J354,D354)</f>
        <v>289.43</v>
      </c>
      <c r="P354" s="155">
        <f>+IF(OR($Q354=Parametres!$G$2,$Q354=Parametres!$G$3),K354,E354)</f>
        <v>857.28</v>
      </c>
      <c r="Q354" s="154" t="str">
        <f t="shared" si="42"/>
        <v>7-Dépenses</v>
      </c>
      <c r="R354" s="153" t="str">
        <f t="shared" si="43"/>
        <v>6152</v>
      </c>
      <c r="S354" s="154">
        <f t="shared" si="44"/>
        <v>0</v>
      </c>
      <c r="T354" s="156" t="str">
        <f>+VLOOKUP($L354,Data_Validation!$A:$D,1,0)</f>
        <v>6452</v>
      </c>
      <c r="U354" s="156" t="str">
        <f>+VLOOKUP($L354,Data_Validation!$A:$D,3,0)</f>
        <v>Service</v>
      </c>
      <c r="V354" s="156" t="str">
        <f>+VLOOKUP($L354,Data_Validation!$A:$D,4,0)</f>
        <v>Papeterie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4" t="s">
        <v>1154</v>
      </c>
      <c r="B355" s="1014" t="s">
        <v>2645</v>
      </c>
      <c r="C355" s="1016">
        <v>721.36</v>
      </c>
      <c r="D355" s="1016">
        <v>250.47</v>
      </c>
      <c r="E355" s="1016">
        <v>971.83</v>
      </c>
      <c r="F355" s="1014" t="s">
        <v>401</v>
      </c>
      <c r="G355" s="1014" t="s">
        <v>2592</v>
      </c>
      <c r="H355" s="150"/>
      <c r="I355" s="157"/>
      <c r="J355" s="157"/>
      <c r="K355" s="157"/>
      <c r="L355" s="153" t="str">
        <f t="shared" si="40"/>
        <v>6453</v>
      </c>
      <c r="M355" s="154" t="str">
        <f t="shared" si="41"/>
        <v>TELEPHONE ET TELEX</v>
      </c>
      <c r="N355" s="155">
        <f>+IF(OR($Q355=Parametres!$G$2,$Q355=Parametres!$G$3),I355,C355)</f>
        <v>721.36</v>
      </c>
      <c r="O355" s="575">
        <f>+IF(OR($Q355=Parametres!$G$2,$Q355=Parametres!$G$3),J355,D355)</f>
        <v>250.47</v>
      </c>
      <c r="P355" s="155">
        <f>+IF(OR($Q355=Parametres!$G$2,$Q355=Parametres!$G$3),K355,E355)</f>
        <v>971.83</v>
      </c>
      <c r="Q355" s="154" t="str">
        <f t="shared" si="42"/>
        <v>7-Dépenses</v>
      </c>
      <c r="R355" s="153" t="str">
        <f t="shared" si="43"/>
        <v>6153</v>
      </c>
      <c r="S355" s="154">
        <f t="shared" si="44"/>
        <v>0</v>
      </c>
      <c r="T355" s="156" t="str">
        <f>+VLOOKUP($L355,Data_Validation!$A:$D,1,0)</f>
        <v>6453</v>
      </c>
      <c r="U355" s="156" t="str">
        <f>+VLOOKUP($L355,Data_Validation!$A:$D,3,0)</f>
        <v>Service</v>
      </c>
      <c r="V355" s="156" t="str">
        <f>+VLOOKUP($L355,Data_Validation!$A:$D,4,0)</f>
        <v>Téléphone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4" t="s">
        <v>1237</v>
      </c>
      <c r="B356" s="1014" t="s">
        <v>2700</v>
      </c>
      <c r="C356" s="1016">
        <v>478.81</v>
      </c>
      <c r="D356" s="1016">
        <v>1428.94</v>
      </c>
      <c r="E356" s="1016">
        <v>1907.75</v>
      </c>
      <c r="F356" s="1014" t="s">
        <v>401</v>
      </c>
      <c r="G356" s="1014" t="s">
        <v>2637</v>
      </c>
      <c r="H356" s="949"/>
      <c r="I356" s="948"/>
      <c r="J356" s="948"/>
      <c r="K356" s="948"/>
      <c r="L356" s="153" t="str">
        <f t="shared" si="40"/>
        <v>6455</v>
      </c>
      <c r="M356" s="154" t="str">
        <f t="shared" si="41"/>
        <v>DEPENSES DIVERS</v>
      </c>
      <c r="N356" s="155">
        <f>+IF(OR($Q356=Parametres!$G$2,$Q356=Parametres!$G$3),I356,C356)</f>
        <v>478.81</v>
      </c>
      <c r="O356" s="155">
        <f>+IF(OR($Q356=Parametres!$G$2,$Q356=Parametres!$G$3),J356,D356)</f>
        <v>1428.94</v>
      </c>
      <c r="P356" s="155">
        <f>+IF(OR($Q356=Parametres!$G$2,$Q356=Parametres!$G$3),K356,E356)</f>
        <v>1907.75</v>
      </c>
      <c r="Q356" s="154" t="str">
        <f t="shared" si="42"/>
        <v>7-Dépenses</v>
      </c>
      <c r="R356" s="153" t="str">
        <f t="shared" si="43"/>
        <v>6155</v>
      </c>
      <c r="S356" s="154">
        <f t="shared" si="44"/>
        <v>0</v>
      </c>
      <c r="T356" s="156" t="str">
        <f>+VLOOKUP($L356,Data_Validation!$A:$D,1,0)</f>
        <v>6455</v>
      </c>
      <c r="U356" s="156" t="str">
        <f>+VLOOKUP($L356,Data_Validation!$A:$D,3,0)</f>
        <v>Service</v>
      </c>
      <c r="V356" s="156" t="str">
        <f>+VLOOKUP($L356,Data_Validation!$A:$D,4,0)</f>
        <v>Divers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4" t="s">
        <v>1292</v>
      </c>
      <c r="B357" s="1014" t="s">
        <v>2656</v>
      </c>
      <c r="C357" s="1016">
        <v>101.06</v>
      </c>
      <c r="D357" s="1016">
        <v>440.54</v>
      </c>
      <c r="E357" s="1016">
        <v>541.6</v>
      </c>
      <c r="F357" s="1014" t="s">
        <v>401</v>
      </c>
      <c r="G357" s="1014" t="s">
        <v>2470</v>
      </c>
      <c r="H357" s="150"/>
      <c r="I357" s="151"/>
      <c r="J357" s="151"/>
      <c r="K357" s="151"/>
      <c r="L357" s="153" t="str">
        <f t="shared" si="40"/>
        <v>6456</v>
      </c>
      <c r="M357" s="154" t="str">
        <f t="shared" si="41"/>
        <v>FRAIS REPRESENTATION - SERVICE</v>
      </c>
      <c r="N357" s="155">
        <f>+IF(OR($Q357=Parametres!$G$2,$Q357=Parametres!$G$3),I357,C357)</f>
        <v>101.06</v>
      </c>
      <c r="O357" s="155">
        <f>+IF(OR($Q357=Parametres!$G$2,$Q357=Parametres!$G$3),J357,D357)</f>
        <v>440.54</v>
      </c>
      <c r="P357" s="155">
        <f>+IF(OR($Q357=Parametres!$G$2,$Q357=Parametres!$G$3),K357,E357)</f>
        <v>541.6</v>
      </c>
      <c r="Q357" s="154" t="str">
        <f t="shared" si="42"/>
        <v>7-Dépenses</v>
      </c>
      <c r="R357" s="153" t="str">
        <f t="shared" si="43"/>
        <v>6156</v>
      </c>
      <c r="S357" s="154">
        <f t="shared" si="44"/>
        <v>0</v>
      </c>
      <c r="T357" s="156" t="str">
        <f>+VLOOKUP($L357,Data_Validation!$A:$D,1,0)</f>
        <v>6456</v>
      </c>
      <c r="U357" s="156" t="str">
        <f>+VLOOKUP($L357,Data_Validation!$A:$D,3,0)</f>
        <v>Service</v>
      </c>
      <c r="V357" s="156" t="str">
        <f>+VLOOKUP($L357,Data_Validation!$A:$D,4,0)</f>
        <v>Frais de déplacement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4" t="s">
        <v>1308</v>
      </c>
      <c r="B358" s="1014" t="s">
        <v>2736</v>
      </c>
      <c r="C358" s="1016">
        <v>3357.9</v>
      </c>
      <c r="D358" s="1016">
        <v>1700.11</v>
      </c>
      <c r="E358" s="1016">
        <v>5058.01</v>
      </c>
      <c r="F358" s="1014" t="s">
        <v>401</v>
      </c>
      <c r="G358" s="1014" t="s">
        <v>2662</v>
      </c>
      <c r="H358" s="150"/>
      <c r="I358" s="151"/>
      <c r="J358" s="151"/>
      <c r="K358" s="151"/>
      <c r="L358" s="153" t="str">
        <f t="shared" si="40"/>
        <v>6459</v>
      </c>
      <c r="M358" s="154" t="str">
        <f t="shared" si="41"/>
        <v>SERVICE EXTERIEUR</v>
      </c>
      <c r="N358" s="155">
        <f>+IF(OR($Q358=Parametres!$G$2,$Q358=Parametres!$G$3),I358,C358)</f>
        <v>3357.9</v>
      </c>
      <c r="O358" s="155">
        <f>+IF(OR($Q358=Parametres!$G$2,$Q358=Parametres!$G$3),J358,D358)</f>
        <v>1700.11</v>
      </c>
      <c r="P358" s="155">
        <f>+IF(OR($Q358=Parametres!$G$2,$Q358=Parametres!$G$3),K358,E358)</f>
        <v>5058.01</v>
      </c>
      <c r="Q358" s="154" t="str">
        <f t="shared" si="42"/>
        <v>7-Dépenses</v>
      </c>
      <c r="R358" s="153" t="str">
        <f t="shared" si="43"/>
        <v>6159</v>
      </c>
      <c r="S358" s="154">
        <f t="shared" si="44"/>
        <v>0</v>
      </c>
      <c r="T358" s="156" t="str">
        <f>+VLOOKUP($L358,Data_Validation!$A:$D,1,0)</f>
        <v>6459</v>
      </c>
      <c r="U358" s="156" t="str">
        <f>+VLOOKUP($L358,Data_Validation!$A:$D,3,0)</f>
        <v>Service</v>
      </c>
      <c r="V358" s="156" t="str">
        <f>+VLOOKUP($L358,Data_Validation!$A:$D,4,0)</f>
        <v>Services extérieurs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4" t="s">
        <v>1333</v>
      </c>
      <c r="B359" s="1014" t="s">
        <v>2716</v>
      </c>
      <c r="C359" s="1016">
        <v>4400.16</v>
      </c>
      <c r="D359" s="1016">
        <v>2200.08</v>
      </c>
      <c r="E359" s="1016">
        <v>6600.24</v>
      </c>
      <c r="F359" s="1014" t="s">
        <v>401</v>
      </c>
      <c r="G359" s="1014" t="s">
        <v>2653</v>
      </c>
      <c r="H359" s="150"/>
      <c r="I359" s="151"/>
      <c r="J359" s="151"/>
      <c r="K359" s="151"/>
      <c r="L359" s="153" t="str">
        <f t="shared" si="40"/>
        <v>6461</v>
      </c>
      <c r="M359" s="154" t="str">
        <f t="shared" si="41"/>
        <v>DEPRECIATION EQUIP. &amp; FIXTURES</v>
      </c>
      <c r="N359" s="155">
        <f>+IF(OR($Q359=Parametres!$G$2,$Q359=Parametres!$G$3),I359,C359)</f>
        <v>4400.16</v>
      </c>
      <c r="O359" s="155">
        <f>+IF(OR($Q359=Parametres!$G$2,$Q359=Parametres!$G$3),J359,D359)</f>
        <v>2200.08</v>
      </c>
      <c r="P359" s="155">
        <f>+IF(OR($Q359=Parametres!$G$2,$Q359=Parametres!$G$3),K359,E359)</f>
        <v>6600.24</v>
      </c>
      <c r="Q359" s="154" t="str">
        <f t="shared" si="42"/>
        <v>7-Dépenses</v>
      </c>
      <c r="R359" s="153" t="str">
        <f t="shared" si="43"/>
        <v>6161</v>
      </c>
      <c r="S359" s="154">
        <f t="shared" si="44"/>
        <v>0</v>
      </c>
      <c r="T359" s="156" t="str">
        <f>+VLOOKUP($L359,Data_Validation!$A:$D,1,0)</f>
        <v>6461</v>
      </c>
      <c r="U359" s="156" t="str">
        <f>+VLOOKUP($L359,Data_Validation!$A:$D,3,0)</f>
        <v>Service</v>
      </c>
      <c r="V359" s="156" t="str">
        <f>+VLOOKUP($L359,Data_Validation!$A:$D,4,0)</f>
        <v>Amortissement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4" t="s">
        <v>1168</v>
      </c>
      <c r="B360" s="1014" t="s">
        <v>2638</v>
      </c>
      <c r="C360" s="1016">
        <v>2275.67</v>
      </c>
      <c r="D360" s="1016">
        <v>756.45</v>
      </c>
      <c r="E360" s="1016">
        <v>3032.12</v>
      </c>
      <c r="F360" s="1014" t="s">
        <v>401</v>
      </c>
      <c r="G360" s="1014" t="s">
        <v>2639</v>
      </c>
      <c r="H360" s="150"/>
      <c r="I360" s="157"/>
      <c r="J360" s="157"/>
      <c r="K360" s="157"/>
      <c r="L360" s="153" t="str">
        <f t="shared" si="40"/>
        <v>6463</v>
      </c>
      <c r="M360" s="154" t="str">
        <f t="shared" si="41"/>
        <v>REPARATION &amp; ENT. - EQUIP.</v>
      </c>
      <c r="N360" s="155">
        <f>+IF(OR($Q360=Parametres!$G$2,$Q360=Parametres!$G$3),I360,C360)</f>
        <v>2275.67</v>
      </c>
      <c r="O360" s="155">
        <f>+IF(OR($Q360=Parametres!$G$2,$Q360=Parametres!$G$3),J360,D360)</f>
        <v>756.45</v>
      </c>
      <c r="P360" s="155">
        <f>+IF(OR($Q360=Parametres!$G$2,$Q360=Parametres!$G$3),K360,E360)</f>
        <v>3032.12</v>
      </c>
      <c r="Q360" s="154" t="str">
        <f t="shared" si="42"/>
        <v>7-Dépenses</v>
      </c>
      <c r="R360" s="153" t="str">
        <f t="shared" si="43"/>
        <v>6163</v>
      </c>
      <c r="S360" s="154">
        <f t="shared" si="44"/>
        <v>0</v>
      </c>
      <c r="T360" s="156" t="str">
        <f>+VLOOKUP($L360,Data_Validation!$A:$D,1,0)</f>
        <v>6463</v>
      </c>
      <c r="U360" s="156" t="str">
        <f>+VLOOKUP($L360,Data_Validation!$A:$D,3,0)</f>
        <v>Service</v>
      </c>
      <c r="V360" s="156" t="str">
        <f>+VLOOKUP($L360,Data_Validation!$A:$D,4,0)</f>
        <v>Réparation équipement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4" t="s">
        <v>1311</v>
      </c>
      <c r="B361" s="1014" t="s">
        <v>2670</v>
      </c>
      <c r="C361" s="1016">
        <v>1317.23</v>
      </c>
      <c r="D361" s="1016">
        <v>1666.77</v>
      </c>
      <c r="E361" s="1016">
        <v>2984</v>
      </c>
      <c r="F361" s="1014" t="s">
        <v>401</v>
      </c>
      <c r="G361" s="1014" t="s">
        <v>2604</v>
      </c>
      <c r="H361" s="150"/>
      <c r="I361" s="151"/>
      <c r="J361" s="151"/>
      <c r="K361" s="151"/>
      <c r="L361" s="153" t="str">
        <f t="shared" si="40"/>
        <v>6481</v>
      </c>
      <c r="M361" s="154" t="str">
        <f t="shared" si="41"/>
        <v>CHAUFFAGE,ELECTRICITE,EAU-SERVICE</v>
      </c>
      <c r="N361" s="155">
        <f>+IF(OR($Q361=Parametres!$G$2,$Q361=Parametres!$G$3),I361,C361)</f>
        <v>1317.23</v>
      </c>
      <c r="O361" s="155">
        <f>+IF(OR($Q361=Parametres!$G$2,$Q361=Parametres!$G$3),J361,D361)</f>
        <v>1666.77</v>
      </c>
      <c r="P361" s="155">
        <f>+IF(OR($Q361=Parametres!$G$2,$Q361=Parametres!$G$3),K361,E361)</f>
        <v>2984</v>
      </c>
      <c r="Q361" s="154" t="str">
        <f t="shared" si="42"/>
        <v>7-Dépenses</v>
      </c>
      <c r="R361" s="153" t="str">
        <f t="shared" si="43"/>
        <v>6181</v>
      </c>
      <c r="S361" s="154">
        <f t="shared" si="44"/>
        <v>0</v>
      </c>
      <c r="T361" s="156" t="str">
        <f>+VLOOKUP($L361,Data_Validation!$A:$D,1,0)</f>
        <v>6481</v>
      </c>
      <c r="U361" s="156" t="str">
        <f>+VLOOKUP($L361,Data_Validation!$A:$D,3,0)</f>
        <v>Service</v>
      </c>
      <c r="V361" s="156" t="str">
        <f>+VLOOKUP($L361,Data_Validation!$A:$D,4,0)</f>
        <v>Chauffage, éclairage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4" t="s">
        <v>1452</v>
      </c>
      <c r="B362" s="1014" t="s">
        <v>2756</v>
      </c>
      <c r="C362" s="1016">
        <v>12480</v>
      </c>
      <c r="D362" s="1016">
        <v>6240</v>
      </c>
      <c r="E362" s="1016">
        <v>18720</v>
      </c>
      <c r="F362" s="1014" t="s">
        <v>401</v>
      </c>
      <c r="G362" s="1014" t="s">
        <v>2709</v>
      </c>
      <c r="H362" s="150"/>
      <c r="I362" s="151"/>
      <c r="J362" s="151"/>
      <c r="K362" s="151"/>
      <c r="L362" s="153" t="str">
        <f t="shared" si="40"/>
        <v>6482</v>
      </c>
      <c r="M362" s="154" t="str">
        <f t="shared" si="41"/>
        <v>LOYER - SERVICE</v>
      </c>
      <c r="N362" s="155">
        <f>+IF(OR($Q362=Parametres!$G$2,$Q362=Parametres!$G$3),I362,C362)</f>
        <v>12480</v>
      </c>
      <c r="O362" s="155">
        <f>+IF(OR($Q362=Parametres!$G$2,$Q362=Parametres!$G$3),J362,D362)</f>
        <v>6240</v>
      </c>
      <c r="P362" s="155">
        <f>+IF(OR($Q362=Parametres!$G$2,$Q362=Parametres!$G$3),K362,E362)</f>
        <v>18720</v>
      </c>
      <c r="Q362" s="154" t="str">
        <f t="shared" si="42"/>
        <v>7-Dépenses</v>
      </c>
      <c r="R362" s="153" t="str">
        <f t="shared" si="43"/>
        <v>6182</v>
      </c>
      <c r="S362" s="154">
        <f t="shared" si="44"/>
        <v>0</v>
      </c>
      <c r="T362" s="156" t="str">
        <f>+VLOOKUP($L362,Data_Validation!$A:$D,1,0)</f>
        <v>6482</v>
      </c>
      <c r="U362" s="156" t="str">
        <f>+VLOOKUP($L362,Data_Validation!$A:$D,3,0)</f>
        <v>Service</v>
      </c>
      <c r="V362" s="156" t="str">
        <f>+VLOOKUP($L362,Data_Validation!$A:$D,4,0)</f>
        <v>Loyer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4" t="s">
        <v>1347</v>
      </c>
      <c r="B363" s="1014" t="s">
        <v>2657</v>
      </c>
      <c r="C363" s="1016">
        <v>1779.9</v>
      </c>
      <c r="D363" s="1016">
        <v>889.95</v>
      </c>
      <c r="E363" s="1016">
        <v>2669.85</v>
      </c>
      <c r="F363" s="1014" t="s">
        <v>401</v>
      </c>
      <c r="G363" s="1014" t="s">
        <v>2594</v>
      </c>
      <c r="H363" s="150"/>
      <c r="I363" s="151"/>
      <c r="J363" s="151"/>
      <c r="K363" s="151"/>
      <c r="L363" s="153" t="str">
        <f t="shared" si="40"/>
        <v>6486</v>
      </c>
      <c r="M363" s="154" t="str">
        <f t="shared" si="41"/>
        <v>ASSURANCE BATISSE &amp; AMEL.-SERVICE</v>
      </c>
      <c r="N363" s="155">
        <f>+IF(OR($Q363=Parametres!$G$2,$Q363=Parametres!$G$3),I363,C363)</f>
        <v>1779.9</v>
      </c>
      <c r="O363" s="155">
        <f>+IF(OR($Q363=Parametres!$G$2,$Q363=Parametres!$G$3),J363,D363)</f>
        <v>889.95</v>
      </c>
      <c r="P363" s="155">
        <f>+IF(OR($Q363=Parametres!$G$2,$Q363=Parametres!$G$3),K363,E363)</f>
        <v>2669.85</v>
      </c>
      <c r="Q363" s="154" t="str">
        <f t="shared" si="42"/>
        <v>7-Dépenses</v>
      </c>
      <c r="R363" s="153" t="str">
        <f t="shared" si="43"/>
        <v>6186</v>
      </c>
      <c r="S363" s="154">
        <f t="shared" si="44"/>
        <v>0</v>
      </c>
      <c r="T363" s="156" t="str">
        <f>+VLOOKUP($L363,Data_Validation!$A:$D,1,0)</f>
        <v>6486</v>
      </c>
      <c r="U363" s="156" t="str">
        <f>+VLOOKUP($L363,Data_Validation!$A:$D,3,0)</f>
        <v>Service</v>
      </c>
      <c r="V363" s="156" t="str">
        <f>+VLOOKUP($L363,Data_Validation!$A:$D,4,0)</f>
        <v>Assurances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4" t="s">
        <v>1340</v>
      </c>
      <c r="B364" s="1014" t="s">
        <v>2681</v>
      </c>
      <c r="C364" s="1016">
        <v>2308.8000000000002</v>
      </c>
      <c r="D364" s="1016">
        <v>1154.4000000000001</v>
      </c>
      <c r="E364" s="1016">
        <v>3463.2</v>
      </c>
      <c r="F364" s="1014" t="s">
        <v>401</v>
      </c>
      <c r="G364" s="1014" t="s">
        <v>2614</v>
      </c>
      <c r="H364" s="150"/>
      <c r="I364" s="151"/>
      <c r="J364" s="151"/>
      <c r="K364" s="151"/>
      <c r="L364" s="153" t="str">
        <f t="shared" si="40"/>
        <v>6487</v>
      </c>
      <c r="M364" s="154" t="str">
        <f t="shared" si="41"/>
        <v>TAXES FONCIERES - SERVICE</v>
      </c>
      <c r="N364" s="155">
        <f>+IF(OR($Q364=Parametres!$G$2,$Q364=Parametres!$G$3),I364,C364)</f>
        <v>2308.8000000000002</v>
      </c>
      <c r="O364" s="155">
        <f>+IF(OR($Q364=Parametres!$G$2,$Q364=Parametres!$G$3),J364,D364)</f>
        <v>1154.4000000000001</v>
      </c>
      <c r="P364" s="155">
        <f>+IF(OR($Q364=Parametres!$G$2,$Q364=Parametres!$G$3),K364,E364)</f>
        <v>3463.2</v>
      </c>
      <c r="Q364" s="154" t="str">
        <f t="shared" si="42"/>
        <v>7-Dépenses</v>
      </c>
      <c r="R364" s="153" t="str">
        <f t="shared" si="43"/>
        <v>6187</v>
      </c>
      <c r="S364" s="154">
        <f t="shared" si="44"/>
        <v>0</v>
      </c>
      <c r="T364" s="156" t="str">
        <f>+VLOOKUP($L364,Data_Validation!$A:$D,1,0)</f>
        <v>6487</v>
      </c>
      <c r="U364" s="156" t="str">
        <f>+VLOOKUP($L364,Data_Validation!$A:$D,3,0)</f>
        <v>Service</v>
      </c>
      <c r="V364" s="156" t="str">
        <f>+VLOOKUP($L364,Data_Validation!$A:$D,4,0)</f>
        <v>Taxes foncières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4" t="s">
        <v>1274</v>
      </c>
      <c r="B365" s="1014" t="s">
        <v>2663</v>
      </c>
      <c r="C365" s="1016">
        <v>1536</v>
      </c>
      <c r="D365" s="1016">
        <v>768</v>
      </c>
      <c r="E365" s="1016">
        <v>2304</v>
      </c>
      <c r="F365" s="1014" t="s">
        <v>401</v>
      </c>
      <c r="G365" s="1014" t="s">
        <v>2597</v>
      </c>
      <c r="H365" s="949"/>
      <c r="I365" s="948"/>
      <c r="J365" s="948"/>
      <c r="K365" s="948"/>
      <c r="L365" s="153" t="str">
        <f t="shared" si="40"/>
        <v>6493</v>
      </c>
      <c r="M365" s="154" t="str">
        <f t="shared" si="41"/>
        <v>AUTRE TAXES-SERVICE</v>
      </c>
      <c r="N365" s="155">
        <f>+IF(OR($Q365=Parametres!$G$2,$Q365=Parametres!$G$3),I365,C365)</f>
        <v>1536</v>
      </c>
      <c r="O365" s="155">
        <f>+IF(OR($Q365=Parametres!$G$2,$Q365=Parametres!$G$3),J365,D365)</f>
        <v>768</v>
      </c>
      <c r="P365" s="155">
        <f>+IF(OR($Q365=Parametres!$G$2,$Q365=Parametres!$G$3),K365,E365)</f>
        <v>2304</v>
      </c>
      <c r="Q365" s="154" t="str">
        <f t="shared" si="42"/>
        <v>7-Dépenses</v>
      </c>
      <c r="R365" s="153" t="str">
        <f t="shared" si="43"/>
        <v>6193</v>
      </c>
      <c r="S365" s="154">
        <f t="shared" si="44"/>
        <v>0</v>
      </c>
      <c r="T365" s="156" t="str">
        <f>+VLOOKUP($L365,Data_Validation!$A:$D,1,0)</f>
        <v>6493</v>
      </c>
      <c r="U365" s="156" t="str">
        <f>+VLOOKUP($L365,Data_Validation!$A:$D,3,0)</f>
        <v>Service</v>
      </c>
      <c r="V365" s="156" t="str">
        <f>+VLOOKUP($L365,Data_Validation!$A:$D,4,0)</f>
        <v>Taxes d`affaires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4" t="s">
        <v>1367</v>
      </c>
      <c r="B366" s="1014" t="s">
        <v>2699</v>
      </c>
      <c r="C366" s="1016">
        <v>2984.2</v>
      </c>
      <c r="D366" s="1016">
        <v>1492.1</v>
      </c>
      <c r="E366" s="1016">
        <v>4476.3</v>
      </c>
      <c r="F366" s="1014" t="s">
        <v>401</v>
      </c>
      <c r="G366" s="1014" t="s">
        <v>2635</v>
      </c>
      <c r="H366" s="949"/>
      <c r="I366" s="949"/>
      <c r="J366" s="949"/>
      <c r="K366" s="949"/>
      <c r="L366" s="153" t="str">
        <f t="shared" si="40"/>
        <v>6494</v>
      </c>
      <c r="M366" s="154" t="str">
        <f t="shared" si="41"/>
        <v>FRAIS PROFESSIONNEL-SERVICE</v>
      </c>
      <c r="N366" s="155">
        <f>+IF(OR($Q366=Parametres!$G$2,$Q366=Parametres!$G$3),I366,C366)</f>
        <v>2984.2</v>
      </c>
      <c r="O366" s="575">
        <f>+IF(OR($Q366=Parametres!$G$2,$Q366=Parametres!$G$3),J366,D366)</f>
        <v>1492.1</v>
      </c>
      <c r="P366" s="155">
        <f>+IF(OR($Q366=Parametres!$G$2,$Q366=Parametres!$G$3),K366,E366)</f>
        <v>4476.3</v>
      </c>
      <c r="Q366" s="154" t="str">
        <f t="shared" si="42"/>
        <v>7-Dépenses</v>
      </c>
      <c r="R366" s="153" t="str">
        <f t="shared" si="43"/>
        <v>6194</v>
      </c>
      <c r="S366" s="154">
        <f t="shared" si="44"/>
        <v>0</v>
      </c>
      <c r="T366" s="156" t="str">
        <f>+VLOOKUP($L366,Data_Validation!$A:$D,1,0)</f>
        <v>6494</v>
      </c>
      <c r="U366" s="156" t="str">
        <f>+VLOOKUP($L366,Data_Validation!$A:$D,3,0)</f>
        <v>Service</v>
      </c>
      <c r="V366" s="156" t="str">
        <f>+VLOOKUP($L366,Data_Validation!$A:$D,4,0)</f>
        <v>Honoraires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4" t="s">
        <v>399</v>
      </c>
      <c r="B367" s="1014" t="s">
        <v>2627</v>
      </c>
      <c r="C367" s="1016">
        <v>-332.17</v>
      </c>
      <c r="D367" s="1016">
        <v>180.5</v>
      </c>
      <c r="E367" s="1016">
        <v>-151.66999999999999</v>
      </c>
      <c r="F367" s="1014" t="s">
        <v>401</v>
      </c>
      <c r="G367" s="1014" t="s">
        <v>2467</v>
      </c>
      <c r="H367" s="949"/>
      <c r="I367" s="949"/>
      <c r="J367" s="949"/>
      <c r="K367" s="949"/>
      <c r="L367" s="153" t="str">
        <f t="shared" si="40"/>
        <v>6503</v>
      </c>
      <c r="M367" s="154" t="str">
        <f t="shared" si="41"/>
        <v>RELAT. A LA CLIENTELE &amp; AJUST.</v>
      </c>
      <c r="N367" s="155">
        <f>+IF(OR($Q367=Parametres!$G$2,$Q367=Parametres!$G$3),I367,C367)</f>
        <v>-332.17</v>
      </c>
      <c r="O367" s="155">
        <f>+IF(OR($Q367=Parametres!$G$2,$Q367=Parametres!$G$3),J367,D367)</f>
        <v>180.5</v>
      </c>
      <c r="P367" s="155">
        <f>+IF(OR($Q367=Parametres!$G$2,$Q367=Parametres!$G$3),K367,E367)</f>
        <v>-151.66999999999999</v>
      </c>
      <c r="Q367" s="154" t="str">
        <f t="shared" si="42"/>
        <v>7-Dépenses</v>
      </c>
      <c r="R367" s="153" t="str">
        <f t="shared" si="43"/>
        <v>6112</v>
      </c>
      <c r="S367" s="154">
        <f t="shared" si="44"/>
        <v>0</v>
      </c>
      <c r="T367" s="156" t="str">
        <f>+VLOOKUP($L367,Data_Validation!$A:$D,1,0)</f>
        <v>6503</v>
      </c>
      <c r="U367" s="156" t="str">
        <f>+VLOOKUP($L367,Data_Validation!$A:$D,3,0)</f>
        <v>Carrosserie</v>
      </c>
      <c r="V367" s="156" t="str">
        <f>+VLOOKUP($L367,Data_Validation!$A:$D,4,0)</f>
        <v>Service gratuit 2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4" t="s">
        <v>1374</v>
      </c>
      <c r="B368" s="1014" t="s">
        <v>2559</v>
      </c>
      <c r="C368" s="1016">
        <v>100.17</v>
      </c>
      <c r="D368" s="1016">
        <v>7.0000000000000007E-2</v>
      </c>
      <c r="E368" s="1016">
        <v>100.24</v>
      </c>
      <c r="F368" s="1014" t="s">
        <v>401</v>
      </c>
      <c r="G368" s="1014" t="s">
        <v>2113</v>
      </c>
      <c r="H368" s="949"/>
      <c r="I368" s="949"/>
      <c r="J368" s="949"/>
      <c r="K368" s="949"/>
      <c r="L368" s="153" t="str">
        <f t="shared" si="40"/>
        <v>6514</v>
      </c>
      <c r="M368" s="154" t="str">
        <f t="shared" si="41"/>
        <v>PUBLICITE</v>
      </c>
      <c r="N368" s="155">
        <f>+IF(OR($Q368=Parametres!$G$2,$Q368=Parametres!$G$3),I368,C368)</f>
        <v>100.17</v>
      </c>
      <c r="O368" s="575">
        <f>+IF(OR($Q368=Parametres!$G$2,$Q368=Parametres!$G$3),J368,D368)</f>
        <v>7.0000000000000007E-2</v>
      </c>
      <c r="P368" s="155">
        <f>+IF(OR($Q368=Parametres!$G$2,$Q368=Parametres!$G$3),K368,E368)</f>
        <v>100.24</v>
      </c>
      <c r="Q368" s="154" t="str">
        <f t="shared" si="42"/>
        <v>7-Dépenses</v>
      </c>
      <c r="R368" s="153" t="str">
        <f t="shared" si="43"/>
        <v>6114</v>
      </c>
      <c r="S368" s="154">
        <f t="shared" si="44"/>
        <v>0</v>
      </c>
      <c r="T368" s="156" t="str">
        <f>+VLOOKUP($L368,Data_Validation!$A:$D,1,0)</f>
        <v>6514</v>
      </c>
      <c r="U368" s="156" t="str">
        <f>+VLOOKUP($L368,Data_Validation!$A:$D,3,0)</f>
        <v>Carrosserie</v>
      </c>
      <c r="V368" s="156" t="str">
        <f>+VLOOKUP($L368,Data_Validation!$A:$D,4,0)</f>
        <v>Publicité 2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4" t="s">
        <v>1259</v>
      </c>
      <c r="B369" s="1014" t="s">
        <v>2647</v>
      </c>
      <c r="C369" s="1016">
        <v>408.34</v>
      </c>
      <c r="D369" s="1016">
        <v>204.17</v>
      </c>
      <c r="E369" s="1016">
        <v>612.51</v>
      </c>
      <c r="F369" s="1014" t="s">
        <v>401</v>
      </c>
      <c r="G369" s="1014" t="s">
        <v>2648</v>
      </c>
      <c r="H369" s="150"/>
      <c r="I369" s="152"/>
      <c r="J369" s="152"/>
      <c r="K369" s="152"/>
      <c r="L369" s="153" t="str">
        <f t="shared" si="40"/>
        <v>6521</v>
      </c>
      <c r="M369" s="154" t="str">
        <f t="shared" si="41"/>
        <v>SALAIRES - PROPRIETAIRES</v>
      </c>
      <c r="N369" s="155">
        <f>+IF(OR($Q369=Parametres!$G$2,$Q369=Parametres!$G$3),I369,C369)</f>
        <v>408.34</v>
      </c>
      <c r="O369" s="155">
        <f>+IF(OR($Q369=Parametres!$G$2,$Q369=Parametres!$G$3),J369,D369)</f>
        <v>204.17</v>
      </c>
      <c r="P369" s="155">
        <f>+IF(OR($Q369=Parametres!$G$2,$Q369=Parametres!$G$3),K369,E369)</f>
        <v>612.51</v>
      </c>
      <c r="Q369" s="154" t="str">
        <f t="shared" si="42"/>
        <v>7-Dépenses</v>
      </c>
      <c r="R369" s="153" t="str">
        <f t="shared" si="43"/>
        <v>6121</v>
      </c>
      <c r="S369" s="154">
        <f t="shared" si="44"/>
        <v>0</v>
      </c>
      <c r="T369" s="156" t="str">
        <f>+VLOOKUP($L369,Data_Validation!$A:$D,1,0)</f>
        <v>6521</v>
      </c>
      <c r="U369" s="156" t="str">
        <f>+VLOOKUP($L369,Data_Validation!$A:$D,3,0)</f>
        <v>Carrosserie</v>
      </c>
      <c r="V369" s="156" t="str">
        <f>+VLOOKUP($L369,Data_Validation!$A:$D,4,0)</f>
        <v>Salaires propriétaire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4" t="s">
        <v>2624</v>
      </c>
      <c r="B370" s="1014" t="s">
        <v>2625</v>
      </c>
      <c r="C370" s="1016">
        <v>1618.24</v>
      </c>
      <c r="D370" s="1016">
        <v>809.12</v>
      </c>
      <c r="E370" s="1016">
        <v>2427.36</v>
      </c>
      <c r="F370" s="1014" t="s">
        <v>401</v>
      </c>
      <c r="G370" s="1014" t="s">
        <v>2626</v>
      </c>
      <c r="H370" s="150"/>
      <c r="I370" s="157"/>
      <c r="J370" s="157"/>
      <c r="K370" s="157"/>
      <c r="L370" s="153" t="str">
        <f t="shared" si="40"/>
        <v>6522</v>
      </c>
      <c r="M370" s="154" t="str">
        <f t="shared" si="41"/>
        <v>SAL SUPERVISION / GERANT</v>
      </c>
      <c r="N370" s="155">
        <f>+IF(OR($Q370=Parametres!$G$2,$Q370=Parametres!$G$3),I370,C370)</f>
        <v>1618.24</v>
      </c>
      <c r="O370" s="155">
        <f>+IF(OR($Q370=Parametres!$G$2,$Q370=Parametres!$G$3),J370,D370)</f>
        <v>809.12</v>
      </c>
      <c r="P370" s="155">
        <f>+IF(OR($Q370=Parametres!$G$2,$Q370=Parametres!$G$3),K370,E370)</f>
        <v>2427.36</v>
      </c>
      <c r="Q370" s="154" t="str">
        <f t="shared" si="42"/>
        <v>7-Dépenses</v>
      </c>
      <c r="R370" s="153" t="str">
        <f t="shared" si="43"/>
        <v>6122</v>
      </c>
      <c r="S370" s="154">
        <f t="shared" si="44"/>
        <v>0</v>
      </c>
      <c r="T370" s="156" t="str">
        <f>+VLOOKUP($L370,Data_Validation!$A:$D,1,0)</f>
        <v>6522</v>
      </c>
      <c r="U370" s="156" t="str">
        <f>+VLOOKUP($L370,Data_Validation!$A:$D,3,0)</f>
        <v>Carrosserie</v>
      </c>
      <c r="V370" s="156" t="str">
        <f>+VLOOKUP($L370,Data_Validation!$A:$D,4,0)</f>
        <v>Salaires cadres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4" t="s">
        <v>1266</v>
      </c>
      <c r="B371" s="1014" t="s">
        <v>2678</v>
      </c>
      <c r="C371" s="1016">
        <v>1618.32</v>
      </c>
      <c r="D371" s="1016">
        <v>519.5</v>
      </c>
      <c r="E371" s="1016">
        <v>2137.8200000000002</v>
      </c>
      <c r="F371" s="1014" t="s">
        <v>401</v>
      </c>
      <c r="G371" s="1014" t="s">
        <v>2679</v>
      </c>
      <c r="H371" s="150"/>
      <c r="I371" s="151"/>
      <c r="J371" s="151"/>
      <c r="K371" s="151"/>
      <c r="L371" s="153" t="str">
        <f t="shared" si="40"/>
        <v>6523</v>
      </c>
      <c r="M371" s="154" t="str">
        <f t="shared" si="41"/>
        <v>SAL. &amp; RENUM. CLERICAL</v>
      </c>
      <c r="N371" s="155">
        <f>+IF(OR($Q371=Parametres!$G$2,$Q371=Parametres!$G$3),I371,C371)</f>
        <v>1618.32</v>
      </c>
      <c r="O371" s="155">
        <f>+IF(OR($Q371=Parametres!$G$2,$Q371=Parametres!$G$3),J371,D371)</f>
        <v>519.5</v>
      </c>
      <c r="P371" s="155">
        <f>+IF(OR($Q371=Parametres!$G$2,$Q371=Parametres!$G$3),K371,E371)</f>
        <v>2137.8200000000002</v>
      </c>
      <c r="Q371" s="154" t="str">
        <f t="shared" si="42"/>
        <v>7-Dépenses</v>
      </c>
      <c r="R371" s="153" t="str">
        <f t="shared" si="43"/>
        <v>6123</v>
      </c>
      <c r="S371" s="154">
        <f t="shared" si="44"/>
        <v>0</v>
      </c>
      <c r="T371" s="156" t="str">
        <f>+VLOOKUP($L371,Data_Validation!$A:$D,1,0)</f>
        <v>6523</v>
      </c>
      <c r="U371" s="156" t="str">
        <f>+VLOOKUP($L371,Data_Validation!$A:$D,3,0)</f>
        <v>Carrosserie</v>
      </c>
      <c r="V371" s="156" t="str">
        <f>+VLOOKUP($L371,Data_Validation!$A:$D,4,0)</f>
        <v>Salaires commis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4" t="s">
        <v>1249</v>
      </c>
      <c r="B372" s="1014" t="s">
        <v>2734</v>
      </c>
      <c r="C372" s="1016">
        <v>7267.87</v>
      </c>
      <c r="D372" s="1016">
        <v>3896.39</v>
      </c>
      <c r="E372" s="1016">
        <v>11164.26</v>
      </c>
      <c r="F372" s="1014" t="s">
        <v>401</v>
      </c>
      <c r="G372" s="1014" t="s">
        <v>2735</v>
      </c>
      <c r="H372" s="150"/>
      <c r="I372" s="157"/>
      <c r="J372" s="157"/>
      <c r="K372" s="157"/>
      <c r="L372" s="153" t="str">
        <f t="shared" si="40"/>
        <v>6524</v>
      </c>
      <c r="M372" s="154" t="str">
        <f t="shared" si="41"/>
        <v>SALAIRES &amp; RENUM. - AUTRES</v>
      </c>
      <c r="N372" s="155">
        <f>+IF(OR($Q372=Parametres!$G$2,$Q372=Parametres!$G$3),I372,C372)</f>
        <v>7267.87</v>
      </c>
      <c r="O372" s="155">
        <f>+IF(OR($Q372=Parametres!$G$2,$Q372=Parametres!$G$3),J372,D372)</f>
        <v>3896.39</v>
      </c>
      <c r="P372" s="155">
        <f>+IF(OR($Q372=Parametres!$G$2,$Q372=Parametres!$G$3),K372,E372)</f>
        <v>11164.26</v>
      </c>
      <c r="Q372" s="154" t="str">
        <f t="shared" si="42"/>
        <v>7-Dépenses</v>
      </c>
      <c r="R372" s="153" t="str">
        <f t="shared" si="43"/>
        <v>6124</v>
      </c>
      <c r="S372" s="154">
        <f t="shared" si="44"/>
        <v>0</v>
      </c>
      <c r="T372" s="156" t="str">
        <f>+VLOOKUP($L372,Data_Validation!$A:$D,1,0)</f>
        <v>6524</v>
      </c>
      <c r="U372" s="156" t="str">
        <f>+VLOOKUP($L372,Data_Validation!$A:$D,3,0)</f>
        <v>Carrosserie</v>
      </c>
      <c r="V372" s="156" t="str">
        <f>+VLOOKUP($L372,Data_Validation!$A:$D,4,0)</f>
        <v>Salaires autres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4" t="s">
        <v>1330</v>
      </c>
      <c r="B373" s="1014" t="s">
        <v>2720</v>
      </c>
      <c r="C373" s="1016">
        <v>5163.51</v>
      </c>
      <c r="D373" s="1016">
        <v>2778.88</v>
      </c>
      <c r="E373" s="1016">
        <v>7942.39</v>
      </c>
      <c r="F373" s="1014" t="s">
        <v>401</v>
      </c>
      <c r="G373" s="1014" t="s">
        <v>2721</v>
      </c>
      <c r="H373" s="150"/>
      <c r="I373" s="157"/>
      <c r="J373" s="157"/>
      <c r="K373" s="157"/>
      <c r="L373" s="153" t="str">
        <f t="shared" si="40"/>
        <v>6525</v>
      </c>
      <c r="M373" s="154" t="str">
        <f t="shared" si="41"/>
        <v>SALAIRE SPECIALISTES</v>
      </c>
      <c r="N373" s="155">
        <f>+IF(OR($Q373=Parametres!$G$2,$Q373=Parametres!$G$3),I373,C373)</f>
        <v>5163.51</v>
      </c>
      <c r="O373" s="155">
        <f>+IF(OR($Q373=Parametres!$G$2,$Q373=Parametres!$G$3),J373,D373)</f>
        <v>2778.88</v>
      </c>
      <c r="P373" s="155">
        <f>+IF(OR($Q373=Parametres!$G$2,$Q373=Parametres!$G$3),K373,E373)</f>
        <v>7942.39</v>
      </c>
      <c r="Q373" s="154" t="str">
        <f t="shared" si="42"/>
        <v>7-Dépenses</v>
      </c>
      <c r="R373" s="153" t="str">
        <f t="shared" si="43"/>
        <v>6125</v>
      </c>
      <c r="S373" s="154">
        <f t="shared" si="44"/>
        <v>0</v>
      </c>
      <c r="T373" s="156" t="str">
        <f>+VLOOKUP($L373,Data_Validation!$A:$D,1,0)</f>
        <v>6525</v>
      </c>
      <c r="U373" s="156" t="str">
        <f>+VLOOKUP($L373,Data_Validation!$A:$D,3,0)</f>
        <v>Carrosserie</v>
      </c>
      <c r="V373" s="156" t="str">
        <f>+VLOOKUP($L373,Data_Validation!$A:$D,4,0)</f>
        <v>Salaires spécialistes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4" t="s">
        <v>1211</v>
      </c>
      <c r="B374" s="1014" t="s">
        <v>2640</v>
      </c>
      <c r="C374" s="1016">
        <v>1582.88</v>
      </c>
      <c r="D374" s="1016">
        <v>344.38</v>
      </c>
      <c r="E374" s="1016">
        <v>1927.26</v>
      </c>
      <c r="F374" s="1014" t="s">
        <v>401</v>
      </c>
      <c r="G374" s="1014" t="s">
        <v>2641</v>
      </c>
      <c r="H374" s="150"/>
      <c r="I374" s="151"/>
      <c r="J374" s="151"/>
      <c r="K374" s="151"/>
      <c r="L374" s="153" t="str">
        <f t="shared" si="40"/>
        <v>6529</v>
      </c>
      <c r="M374" s="154" t="str">
        <f t="shared" si="41"/>
        <v>ABS.,VACANCES &amp; SAL. JOURS FER</v>
      </c>
      <c r="N374" s="155">
        <f>+IF(OR($Q374=Parametres!$G$2,$Q374=Parametres!$G$3),I374,C374)</f>
        <v>1582.88</v>
      </c>
      <c r="O374" s="155">
        <f>+IF(OR($Q374=Parametres!$G$2,$Q374=Parametres!$G$3),J374,D374)</f>
        <v>344.38</v>
      </c>
      <c r="P374" s="155">
        <f>+IF(OR($Q374=Parametres!$G$2,$Q374=Parametres!$G$3),K374,E374)</f>
        <v>1927.26</v>
      </c>
      <c r="Q374" s="154" t="str">
        <f t="shared" si="42"/>
        <v>7-Dépenses</v>
      </c>
      <c r="R374" s="153" t="str">
        <f t="shared" si="43"/>
        <v>6129</v>
      </c>
      <c r="S374" s="154">
        <f t="shared" si="44"/>
        <v>0</v>
      </c>
      <c r="T374" s="156" t="str">
        <f>+VLOOKUP($L374,Data_Validation!$A:$D,1,0)</f>
        <v>6529</v>
      </c>
      <c r="U374" s="156" t="str">
        <f>+VLOOKUP($L374,Data_Validation!$A:$D,3,0)</f>
        <v>Carrosserie</v>
      </c>
      <c r="V374" s="156" t="str">
        <f>+VLOOKUP($L374,Data_Validation!$A:$D,4,0)</f>
        <v>Salaires en absences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4" t="s">
        <v>1252</v>
      </c>
      <c r="B375" s="1014" t="s">
        <v>2585</v>
      </c>
      <c r="C375" s="1016">
        <v>323.98</v>
      </c>
      <c r="D375" s="1016">
        <v>161.37</v>
      </c>
      <c r="E375" s="1016">
        <v>485.35</v>
      </c>
      <c r="F375" s="1014" t="s">
        <v>401</v>
      </c>
      <c r="G375" s="1014" t="s">
        <v>2586</v>
      </c>
      <c r="H375" s="150"/>
      <c r="I375" s="151"/>
      <c r="J375" s="151"/>
      <c r="K375" s="151"/>
      <c r="L375" s="153" t="str">
        <f t="shared" si="40"/>
        <v>6531</v>
      </c>
      <c r="M375" s="154" t="str">
        <f t="shared" si="41"/>
        <v>CSST</v>
      </c>
      <c r="N375" s="155">
        <f>+IF(OR($Q375=Parametres!$G$2,$Q375=Parametres!$G$3),I375,C375)</f>
        <v>323.98</v>
      </c>
      <c r="O375" s="155">
        <f>+IF(OR($Q375=Parametres!$G$2,$Q375=Parametres!$G$3),J375,D375)</f>
        <v>161.37</v>
      </c>
      <c r="P375" s="155">
        <f>+IF(OR($Q375=Parametres!$G$2,$Q375=Parametres!$G$3),K375,E375)</f>
        <v>485.35</v>
      </c>
      <c r="Q375" s="154" t="str">
        <f t="shared" si="42"/>
        <v>7-Dépenses</v>
      </c>
      <c r="R375" s="153" t="str">
        <f t="shared" si="43"/>
        <v>6131</v>
      </c>
      <c r="S375" s="154">
        <f t="shared" si="44"/>
        <v>0</v>
      </c>
      <c r="T375" s="156" t="str">
        <f>+VLOOKUP($L375,Data_Validation!$A:$D,1,0)</f>
        <v>6531</v>
      </c>
      <c r="U375" s="156" t="str">
        <f>+VLOOKUP($L375,Data_Validation!$A:$D,3,0)</f>
        <v>Carrosserie</v>
      </c>
      <c r="V375" s="156" t="str">
        <f>+VLOOKUP($L375,Data_Validation!$A:$D,4,0)</f>
        <v>Csst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4" t="s">
        <v>1283</v>
      </c>
      <c r="B376" s="1014" t="s">
        <v>2684</v>
      </c>
      <c r="C376" s="1016">
        <v>2958.55</v>
      </c>
      <c r="D376" s="1016">
        <v>-46.45</v>
      </c>
      <c r="E376" s="1016">
        <v>2912.1</v>
      </c>
      <c r="F376" s="1014" t="s">
        <v>401</v>
      </c>
      <c r="G376" s="1014" t="s">
        <v>2685</v>
      </c>
      <c r="H376" s="150"/>
      <c r="I376" s="151"/>
      <c r="J376" s="151"/>
      <c r="K376" s="151"/>
      <c r="L376" s="153" t="str">
        <f t="shared" si="40"/>
        <v>6532</v>
      </c>
      <c r="M376" s="154" t="str">
        <f t="shared" si="41"/>
        <v>RRQ RAMQ AC</v>
      </c>
      <c r="N376" s="155">
        <f>+IF(OR($Q376=Parametres!$G$2,$Q376=Parametres!$G$3),I376,C376)</f>
        <v>2958.55</v>
      </c>
      <c r="O376" s="155">
        <f>+IF(OR($Q376=Parametres!$G$2,$Q376=Parametres!$G$3),J376,D376)</f>
        <v>-46.45</v>
      </c>
      <c r="P376" s="155">
        <f>+IF(OR($Q376=Parametres!$G$2,$Q376=Parametres!$G$3),K376,E376)</f>
        <v>2912.1</v>
      </c>
      <c r="Q376" s="154" t="str">
        <f t="shared" si="42"/>
        <v>7-Dépenses</v>
      </c>
      <c r="R376" s="153" t="str">
        <f t="shared" si="43"/>
        <v>6132</v>
      </c>
      <c r="S376" s="154">
        <f t="shared" si="44"/>
        <v>0</v>
      </c>
      <c r="T376" s="156" t="str">
        <f>+VLOOKUP($L376,Data_Validation!$A:$D,1,0)</f>
        <v>6532</v>
      </c>
      <c r="U376" s="156" t="str">
        <f>+VLOOKUP($L376,Data_Validation!$A:$D,3,0)</f>
        <v>Carrosserie</v>
      </c>
      <c r="V376" s="156" t="str">
        <f>+VLOOKUP($L376,Data_Validation!$A:$D,4,0)</f>
        <v>Déduction à la source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4" t="s">
        <v>1305</v>
      </c>
      <c r="B377" s="1014" t="s">
        <v>2693</v>
      </c>
      <c r="C377" s="1016">
        <v>2519.5700000000002</v>
      </c>
      <c r="D377" s="1016">
        <v>-432.57</v>
      </c>
      <c r="E377" s="1016">
        <v>2087</v>
      </c>
      <c r="F377" s="1014" t="s">
        <v>401</v>
      </c>
      <c r="G377" s="1014" t="s">
        <v>2694</v>
      </c>
      <c r="H377" s="150"/>
      <c r="I377" s="151"/>
      <c r="J377" s="151"/>
      <c r="K377" s="151"/>
      <c r="L377" s="153" t="str">
        <f t="shared" si="40"/>
        <v>6539</v>
      </c>
      <c r="M377" s="154" t="str">
        <f t="shared" si="41"/>
        <v>ASSURANCE GROUPE</v>
      </c>
      <c r="N377" s="155">
        <f>+IF(OR($Q377=Parametres!$G$2,$Q377=Parametres!$G$3),I377,C377)</f>
        <v>2519.5700000000002</v>
      </c>
      <c r="O377" s="155">
        <f>+IF(OR($Q377=Parametres!$G$2,$Q377=Parametres!$G$3),J377,D377)</f>
        <v>-432.57</v>
      </c>
      <c r="P377" s="155">
        <f>+IF(OR($Q377=Parametres!$G$2,$Q377=Parametres!$G$3),K377,E377)</f>
        <v>2087</v>
      </c>
      <c r="Q377" s="154" t="str">
        <f t="shared" si="42"/>
        <v>7-Dépenses</v>
      </c>
      <c r="R377" s="153" t="str">
        <f t="shared" si="43"/>
        <v>6139</v>
      </c>
      <c r="S377" s="154">
        <f t="shared" si="44"/>
        <v>0</v>
      </c>
      <c r="T377" s="156" t="str">
        <f>+VLOOKUP($L377,Data_Validation!$A:$D,1,0)</f>
        <v>6539</v>
      </c>
      <c r="U377" s="156" t="str">
        <f>+VLOOKUP($L377,Data_Validation!$A:$D,3,0)</f>
        <v>Carrosserie</v>
      </c>
      <c r="V377" s="156" t="str">
        <f>+VLOOKUP($L377,Data_Validation!$A:$D,4,0)</f>
        <v>Bénéfices marginaux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4" t="s">
        <v>934</v>
      </c>
      <c r="B378" s="1014" t="s">
        <v>2560</v>
      </c>
      <c r="C378" s="1016">
        <v>12.4</v>
      </c>
      <c r="D378" s="1016">
        <v>6.2</v>
      </c>
      <c r="E378" s="1016">
        <v>18.600000000000001</v>
      </c>
      <c r="F378" s="1014" t="s">
        <v>401</v>
      </c>
      <c r="G378" s="1014" t="s">
        <v>2561</v>
      </c>
      <c r="H378" s="949"/>
      <c r="I378" s="949"/>
      <c r="J378" s="949"/>
      <c r="K378" s="949"/>
      <c r="L378" s="153" t="str">
        <f t="shared" si="40"/>
        <v>6544</v>
      </c>
      <c r="M378" s="154" t="str">
        <f t="shared" si="41"/>
        <v>FORMATION</v>
      </c>
      <c r="N378" s="155">
        <f>+IF(OR($Q378=Parametres!$G$2,$Q378=Parametres!$G$3),I378,C378)</f>
        <v>12.4</v>
      </c>
      <c r="O378" s="155">
        <f>+IF(OR($Q378=Parametres!$G$2,$Q378=Parametres!$G$3),J378,D378)</f>
        <v>6.2</v>
      </c>
      <c r="P378" s="155">
        <f>+IF(OR($Q378=Parametres!$G$2,$Q378=Parametres!$G$3),K378,E378)</f>
        <v>18.600000000000001</v>
      </c>
      <c r="Q378" s="154" t="str">
        <f t="shared" si="42"/>
        <v>7-Dépenses</v>
      </c>
      <c r="R378" s="153" t="str">
        <f t="shared" si="43"/>
        <v>6144</v>
      </c>
      <c r="S378" s="154">
        <f t="shared" si="44"/>
        <v>0</v>
      </c>
      <c r="T378" s="156" t="str">
        <f>+VLOOKUP($L378,Data_Validation!$A:$D,1,0)</f>
        <v>6544</v>
      </c>
      <c r="U378" s="156" t="str">
        <f>+VLOOKUP($L378,Data_Validation!$A:$D,3,0)</f>
        <v>Carrosserie</v>
      </c>
      <c r="V378" s="156" t="str">
        <f>+VLOOKUP($L378,Data_Validation!$A:$D,4,0)</f>
        <v>Formation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4" t="s">
        <v>1186</v>
      </c>
      <c r="B379" s="1014" t="s">
        <v>2654</v>
      </c>
      <c r="C379" s="1016">
        <v>1140.3</v>
      </c>
      <c r="D379" s="1016">
        <v>1041.1500000000001</v>
      </c>
      <c r="E379" s="1016">
        <v>2181.4499999999998</v>
      </c>
      <c r="F379" s="1014" t="s">
        <v>401</v>
      </c>
      <c r="G379" s="1014" t="s">
        <v>2632</v>
      </c>
      <c r="H379" s="150"/>
      <c r="I379" s="157"/>
      <c r="J379" s="157"/>
      <c r="K379" s="157"/>
      <c r="L379" s="153" t="str">
        <f t="shared" si="40"/>
        <v>6545</v>
      </c>
      <c r="M379" s="154" t="str">
        <f t="shared" si="41"/>
        <v>VEHICULE DE COMPAGNIE - DEPENS</v>
      </c>
      <c r="N379" s="155">
        <f>+IF(OR($Q379=Parametres!$G$2,$Q379=Parametres!$G$3),I379,C379)</f>
        <v>1140.3</v>
      </c>
      <c r="O379" s="155">
        <f>+IF(OR($Q379=Parametres!$G$2,$Q379=Parametres!$G$3),J379,D379)</f>
        <v>1041.1500000000001</v>
      </c>
      <c r="P379" s="155">
        <f>+IF(OR($Q379=Parametres!$G$2,$Q379=Parametres!$G$3),K379,E379)</f>
        <v>2181.4499999999998</v>
      </c>
      <c r="Q379" s="154" t="str">
        <f t="shared" si="42"/>
        <v>7-Dépenses</v>
      </c>
      <c r="R379" s="153" t="str">
        <f t="shared" si="43"/>
        <v>6145</v>
      </c>
      <c r="S379" s="154">
        <f t="shared" si="44"/>
        <v>0</v>
      </c>
      <c r="T379" s="156" t="str">
        <f>+VLOOKUP($L379,Data_Validation!$A:$D,1,0)</f>
        <v>6545</v>
      </c>
      <c r="U379" s="156" t="str">
        <f>+VLOOKUP($L379,Data_Validation!$A:$D,3,0)</f>
        <v>Carrosserie</v>
      </c>
      <c r="V379" s="156" t="str">
        <f>+VLOOKUP($L379,Data_Validation!$A:$D,4,0)</f>
        <v>Frais véhicules de cie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4" t="s">
        <v>1180</v>
      </c>
      <c r="B380" s="1014" t="s">
        <v>2580</v>
      </c>
      <c r="C380" s="1016">
        <v>31.52</v>
      </c>
      <c r="D380" s="1016">
        <v>29.83</v>
      </c>
      <c r="E380" s="1016">
        <v>61.35</v>
      </c>
      <c r="F380" s="1014" t="s">
        <v>401</v>
      </c>
      <c r="G380" s="1014" t="s">
        <v>2581</v>
      </c>
      <c r="H380" s="150"/>
      <c r="I380" s="151"/>
      <c r="J380" s="151"/>
      <c r="K380" s="151"/>
      <c r="L380" s="153" t="str">
        <f t="shared" si="40"/>
        <v>6547</v>
      </c>
      <c r="M380" s="154" t="str">
        <f t="shared" si="41"/>
        <v>FRET/EXPRESS/TRANS. PAR CAMION</v>
      </c>
      <c r="N380" s="155">
        <f>+IF(OR($Q380=Parametres!$G$2,$Q380=Parametres!$G$3),I380,C380)</f>
        <v>31.52</v>
      </c>
      <c r="O380" s="155">
        <f>+IF(OR($Q380=Parametres!$G$2,$Q380=Parametres!$G$3),J380,D380)</f>
        <v>29.83</v>
      </c>
      <c r="P380" s="155">
        <f>+IF(OR($Q380=Parametres!$G$2,$Q380=Parametres!$G$3),K380,E380)</f>
        <v>61.35</v>
      </c>
      <c r="Q380" s="154" t="str">
        <f t="shared" si="42"/>
        <v>7-Dépenses</v>
      </c>
      <c r="R380" s="153" t="str">
        <f t="shared" si="43"/>
        <v>6147</v>
      </c>
      <c r="S380" s="154">
        <f t="shared" si="44"/>
        <v>0</v>
      </c>
      <c r="T380" s="156" t="str">
        <f>+VLOOKUP($L380,Data_Validation!$A:$D,1,0)</f>
        <v>6547</v>
      </c>
      <c r="U380" s="156" t="str">
        <f>+VLOOKUP($L380,Data_Validation!$A:$D,3,0)</f>
        <v>Carrosserie</v>
      </c>
      <c r="V380" s="156" t="str">
        <f>+VLOOKUP($L380,Data_Validation!$A:$D,4,0)</f>
        <v>Frais postaux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4" t="s">
        <v>1286</v>
      </c>
      <c r="B381" s="1014" t="s">
        <v>2701</v>
      </c>
      <c r="C381" s="1016">
        <v>2723.93</v>
      </c>
      <c r="D381" s="1016">
        <v>1389.17</v>
      </c>
      <c r="E381" s="1016">
        <v>4113.1000000000004</v>
      </c>
      <c r="F381" s="1014" t="s">
        <v>401</v>
      </c>
      <c r="G381" s="1014" t="s">
        <v>2702</v>
      </c>
      <c r="H381" s="150"/>
      <c r="I381" s="157"/>
      <c r="J381" s="157"/>
      <c r="K381" s="157"/>
      <c r="L381" s="153" t="str">
        <f t="shared" si="40"/>
        <v>6551</v>
      </c>
      <c r="M381" s="154" t="str">
        <f t="shared" si="41"/>
        <v>DEP. DU TRAITEMENT DES DONNEES</v>
      </c>
      <c r="N381" s="155">
        <f>+IF(OR($Q381=Parametres!$G$2,$Q381=Parametres!$G$3),I381,C381)</f>
        <v>2723.93</v>
      </c>
      <c r="O381" s="155">
        <f>+IF(OR($Q381=Parametres!$G$2,$Q381=Parametres!$G$3),J381,D381)</f>
        <v>1389.17</v>
      </c>
      <c r="P381" s="155">
        <f>+IF(OR($Q381=Parametres!$G$2,$Q381=Parametres!$G$3),K381,E381)</f>
        <v>4113.1000000000004</v>
      </c>
      <c r="Q381" s="154" t="str">
        <f t="shared" si="42"/>
        <v>7-Dépenses</v>
      </c>
      <c r="R381" s="153" t="str">
        <f t="shared" si="43"/>
        <v>6151</v>
      </c>
      <c r="S381" s="154">
        <f t="shared" si="44"/>
        <v>0</v>
      </c>
      <c r="T381" s="156" t="str">
        <f>+VLOOKUP($L381,Data_Validation!$A:$D,1,0)</f>
        <v>6551</v>
      </c>
      <c r="U381" s="156" t="str">
        <f>+VLOOKUP($L381,Data_Validation!$A:$D,3,0)</f>
        <v>Carrosserie</v>
      </c>
      <c r="V381" s="156" t="str">
        <f>+VLOOKUP($L381,Data_Validation!$A:$D,4,0)</f>
        <v>Informatique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4" t="s">
        <v>1206</v>
      </c>
      <c r="B382" s="1014" t="s">
        <v>2587</v>
      </c>
      <c r="C382" s="1016">
        <v>165.64</v>
      </c>
      <c r="D382" s="1016">
        <v>84.43</v>
      </c>
      <c r="E382" s="1016">
        <v>250.07</v>
      </c>
      <c r="F382" s="1014" t="s">
        <v>401</v>
      </c>
      <c r="G382" s="1014" t="s">
        <v>2588</v>
      </c>
      <c r="H382" s="150"/>
      <c r="I382" s="151"/>
      <c r="J382" s="151"/>
      <c r="K382" s="151"/>
      <c r="L382" s="153" t="str">
        <f t="shared" si="40"/>
        <v>6552</v>
      </c>
      <c r="M382" s="154" t="str">
        <f t="shared" si="41"/>
        <v>PAPETERIE</v>
      </c>
      <c r="N382" s="155">
        <f>+IF(OR($Q382=Parametres!$G$2,$Q382=Parametres!$G$3),I382,C382)</f>
        <v>165.64</v>
      </c>
      <c r="O382" s="155">
        <f>+IF(OR($Q382=Parametres!$G$2,$Q382=Parametres!$G$3),J382,D382)</f>
        <v>84.43</v>
      </c>
      <c r="P382" s="155">
        <f>+IF(OR($Q382=Parametres!$G$2,$Q382=Parametres!$G$3),K382,E382)</f>
        <v>250.07</v>
      </c>
      <c r="Q382" s="154" t="str">
        <f t="shared" si="42"/>
        <v>7-Dépenses</v>
      </c>
      <c r="R382" s="153" t="str">
        <f t="shared" si="43"/>
        <v>6152</v>
      </c>
      <c r="S382" s="154">
        <f t="shared" si="44"/>
        <v>0</v>
      </c>
      <c r="T382" s="156" t="str">
        <f>+VLOOKUP($L382,Data_Validation!$A:$D,1,0)</f>
        <v>6552</v>
      </c>
      <c r="U382" s="156" t="str">
        <f>+VLOOKUP($L382,Data_Validation!$A:$D,3,0)</f>
        <v>Carrosserie</v>
      </c>
      <c r="V382" s="156" t="str">
        <f>+VLOOKUP($L382,Data_Validation!$A:$D,4,0)</f>
        <v>Papeterie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4" t="s">
        <v>1154</v>
      </c>
      <c r="B383" s="1014" t="s">
        <v>2591</v>
      </c>
      <c r="C383" s="1016">
        <v>280.51</v>
      </c>
      <c r="D383" s="1016">
        <v>86.55</v>
      </c>
      <c r="E383" s="1016">
        <v>367.06</v>
      </c>
      <c r="F383" s="1014" t="s">
        <v>401</v>
      </c>
      <c r="G383" s="1014" t="s">
        <v>2592</v>
      </c>
      <c r="H383" s="150"/>
      <c r="I383" s="157"/>
      <c r="J383" s="157"/>
      <c r="K383" s="157"/>
      <c r="L383" s="153" t="str">
        <f t="shared" si="40"/>
        <v>6553</v>
      </c>
      <c r="M383" s="154" t="str">
        <f t="shared" si="41"/>
        <v>TELEPHONE ET TELEX</v>
      </c>
      <c r="N383" s="155">
        <f>+IF(OR($Q383=Parametres!$G$2,$Q383=Parametres!$G$3),I383,C383)</f>
        <v>280.51</v>
      </c>
      <c r="O383" s="155">
        <f>+IF(OR($Q383=Parametres!$G$2,$Q383=Parametres!$G$3),J383,D383)</f>
        <v>86.55</v>
      </c>
      <c r="P383" s="155">
        <f>+IF(OR($Q383=Parametres!$G$2,$Q383=Parametres!$G$3),K383,E383)</f>
        <v>367.06</v>
      </c>
      <c r="Q383" s="154" t="str">
        <f t="shared" si="42"/>
        <v>7-Dépenses</v>
      </c>
      <c r="R383" s="153" t="str">
        <f t="shared" si="43"/>
        <v>6153</v>
      </c>
      <c r="S383" s="154">
        <f t="shared" si="44"/>
        <v>0</v>
      </c>
      <c r="T383" s="156" t="str">
        <f>+VLOOKUP($L383,Data_Validation!$A:$D,1,0)</f>
        <v>6553</v>
      </c>
      <c r="U383" s="156" t="str">
        <f>+VLOOKUP($L383,Data_Validation!$A:$D,3,0)</f>
        <v>Carrosserie</v>
      </c>
      <c r="V383" s="156" t="str">
        <f>+VLOOKUP($L383,Data_Validation!$A:$D,4,0)</f>
        <v>Téléphone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4" t="s">
        <v>1237</v>
      </c>
      <c r="B384" s="1014" t="s">
        <v>2636</v>
      </c>
      <c r="C384" s="1016">
        <v>139.63999999999999</v>
      </c>
      <c r="D384" s="1016">
        <v>416.77</v>
      </c>
      <c r="E384" s="1016">
        <v>556.41</v>
      </c>
      <c r="F384" s="1014" t="s">
        <v>401</v>
      </c>
      <c r="G384" s="1014" t="s">
        <v>2637</v>
      </c>
      <c r="H384" s="150"/>
      <c r="I384" s="151"/>
      <c r="J384" s="151"/>
      <c r="K384" s="151"/>
      <c r="L384" s="153" t="str">
        <f t="shared" si="40"/>
        <v>6555</v>
      </c>
      <c r="M384" s="154" t="str">
        <f t="shared" si="41"/>
        <v>DEPENSES DIVERS</v>
      </c>
      <c r="N384" s="155">
        <f>+IF(OR($Q384=Parametres!$G$2,$Q384=Parametres!$G$3),I384,C384)</f>
        <v>139.63999999999999</v>
      </c>
      <c r="O384" s="155">
        <f>+IF(OR($Q384=Parametres!$G$2,$Q384=Parametres!$G$3),J384,D384)</f>
        <v>416.77</v>
      </c>
      <c r="P384" s="155">
        <f>+IF(OR($Q384=Parametres!$G$2,$Q384=Parametres!$G$3),K384,E384)</f>
        <v>556.41</v>
      </c>
      <c r="Q384" s="154" t="str">
        <f t="shared" si="42"/>
        <v>7-Dépenses</v>
      </c>
      <c r="R384" s="153" t="str">
        <f t="shared" si="43"/>
        <v>6155</v>
      </c>
      <c r="S384" s="154">
        <f t="shared" si="44"/>
        <v>0</v>
      </c>
      <c r="T384" s="156" t="str">
        <f>+VLOOKUP($L384,Data_Validation!$A:$D,1,0)</f>
        <v>6555</v>
      </c>
      <c r="U384" s="156" t="str">
        <f>+VLOOKUP($L384,Data_Validation!$A:$D,3,0)</f>
        <v>Carrosserie</v>
      </c>
      <c r="V384" s="156" t="str">
        <f>+VLOOKUP($L384,Data_Validation!$A:$D,4,0)</f>
        <v>Divers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4" t="s">
        <v>1217</v>
      </c>
      <c r="B385" s="1014" t="s">
        <v>2469</v>
      </c>
      <c r="C385" s="1016">
        <v>29.49</v>
      </c>
      <c r="D385" s="1016">
        <v>128.49</v>
      </c>
      <c r="E385" s="1016">
        <v>157.97999999999999</v>
      </c>
      <c r="F385" s="1014" t="s">
        <v>401</v>
      </c>
      <c r="G385" s="1014" t="s">
        <v>2470</v>
      </c>
      <c r="H385" s="150"/>
      <c r="I385" s="151"/>
      <c r="J385" s="151"/>
      <c r="K385" s="151"/>
      <c r="L385" s="153" t="str">
        <f t="shared" si="40"/>
        <v>6556</v>
      </c>
      <c r="M385" s="154" t="str">
        <f t="shared" si="41"/>
        <v>FRAIS REPRESENTATION</v>
      </c>
      <c r="N385" s="155">
        <f>+IF(OR($Q385=Parametres!$G$2,$Q385=Parametres!$G$3),I385,C385)</f>
        <v>29.49</v>
      </c>
      <c r="O385" s="155">
        <f>+IF(OR($Q385=Parametres!$G$2,$Q385=Parametres!$G$3),J385,D385)</f>
        <v>128.49</v>
      </c>
      <c r="P385" s="155">
        <f>+IF(OR($Q385=Parametres!$G$2,$Q385=Parametres!$G$3),K385,E385)</f>
        <v>157.97999999999999</v>
      </c>
      <c r="Q385" s="154" t="str">
        <f t="shared" si="42"/>
        <v>7-Dépenses</v>
      </c>
      <c r="R385" s="153" t="str">
        <f t="shared" si="43"/>
        <v>6156</v>
      </c>
      <c r="S385" s="154">
        <f t="shared" si="44"/>
        <v>0</v>
      </c>
      <c r="T385" s="156" t="str">
        <f>+VLOOKUP($L385,Data_Validation!$A:$D,1,0)</f>
        <v>6556</v>
      </c>
      <c r="U385" s="156" t="str">
        <f>+VLOOKUP($L385,Data_Validation!$A:$D,3,0)</f>
        <v>Carrosserie</v>
      </c>
      <c r="V385" s="156" t="str">
        <f>+VLOOKUP($L385,Data_Validation!$A:$D,4,0)</f>
        <v>Frais de déplacement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4" t="s">
        <v>1308</v>
      </c>
      <c r="B386" s="1014" t="s">
        <v>2661</v>
      </c>
      <c r="C386" s="1016">
        <v>632.9</v>
      </c>
      <c r="D386" s="1016">
        <v>416.67</v>
      </c>
      <c r="E386" s="1016">
        <v>1049.57</v>
      </c>
      <c r="F386" s="1014" t="s">
        <v>401</v>
      </c>
      <c r="G386" s="1014" t="s">
        <v>2662</v>
      </c>
      <c r="H386" s="150"/>
      <c r="I386" s="151"/>
      <c r="J386" s="151"/>
      <c r="K386" s="151"/>
      <c r="L386" s="153" t="str">
        <f t="shared" ref="L386:L449" si="45">+B386</f>
        <v>6559</v>
      </c>
      <c r="M386" s="154" t="str">
        <f t="shared" ref="M386:M449" si="46">+A386</f>
        <v>SERVICE EXTERIEUR</v>
      </c>
      <c r="N386" s="155">
        <f>+IF(OR($Q386=Parametres!$G$2,$Q386=Parametres!$G$3),I386,C386)</f>
        <v>632.9</v>
      </c>
      <c r="O386" s="155">
        <f>+IF(OR($Q386=Parametres!$G$2,$Q386=Parametres!$G$3),J386,D386)</f>
        <v>416.67</v>
      </c>
      <c r="P386" s="155">
        <f>+IF(OR($Q386=Parametres!$G$2,$Q386=Parametres!$G$3),K386,E386)</f>
        <v>1049.57</v>
      </c>
      <c r="Q386" s="154" t="str">
        <f t="shared" ref="Q386:Q449" si="47">+F386</f>
        <v>7-Dépenses</v>
      </c>
      <c r="R386" s="153" t="str">
        <f t="shared" ref="R386:R449" si="48">+G386</f>
        <v>6159</v>
      </c>
      <c r="S386" s="154">
        <f t="shared" ref="S386:S449" si="49">+H386</f>
        <v>0</v>
      </c>
      <c r="T386" s="156" t="str">
        <f>+VLOOKUP($L386,Data_Validation!$A:$D,1,0)</f>
        <v>6559</v>
      </c>
      <c r="U386" s="156" t="str">
        <f>+VLOOKUP($L386,Data_Validation!$A:$D,3,0)</f>
        <v>Carrosserie</v>
      </c>
      <c r="V386" s="156" t="str">
        <f>+VLOOKUP($L386,Data_Validation!$A:$D,4,0)</f>
        <v>Services extérieurs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4" t="s">
        <v>1333</v>
      </c>
      <c r="B387" s="1014" t="s">
        <v>2652</v>
      </c>
      <c r="C387" s="1016">
        <v>1283.3800000000001</v>
      </c>
      <c r="D387" s="1016">
        <v>641.69000000000005</v>
      </c>
      <c r="E387" s="1016">
        <v>1925.07</v>
      </c>
      <c r="F387" s="1014" t="s">
        <v>401</v>
      </c>
      <c r="G387" s="1014" t="s">
        <v>2653</v>
      </c>
      <c r="H387" s="150"/>
      <c r="I387" s="151"/>
      <c r="J387" s="151"/>
      <c r="K387" s="151"/>
      <c r="L387" s="153" t="str">
        <f t="shared" si="45"/>
        <v>6561</v>
      </c>
      <c r="M387" s="154" t="str">
        <f t="shared" si="46"/>
        <v>DEPRECIATION EQUIP. &amp; FIXTURES</v>
      </c>
      <c r="N387" s="155">
        <f>+IF(OR($Q387=Parametres!$G$2,$Q387=Parametres!$G$3),I387,C387)</f>
        <v>1283.3800000000001</v>
      </c>
      <c r="O387" s="155">
        <f>+IF(OR($Q387=Parametres!$G$2,$Q387=Parametres!$G$3),J387,D387)</f>
        <v>641.69000000000005</v>
      </c>
      <c r="P387" s="155">
        <f>+IF(OR($Q387=Parametres!$G$2,$Q387=Parametres!$G$3),K387,E387)</f>
        <v>1925.07</v>
      </c>
      <c r="Q387" s="154" t="str">
        <f t="shared" si="47"/>
        <v>7-Dépenses</v>
      </c>
      <c r="R387" s="153" t="str">
        <f t="shared" si="48"/>
        <v>6161</v>
      </c>
      <c r="S387" s="154">
        <f t="shared" si="49"/>
        <v>0</v>
      </c>
      <c r="T387" s="156" t="str">
        <f>+VLOOKUP($L387,Data_Validation!$A:$D,1,0)</f>
        <v>6561</v>
      </c>
      <c r="U387" s="156" t="str">
        <f>+VLOOKUP($L387,Data_Validation!$A:$D,3,0)</f>
        <v>Carrosserie</v>
      </c>
      <c r="V387" s="156" t="str">
        <f>+VLOOKUP($L387,Data_Validation!$A:$D,4,0)</f>
        <v>Amortissement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4" t="s">
        <v>1244</v>
      </c>
      <c r="B388" s="1014" t="s">
        <v>2603</v>
      </c>
      <c r="C388" s="1016">
        <v>384.19</v>
      </c>
      <c r="D388" s="1016">
        <v>486.13</v>
      </c>
      <c r="E388" s="1016">
        <v>870.32</v>
      </c>
      <c r="F388" s="1014" t="s">
        <v>401</v>
      </c>
      <c r="G388" s="1014" t="s">
        <v>2604</v>
      </c>
      <c r="H388" s="150"/>
      <c r="I388" s="151"/>
      <c r="J388" s="151"/>
      <c r="K388" s="151"/>
      <c r="L388" s="153" t="str">
        <f t="shared" si="45"/>
        <v>6581</v>
      </c>
      <c r="M388" s="154" t="str">
        <f t="shared" si="46"/>
        <v>CHAUFFAGE,ELECTRICITE,EAU-CARROS.</v>
      </c>
      <c r="N388" s="155">
        <f>+IF(OR($Q388=Parametres!$G$2,$Q388=Parametres!$G$3),I388,C388)</f>
        <v>384.19</v>
      </c>
      <c r="O388" s="155">
        <f>+IF(OR($Q388=Parametres!$G$2,$Q388=Parametres!$G$3),J388,D388)</f>
        <v>486.13</v>
      </c>
      <c r="P388" s="155">
        <f>+IF(OR($Q388=Parametres!$G$2,$Q388=Parametres!$G$3),K388,E388)</f>
        <v>870.32</v>
      </c>
      <c r="Q388" s="154" t="str">
        <f t="shared" si="47"/>
        <v>7-Dépenses</v>
      </c>
      <c r="R388" s="153" t="str">
        <f t="shared" si="48"/>
        <v>6181</v>
      </c>
      <c r="S388" s="154">
        <f t="shared" si="49"/>
        <v>0</v>
      </c>
      <c r="T388" s="156" t="str">
        <f>+VLOOKUP($L388,Data_Validation!$A:$D,1,0)</f>
        <v>6581</v>
      </c>
      <c r="U388" s="156" t="str">
        <f>+VLOOKUP($L388,Data_Validation!$A:$D,3,0)</f>
        <v>Carrosserie</v>
      </c>
      <c r="V388" s="156" t="str">
        <f>+VLOOKUP($L388,Data_Validation!$A:$D,4,0)</f>
        <v>Chauffage, éclairage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4" t="s">
        <v>1398</v>
      </c>
      <c r="B389" s="1014" t="s">
        <v>2708</v>
      </c>
      <c r="C389" s="1016">
        <v>3640</v>
      </c>
      <c r="D389" s="1016">
        <v>1820</v>
      </c>
      <c r="E389" s="1016">
        <v>5460</v>
      </c>
      <c r="F389" s="1014" t="s">
        <v>401</v>
      </c>
      <c r="G389" s="1014" t="s">
        <v>2709</v>
      </c>
      <c r="H389" s="150"/>
      <c r="I389" s="157"/>
      <c r="J389" s="157"/>
      <c r="K389" s="157"/>
      <c r="L389" s="153" t="str">
        <f t="shared" si="45"/>
        <v>6582</v>
      </c>
      <c r="M389" s="154" t="str">
        <f t="shared" si="46"/>
        <v>LOYER - CARROSSERIE</v>
      </c>
      <c r="N389" s="155">
        <f>+IF(OR($Q389=Parametres!$G$2,$Q389=Parametres!$G$3),I389,C389)</f>
        <v>3640</v>
      </c>
      <c r="O389" s="155">
        <f>+IF(OR($Q389=Parametres!$G$2,$Q389=Parametres!$G$3),J389,D389)</f>
        <v>1820</v>
      </c>
      <c r="P389" s="155">
        <f>+IF(OR($Q389=Parametres!$G$2,$Q389=Parametres!$G$3),K389,E389)</f>
        <v>5460</v>
      </c>
      <c r="Q389" s="154" t="str">
        <f t="shared" si="47"/>
        <v>7-Dépenses</v>
      </c>
      <c r="R389" s="153" t="str">
        <f t="shared" si="48"/>
        <v>6182</v>
      </c>
      <c r="S389" s="154">
        <f t="shared" si="49"/>
        <v>0</v>
      </c>
      <c r="T389" s="156" t="str">
        <f>+VLOOKUP($L389,Data_Validation!$A:$D,1,0)</f>
        <v>6582</v>
      </c>
      <c r="U389" s="156" t="str">
        <f>+VLOOKUP($L389,Data_Validation!$A:$D,3,0)</f>
        <v>Carrosserie</v>
      </c>
      <c r="V389" s="156" t="str">
        <f>+VLOOKUP($L389,Data_Validation!$A:$D,4,0)</f>
        <v>Loyer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4" t="s">
        <v>1255</v>
      </c>
      <c r="B390" s="1014" t="s">
        <v>2593</v>
      </c>
      <c r="C390" s="1016">
        <v>519.14</v>
      </c>
      <c r="D390" s="1016">
        <v>259.57</v>
      </c>
      <c r="E390" s="1016">
        <v>778.71</v>
      </c>
      <c r="F390" s="1014" t="s">
        <v>401</v>
      </c>
      <c r="G390" s="1014" t="s">
        <v>2594</v>
      </c>
      <c r="H390" s="150"/>
      <c r="I390" s="152"/>
      <c r="J390" s="152"/>
      <c r="K390" s="152"/>
      <c r="L390" s="153" t="str">
        <f t="shared" si="45"/>
        <v>6586</v>
      </c>
      <c r="M390" s="154" t="str">
        <f t="shared" si="46"/>
        <v>ASSURANCE BATISSE &amp; AMEL.-CARROS.</v>
      </c>
      <c r="N390" s="155">
        <f>+IF(OR($Q390=Parametres!$G$2,$Q390=Parametres!$G$3),I390,C390)</f>
        <v>519.14</v>
      </c>
      <c r="O390" s="155">
        <f>+IF(OR($Q390=Parametres!$G$2,$Q390=Parametres!$G$3),J390,D390)</f>
        <v>259.57</v>
      </c>
      <c r="P390" s="155">
        <f>+IF(OR($Q390=Parametres!$G$2,$Q390=Parametres!$G$3),K390,E390)</f>
        <v>778.71</v>
      </c>
      <c r="Q390" s="154" t="str">
        <f t="shared" si="47"/>
        <v>7-Dépenses</v>
      </c>
      <c r="R390" s="153" t="str">
        <f t="shared" si="48"/>
        <v>6186</v>
      </c>
      <c r="S390" s="154">
        <f t="shared" si="49"/>
        <v>0</v>
      </c>
      <c r="T390" s="156" t="str">
        <f>+VLOOKUP($L390,Data_Validation!$A:$D,1,0)</f>
        <v>6586</v>
      </c>
      <c r="U390" s="156" t="str">
        <f>+VLOOKUP($L390,Data_Validation!$A:$D,3,0)</f>
        <v>Carrosserie</v>
      </c>
      <c r="V390" s="156" t="str">
        <f>+VLOOKUP($L390,Data_Validation!$A:$D,4,0)</f>
        <v>Assurances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4" t="s">
        <v>1264</v>
      </c>
      <c r="B391" s="1014" t="s">
        <v>2613</v>
      </c>
      <c r="C391" s="1016">
        <v>673.4</v>
      </c>
      <c r="D391" s="1016">
        <v>336.7</v>
      </c>
      <c r="E391" s="1016">
        <v>1010.1</v>
      </c>
      <c r="F391" s="1014" t="s">
        <v>401</v>
      </c>
      <c r="G391" s="1014" t="s">
        <v>2614</v>
      </c>
      <c r="H391" s="150"/>
      <c r="I391" s="157"/>
      <c r="J391" s="157"/>
      <c r="K391" s="157"/>
      <c r="L391" s="153" t="str">
        <f t="shared" si="45"/>
        <v>6587</v>
      </c>
      <c r="M391" s="154" t="str">
        <f t="shared" si="46"/>
        <v>TAXES FONCIERES - CAROSSERIE</v>
      </c>
      <c r="N391" s="155">
        <f>+IF(OR($Q391=Parametres!$G$2,$Q391=Parametres!$G$3),I391,C391)</f>
        <v>673.4</v>
      </c>
      <c r="O391" s="155">
        <f>+IF(OR($Q391=Parametres!$G$2,$Q391=Parametres!$G$3),J391,D391)</f>
        <v>336.7</v>
      </c>
      <c r="P391" s="155">
        <f>+IF(OR($Q391=Parametres!$G$2,$Q391=Parametres!$G$3),K391,E391)</f>
        <v>1010.1</v>
      </c>
      <c r="Q391" s="154" t="str">
        <f t="shared" si="47"/>
        <v>7-Dépenses</v>
      </c>
      <c r="R391" s="153" t="str">
        <f t="shared" si="48"/>
        <v>6187</v>
      </c>
      <c r="S391" s="154">
        <f t="shared" si="49"/>
        <v>0</v>
      </c>
      <c r="T391" s="156" t="str">
        <f>+VLOOKUP($L391,Data_Validation!$A:$D,1,0)</f>
        <v>6587</v>
      </c>
      <c r="U391" s="156" t="str">
        <f>+VLOOKUP($L391,Data_Validation!$A:$D,3,0)</f>
        <v>Carrosserie</v>
      </c>
      <c r="V391" s="156" t="str">
        <f>+VLOOKUP($L391,Data_Validation!$A:$D,4,0)</f>
        <v>Taxes foncières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4" t="s">
        <v>1225</v>
      </c>
      <c r="B392" s="1014" t="s">
        <v>2596</v>
      </c>
      <c r="C392" s="1016">
        <v>448</v>
      </c>
      <c r="D392" s="1016">
        <v>224</v>
      </c>
      <c r="E392" s="1016">
        <v>672</v>
      </c>
      <c r="F392" s="1014" t="s">
        <v>401</v>
      </c>
      <c r="G392" s="1014" t="s">
        <v>2597</v>
      </c>
      <c r="H392" s="150"/>
      <c r="I392" s="157"/>
      <c r="J392" s="157"/>
      <c r="K392" s="157"/>
      <c r="L392" s="153" t="str">
        <f t="shared" si="45"/>
        <v>6593</v>
      </c>
      <c r="M392" s="154" t="str">
        <f t="shared" si="46"/>
        <v>AUTRES TAXES -CARROSSERIE</v>
      </c>
      <c r="N392" s="155">
        <f>+IF(OR($Q392=Parametres!$G$2,$Q392=Parametres!$G$3),I392,C392)</f>
        <v>448</v>
      </c>
      <c r="O392" s="155">
        <f>+IF(OR($Q392=Parametres!$G$2,$Q392=Parametres!$G$3),J392,D392)</f>
        <v>224</v>
      </c>
      <c r="P392" s="155">
        <f>+IF(OR($Q392=Parametres!$G$2,$Q392=Parametres!$G$3),K392,E392)</f>
        <v>672</v>
      </c>
      <c r="Q392" s="154" t="str">
        <f t="shared" si="47"/>
        <v>7-Dépenses</v>
      </c>
      <c r="R392" s="153" t="str">
        <f t="shared" si="48"/>
        <v>6193</v>
      </c>
      <c r="S392" s="154">
        <f t="shared" si="49"/>
        <v>0</v>
      </c>
      <c r="T392" s="156" t="str">
        <f>+VLOOKUP($L392,Data_Validation!$A:$D,1,0)</f>
        <v>6593</v>
      </c>
      <c r="U392" s="156" t="str">
        <f>+VLOOKUP($L392,Data_Validation!$A:$D,3,0)</f>
        <v>Carrosserie</v>
      </c>
      <c r="V392" s="156" t="str">
        <f>+VLOOKUP($L392,Data_Validation!$A:$D,4,0)</f>
        <v>Taxes d`affaires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4" t="s">
        <v>1271</v>
      </c>
      <c r="B393" s="1014" t="s">
        <v>2634</v>
      </c>
      <c r="C393" s="1016">
        <v>870.4</v>
      </c>
      <c r="D393" s="1016">
        <v>435.2</v>
      </c>
      <c r="E393" s="1016">
        <v>1305.5999999999999</v>
      </c>
      <c r="F393" s="1014" t="s">
        <v>401</v>
      </c>
      <c r="G393" s="1014" t="s">
        <v>2635</v>
      </c>
      <c r="H393" s="150"/>
      <c r="I393" s="157"/>
      <c r="J393" s="157"/>
      <c r="K393" s="157"/>
      <c r="L393" s="153" t="str">
        <f t="shared" si="45"/>
        <v>6594</v>
      </c>
      <c r="M393" s="154" t="str">
        <f t="shared" si="46"/>
        <v>FRAIS PROFESSIONNEL-CARROS.</v>
      </c>
      <c r="N393" s="155">
        <f>+IF(OR($Q393=Parametres!$G$2,$Q393=Parametres!$G$3),I393,C393)</f>
        <v>870.4</v>
      </c>
      <c r="O393" s="155">
        <f>+IF(OR($Q393=Parametres!$G$2,$Q393=Parametres!$G$3),J393,D393)</f>
        <v>435.2</v>
      </c>
      <c r="P393" s="155">
        <f>+IF(OR($Q393=Parametres!$G$2,$Q393=Parametres!$G$3),K393,E393)</f>
        <v>1305.5999999999999</v>
      </c>
      <c r="Q393" s="154" t="str">
        <f t="shared" si="47"/>
        <v>7-Dépenses</v>
      </c>
      <c r="R393" s="153" t="str">
        <f t="shared" si="48"/>
        <v>6194</v>
      </c>
      <c r="S393" s="154">
        <f t="shared" si="49"/>
        <v>0</v>
      </c>
      <c r="T393" s="156" t="str">
        <f>+VLOOKUP($L393,Data_Validation!$A:$D,1,0)</f>
        <v>6594</v>
      </c>
      <c r="U393" s="156" t="str">
        <f>+VLOOKUP($L393,Data_Validation!$A:$D,3,0)</f>
        <v>Carrosserie</v>
      </c>
      <c r="V393" s="156" t="str">
        <f>+VLOOKUP($L393,Data_Validation!$A:$D,4,0)</f>
        <v>Honoraires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4" t="s">
        <v>399</v>
      </c>
      <c r="B394" s="1014" t="s">
        <v>2472</v>
      </c>
      <c r="C394" s="1016">
        <v>246.23</v>
      </c>
      <c r="D394" s="1016">
        <v>0</v>
      </c>
      <c r="E394" s="1016">
        <v>246.23</v>
      </c>
      <c r="F394" s="1014" t="s">
        <v>401</v>
      </c>
      <c r="G394" s="1014" t="s">
        <v>2467</v>
      </c>
      <c r="H394" s="150"/>
      <c r="I394" s="151"/>
      <c r="J394" s="151"/>
      <c r="K394" s="151"/>
      <c r="L394" s="153" t="str">
        <f t="shared" si="45"/>
        <v>6703</v>
      </c>
      <c r="M394" s="154" t="str">
        <f t="shared" si="46"/>
        <v>RELAT. A LA CLIENTELE &amp; AJUST.</v>
      </c>
      <c r="N394" s="155">
        <f>+IF(OR($Q394=Parametres!$G$2,$Q394=Parametres!$G$3),I394,C394)</f>
        <v>246.23</v>
      </c>
      <c r="O394" s="155">
        <f>+IF(OR($Q394=Parametres!$G$2,$Q394=Parametres!$G$3),J394,D394)</f>
        <v>0</v>
      </c>
      <c r="P394" s="155">
        <f>+IF(OR($Q394=Parametres!$G$2,$Q394=Parametres!$G$3),K394,E394)</f>
        <v>246.23</v>
      </c>
      <c r="Q394" s="154" t="str">
        <f t="shared" si="47"/>
        <v>7-Dépenses</v>
      </c>
      <c r="R394" s="153" t="str">
        <f t="shared" si="48"/>
        <v>6112</v>
      </c>
      <c r="S394" s="154">
        <f t="shared" si="49"/>
        <v>0</v>
      </c>
      <c r="T394" s="156" t="str">
        <f>+VLOOKUP($L394,Data_Validation!$A:$D,1,0)</f>
        <v>6703</v>
      </c>
      <c r="U394" s="156" t="str">
        <f>+VLOOKUP($L394,Data_Validation!$A:$D,3,0)</f>
        <v>Pièces</v>
      </c>
      <c r="V394" s="156" t="str">
        <f>+VLOOKUP($L394,Data_Validation!$A:$D,4,0)</f>
        <v>Service gratuit 2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4" t="s">
        <v>1374</v>
      </c>
      <c r="B395" s="1014" t="s">
        <v>2675</v>
      </c>
      <c r="C395" s="1016">
        <v>7004.97</v>
      </c>
      <c r="D395" s="1016">
        <v>8900.66</v>
      </c>
      <c r="E395" s="1016">
        <v>15905.63</v>
      </c>
      <c r="F395" s="1014" t="s">
        <v>401</v>
      </c>
      <c r="G395" s="1014" t="s">
        <v>2113</v>
      </c>
      <c r="H395" s="150"/>
      <c r="I395" s="157"/>
      <c r="J395" s="157"/>
      <c r="K395" s="157"/>
      <c r="L395" s="153" t="str">
        <f t="shared" si="45"/>
        <v>6714</v>
      </c>
      <c r="M395" s="154" t="str">
        <f t="shared" si="46"/>
        <v>PUBLICITE</v>
      </c>
      <c r="N395" s="155">
        <f>+IF(OR($Q395=Parametres!$G$2,$Q395=Parametres!$G$3),I395,C395)</f>
        <v>7004.97</v>
      </c>
      <c r="O395" s="155">
        <f>+IF(OR($Q395=Parametres!$G$2,$Q395=Parametres!$G$3),J395,D395)</f>
        <v>8900.66</v>
      </c>
      <c r="P395" s="155">
        <f>+IF(OR($Q395=Parametres!$G$2,$Q395=Parametres!$G$3),K395,E395)</f>
        <v>15905.63</v>
      </c>
      <c r="Q395" s="154" t="str">
        <f t="shared" si="47"/>
        <v>7-Dépenses</v>
      </c>
      <c r="R395" s="153" t="str">
        <f t="shared" si="48"/>
        <v>6114</v>
      </c>
      <c r="S395" s="154">
        <f t="shared" si="49"/>
        <v>0</v>
      </c>
      <c r="T395" s="156" t="str">
        <f>+VLOOKUP($L395,Data_Validation!$A:$D,1,0)</f>
        <v>6714</v>
      </c>
      <c r="U395" s="156" t="str">
        <f>+VLOOKUP($L395,Data_Validation!$A:$D,3,0)</f>
        <v>Pièces</v>
      </c>
      <c r="V395" s="156" t="str">
        <f>+VLOOKUP($L395,Data_Validation!$A:$D,4,0)</f>
        <v>Publicité 2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4" t="s">
        <v>1357</v>
      </c>
      <c r="B396" s="1014" t="s">
        <v>2715</v>
      </c>
      <c r="C396" s="1016">
        <v>1458.34</v>
      </c>
      <c r="D396" s="1016">
        <v>729.17</v>
      </c>
      <c r="E396" s="1016">
        <v>2187.5100000000002</v>
      </c>
      <c r="F396" s="1014" t="s">
        <v>401</v>
      </c>
      <c r="G396" s="1014" t="s">
        <v>2648</v>
      </c>
      <c r="H396" s="150"/>
      <c r="I396" s="157"/>
      <c r="J396" s="157"/>
      <c r="K396" s="157"/>
      <c r="L396" s="153" t="str">
        <f t="shared" si="45"/>
        <v>6721</v>
      </c>
      <c r="M396" s="154" t="str">
        <f t="shared" si="46"/>
        <v>SALAIRES - PROPRIEATIRES</v>
      </c>
      <c r="N396" s="155">
        <f>+IF(OR($Q396=Parametres!$G$2,$Q396=Parametres!$G$3),I396,C396)</f>
        <v>1458.34</v>
      </c>
      <c r="O396" s="155">
        <f>+IF(OR($Q396=Parametres!$G$2,$Q396=Parametres!$G$3),J396,D396)</f>
        <v>729.17</v>
      </c>
      <c r="P396" s="155">
        <f>+IF(OR($Q396=Parametres!$G$2,$Q396=Parametres!$G$3),K396,E396)</f>
        <v>2187.5100000000002</v>
      </c>
      <c r="Q396" s="154" t="str">
        <f t="shared" si="47"/>
        <v>7-Dépenses</v>
      </c>
      <c r="R396" s="153" t="str">
        <f t="shared" si="48"/>
        <v>6121</v>
      </c>
      <c r="S396" s="154">
        <f t="shared" si="49"/>
        <v>0</v>
      </c>
      <c r="T396" s="156" t="str">
        <f>+VLOOKUP($L396,Data_Validation!$A:$D,1,0)</f>
        <v>6721</v>
      </c>
      <c r="U396" s="156" t="str">
        <f>+VLOOKUP($L396,Data_Validation!$A:$D,3,0)</f>
        <v>Pièces</v>
      </c>
      <c r="V396" s="156" t="str">
        <f>+VLOOKUP($L396,Data_Validation!$A:$D,4,0)</f>
        <v>Salaires propriétaire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4" t="s">
        <v>2624</v>
      </c>
      <c r="B397" s="1014" t="s">
        <v>2765</v>
      </c>
      <c r="C397" s="1016">
        <v>10585.28</v>
      </c>
      <c r="D397" s="1016">
        <v>6893.09</v>
      </c>
      <c r="E397" s="1016">
        <v>17478.37</v>
      </c>
      <c r="F397" s="1014" t="s">
        <v>401</v>
      </c>
      <c r="G397" s="1014" t="s">
        <v>2626</v>
      </c>
      <c r="H397" s="150"/>
      <c r="I397" s="151"/>
      <c r="J397" s="151"/>
      <c r="K397" s="151"/>
      <c r="L397" s="153" t="str">
        <f t="shared" si="45"/>
        <v>6722</v>
      </c>
      <c r="M397" s="154" t="str">
        <f t="shared" si="46"/>
        <v>SAL SUPERVISION / GERANT</v>
      </c>
      <c r="N397" s="155">
        <f>+IF(OR($Q397=Parametres!$G$2,$Q397=Parametres!$G$3),I397,C397)</f>
        <v>10585.28</v>
      </c>
      <c r="O397" s="155">
        <f>+IF(OR($Q397=Parametres!$G$2,$Q397=Parametres!$G$3),J397,D397)</f>
        <v>6893.09</v>
      </c>
      <c r="P397" s="155">
        <f>+IF(OR($Q397=Parametres!$G$2,$Q397=Parametres!$G$3),K397,E397)</f>
        <v>17478.37</v>
      </c>
      <c r="Q397" s="154" t="str">
        <f t="shared" si="47"/>
        <v>7-Dépenses</v>
      </c>
      <c r="R397" s="153" t="str">
        <f t="shared" si="48"/>
        <v>6122</v>
      </c>
      <c r="S397" s="154">
        <f t="shared" si="49"/>
        <v>0</v>
      </c>
      <c r="T397" s="156" t="str">
        <f>+VLOOKUP($L397,Data_Validation!$A:$D,1,0)</f>
        <v>6722</v>
      </c>
      <c r="U397" s="156" t="str">
        <f>+VLOOKUP($L397,Data_Validation!$A:$D,3,0)</f>
        <v>Pièces</v>
      </c>
      <c r="V397" s="156" t="str">
        <f>+VLOOKUP($L397,Data_Validation!$A:$D,4,0)</f>
        <v>Salaires cadres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4" t="s">
        <v>1342</v>
      </c>
      <c r="B398" s="1014" t="s">
        <v>2731</v>
      </c>
      <c r="C398" s="1016">
        <v>7531.57</v>
      </c>
      <c r="D398" s="1016">
        <v>4156.03</v>
      </c>
      <c r="E398" s="1016">
        <v>11687.6</v>
      </c>
      <c r="F398" s="1014" t="s">
        <v>401</v>
      </c>
      <c r="G398" s="1014" t="s">
        <v>2679</v>
      </c>
      <c r="H398" s="949"/>
      <c r="I398" s="948"/>
      <c r="J398" s="948"/>
      <c r="K398" s="948"/>
      <c r="L398" s="153" t="str">
        <f t="shared" si="45"/>
        <v>6723</v>
      </c>
      <c r="M398" s="154" t="str">
        <f t="shared" si="46"/>
        <v>SAL. &amp; RENUM. - CLERICAL</v>
      </c>
      <c r="N398" s="155">
        <f>+IF(OR($Q398=Parametres!$G$2,$Q398=Parametres!$G$3),I398,C398)</f>
        <v>7531.57</v>
      </c>
      <c r="O398" s="155">
        <f>+IF(OR($Q398=Parametres!$G$2,$Q398=Parametres!$G$3),J398,D398)</f>
        <v>4156.03</v>
      </c>
      <c r="P398" s="155">
        <f>+IF(OR($Q398=Parametres!$G$2,$Q398=Parametres!$G$3),K398,E398)</f>
        <v>11687.6</v>
      </c>
      <c r="Q398" s="154" t="str">
        <f t="shared" si="47"/>
        <v>7-Dépenses</v>
      </c>
      <c r="R398" s="153" t="str">
        <f t="shared" si="48"/>
        <v>6123</v>
      </c>
      <c r="S398" s="154">
        <f t="shared" si="49"/>
        <v>0</v>
      </c>
      <c r="T398" s="156" t="str">
        <f>+VLOOKUP($L398,Data_Validation!$A:$D,1,0)</f>
        <v>6723</v>
      </c>
      <c r="U398" s="156" t="str">
        <f>+VLOOKUP($L398,Data_Validation!$A:$D,3,0)</f>
        <v>Pièces</v>
      </c>
      <c r="V398" s="156" t="str">
        <f>+VLOOKUP($L398,Data_Validation!$A:$D,4,0)</f>
        <v>Salaires commis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4" t="s">
        <v>1249</v>
      </c>
      <c r="B399" s="1014" t="s">
        <v>2800</v>
      </c>
      <c r="C399" s="1016">
        <v>38480.550000000003</v>
      </c>
      <c r="D399" s="1016">
        <v>18839.57</v>
      </c>
      <c r="E399" s="1016">
        <v>57320.12</v>
      </c>
      <c r="F399" s="1014" t="s">
        <v>401</v>
      </c>
      <c r="G399" s="1014" t="s">
        <v>2735</v>
      </c>
      <c r="H399" s="949"/>
      <c r="I399" s="949"/>
      <c r="J399" s="949"/>
      <c r="K399" s="949"/>
      <c r="L399" s="153" t="str">
        <f t="shared" si="45"/>
        <v>6724</v>
      </c>
      <c r="M399" s="154" t="str">
        <f t="shared" si="46"/>
        <v>SALAIRES &amp; RENUM. - AUTRES</v>
      </c>
      <c r="N399" s="155">
        <f>+IF(OR($Q399=Parametres!$G$2,$Q399=Parametres!$G$3),I399,C399)</f>
        <v>38480.550000000003</v>
      </c>
      <c r="O399" s="155">
        <f>+IF(OR($Q399=Parametres!$G$2,$Q399=Parametres!$G$3),J399,D399)</f>
        <v>18839.57</v>
      </c>
      <c r="P399" s="155">
        <f>+IF(OR($Q399=Parametres!$G$2,$Q399=Parametres!$G$3),K399,E399)</f>
        <v>57320.12</v>
      </c>
      <c r="Q399" s="154" t="str">
        <f t="shared" si="47"/>
        <v>7-Dépenses</v>
      </c>
      <c r="R399" s="153" t="str">
        <f t="shared" si="48"/>
        <v>6124</v>
      </c>
      <c r="S399" s="154">
        <f t="shared" si="49"/>
        <v>0</v>
      </c>
      <c r="T399" s="156" t="str">
        <f>+VLOOKUP($L399,Data_Validation!$A:$D,1,0)</f>
        <v>6724</v>
      </c>
      <c r="U399" s="156" t="str">
        <f>+VLOOKUP($L399,Data_Validation!$A:$D,3,0)</f>
        <v>Pièces</v>
      </c>
      <c r="V399" s="156" t="str">
        <f>+VLOOKUP($L399,Data_Validation!$A:$D,4,0)</f>
        <v>Salaires autres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4" t="s">
        <v>1328</v>
      </c>
      <c r="B400" s="1014" t="s">
        <v>2722</v>
      </c>
      <c r="C400" s="1016">
        <v>5834.79</v>
      </c>
      <c r="D400" s="1016">
        <v>3222.16</v>
      </c>
      <c r="E400" s="1016">
        <v>9056.9500000000007</v>
      </c>
      <c r="F400" s="1014" t="s">
        <v>401</v>
      </c>
      <c r="G400" s="1014" t="s">
        <v>2641</v>
      </c>
      <c r="H400" s="150"/>
      <c r="I400" s="151"/>
      <c r="J400" s="151"/>
      <c r="K400" s="151"/>
      <c r="L400" s="153" t="str">
        <f t="shared" si="45"/>
        <v>6729</v>
      </c>
      <c r="M400" s="154" t="str">
        <f t="shared" si="46"/>
        <v>ABSENCES, VACANCES, ETC</v>
      </c>
      <c r="N400" s="155">
        <f>+IF(OR($Q400=Parametres!$G$2,$Q400=Parametres!$G$3),I400,C400)</f>
        <v>5834.79</v>
      </c>
      <c r="O400" s="155">
        <f>+IF(OR($Q400=Parametres!$G$2,$Q400=Parametres!$G$3),J400,D400)</f>
        <v>3222.16</v>
      </c>
      <c r="P400" s="155">
        <f>+IF(OR($Q400=Parametres!$G$2,$Q400=Parametres!$G$3),K400,E400)</f>
        <v>9056.9500000000007</v>
      </c>
      <c r="Q400" s="154" t="str">
        <f t="shared" si="47"/>
        <v>7-Dépenses</v>
      </c>
      <c r="R400" s="153" t="str">
        <f t="shared" si="48"/>
        <v>6129</v>
      </c>
      <c r="S400" s="154">
        <f t="shared" si="49"/>
        <v>0</v>
      </c>
      <c r="T400" s="156" t="str">
        <f>+VLOOKUP($L400,Data_Validation!$A:$D,1,0)</f>
        <v>6729</v>
      </c>
      <c r="U400" s="156" t="str">
        <f>+VLOOKUP($L400,Data_Validation!$A:$D,3,0)</f>
        <v>Pièces</v>
      </c>
      <c r="V400" s="156" t="str">
        <f>+VLOOKUP($L400,Data_Validation!$A:$D,4,0)</f>
        <v>Salaires en absences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4" t="s">
        <v>1252</v>
      </c>
      <c r="B401" s="1014" t="s">
        <v>2667</v>
      </c>
      <c r="C401" s="1016">
        <v>996.74</v>
      </c>
      <c r="D401" s="1016">
        <v>-11213.62</v>
      </c>
      <c r="E401" s="1016">
        <v>-10216.879999999999</v>
      </c>
      <c r="F401" s="1014" t="s">
        <v>401</v>
      </c>
      <c r="G401" s="1014" t="s">
        <v>2586</v>
      </c>
      <c r="H401" s="150"/>
      <c r="I401" s="157"/>
      <c r="J401" s="157"/>
      <c r="K401" s="157"/>
      <c r="L401" s="153" t="str">
        <f t="shared" si="45"/>
        <v>6731</v>
      </c>
      <c r="M401" s="154" t="str">
        <f t="shared" si="46"/>
        <v>CSST</v>
      </c>
      <c r="N401" s="155">
        <f>+IF(OR($Q401=Parametres!$G$2,$Q401=Parametres!$G$3),I401,C401)</f>
        <v>996.74</v>
      </c>
      <c r="O401" s="155">
        <f>+IF(OR($Q401=Parametres!$G$2,$Q401=Parametres!$G$3),J401,D401)</f>
        <v>-11213.62</v>
      </c>
      <c r="P401" s="155">
        <f>+IF(OR($Q401=Parametres!$G$2,$Q401=Parametres!$G$3),K401,E401)</f>
        <v>-10216.879999999999</v>
      </c>
      <c r="Q401" s="154" t="str">
        <f t="shared" si="47"/>
        <v>7-Dépenses</v>
      </c>
      <c r="R401" s="153" t="str">
        <f t="shared" si="48"/>
        <v>6131</v>
      </c>
      <c r="S401" s="154">
        <f t="shared" si="49"/>
        <v>0</v>
      </c>
      <c r="T401" s="156" t="str">
        <f>+VLOOKUP($L401,Data_Validation!$A:$D,1,0)</f>
        <v>6731</v>
      </c>
      <c r="U401" s="156" t="str">
        <f>+VLOOKUP($L401,Data_Validation!$A:$D,3,0)</f>
        <v>Pièces</v>
      </c>
      <c r="V401" s="156" t="str">
        <f>+VLOOKUP($L401,Data_Validation!$A:$D,4,0)</f>
        <v>Salaires en absences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4" t="s">
        <v>1283</v>
      </c>
      <c r="B402" s="1014" t="s">
        <v>2733</v>
      </c>
      <c r="C402" s="1016">
        <v>10182.620000000001</v>
      </c>
      <c r="D402" s="1016">
        <v>13907.71</v>
      </c>
      <c r="E402" s="1016">
        <v>24090.33</v>
      </c>
      <c r="F402" s="1014" t="s">
        <v>401</v>
      </c>
      <c r="G402" s="1014" t="s">
        <v>2685</v>
      </c>
      <c r="H402" s="150"/>
      <c r="I402" s="157"/>
      <c r="J402" s="157"/>
      <c r="K402" s="157"/>
      <c r="L402" s="153" t="str">
        <f t="shared" si="45"/>
        <v>6732</v>
      </c>
      <c r="M402" s="154" t="str">
        <f t="shared" si="46"/>
        <v>RRQ RAMQ AC</v>
      </c>
      <c r="N402" s="155">
        <f>+IF(OR($Q402=Parametres!$G$2,$Q402=Parametres!$G$3),I402,C402)</f>
        <v>10182.620000000001</v>
      </c>
      <c r="O402" s="575">
        <f>+IF(OR($Q402=Parametres!$G$2,$Q402=Parametres!$G$3),J402,D402)</f>
        <v>13907.71</v>
      </c>
      <c r="P402" s="155">
        <f>+IF(OR($Q402=Parametres!$G$2,$Q402=Parametres!$G$3),K402,E402)</f>
        <v>24090.33</v>
      </c>
      <c r="Q402" s="154" t="str">
        <f t="shared" si="47"/>
        <v>7-Dépenses</v>
      </c>
      <c r="R402" s="153" t="str">
        <f t="shared" si="48"/>
        <v>6132</v>
      </c>
      <c r="S402" s="154">
        <f t="shared" si="49"/>
        <v>0</v>
      </c>
      <c r="T402" s="156" t="str">
        <f>+VLOOKUP($L402,Data_Validation!$A:$D,1,0)</f>
        <v>6732</v>
      </c>
      <c r="U402" s="156" t="str">
        <f>+VLOOKUP($L402,Data_Validation!$A:$D,3,0)</f>
        <v>Pièces</v>
      </c>
      <c r="V402" s="156" t="str">
        <f>+VLOOKUP($L402,Data_Validation!$A:$D,4,0)</f>
        <v>Csst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4" t="s">
        <v>1164</v>
      </c>
      <c r="B403" s="1014" t="s">
        <v>2578</v>
      </c>
      <c r="C403" s="1016">
        <v>71.73</v>
      </c>
      <c r="D403" s="1016">
        <v>44.14</v>
      </c>
      <c r="E403" s="1016">
        <v>115.87</v>
      </c>
      <c r="F403" s="1014" t="s">
        <v>401</v>
      </c>
      <c r="G403" s="1014" t="s">
        <v>2579</v>
      </c>
      <c r="H403" s="150"/>
      <c r="I403" s="157"/>
      <c r="J403" s="157"/>
      <c r="K403" s="157"/>
      <c r="L403" s="153" t="str">
        <f t="shared" si="45"/>
        <v>6733</v>
      </c>
      <c r="M403" s="154" t="str">
        <f t="shared" si="46"/>
        <v>FOND PENSION - PIECES</v>
      </c>
      <c r="N403" s="155">
        <f>+IF(OR($Q403=Parametres!$G$2,$Q403=Parametres!$G$3),I403,C403)</f>
        <v>71.73</v>
      </c>
      <c r="O403" s="155">
        <f>+IF(OR($Q403=Parametres!$G$2,$Q403=Parametres!$G$3),J403,D403)</f>
        <v>44.14</v>
      </c>
      <c r="P403" s="155">
        <f>+IF(OR($Q403=Parametres!$G$2,$Q403=Parametres!$G$3),K403,E403)</f>
        <v>115.87</v>
      </c>
      <c r="Q403" s="154" t="str">
        <f t="shared" si="47"/>
        <v>7-Dépenses</v>
      </c>
      <c r="R403" s="153" t="str">
        <f t="shared" si="48"/>
        <v>6133</v>
      </c>
      <c r="S403" s="154">
        <f t="shared" si="49"/>
        <v>0</v>
      </c>
      <c r="T403" s="156" t="str">
        <f>+VLOOKUP($L403,Data_Validation!$A:$D,1,0)</f>
        <v>6733</v>
      </c>
      <c r="U403" s="156" t="str">
        <f>+VLOOKUP($L403,Data_Validation!$A:$D,3,0)</f>
        <v>Pièces</v>
      </c>
      <c r="V403" s="156" t="str">
        <f>+VLOOKUP($L403,Data_Validation!$A:$D,4,0)</f>
        <v>Déduction à la source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4" t="s">
        <v>1305</v>
      </c>
      <c r="B404" s="1014" t="s">
        <v>2744</v>
      </c>
      <c r="C404" s="1016">
        <v>8998.48</v>
      </c>
      <c r="D404" s="1016">
        <v>-1373.52</v>
      </c>
      <c r="E404" s="1016">
        <v>7624.96</v>
      </c>
      <c r="F404" s="1014" t="s">
        <v>401</v>
      </c>
      <c r="G404" s="1014" t="s">
        <v>2694</v>
      </c>
      <c r="H404" s="150"/>
      <c r="I404" s="157"/>
      <c r="J404" s="157"/>
      <c r="K404" s="157"/>
      <c r="L404" s="153" t="str">
        <f t="shared" si="45"/>
        <v>6739</v>
      </c>
      <c r="M404" s="154" t="str">
        <f t="shared" si="46"/>
        <v>ASSURANCE GROUPE</v>
      </c>
      <c r="N404" s="155">
        <f>+IF(OR($Q404=Parametres!$G$2,$Q404=Parametres!$G$3),I404,C404)</f>
        <v>8998.48</v>
      </c>
      <c r="O404" s="155">
        <f>+IF(OR($Q404=Parametres!$G$2,$Q404=Parametres!$G$3),J404,D404)</f>
        <v>-1373.52</v>
      </c>
      <c r="P404" s="155">
        <f>+IF(OR($Q404=Parametres!$G$2,$Q404=Parametres!$G$3),K404,E404)</f>
        <v>7624.96</v>
      </c>
      <c r="Q404" s="154" t="str">
        <f t="shared" si="47"/>
        <v>7-Dépenses</v>
      </c>
      <c r="R404" s="153" t="str">
        <f t="shared" si="48"/>
        <v>6139</v>
      </c>
      <c r="S404" s="154">
        <f t="shared" si="49"/>
        <v>0</v>
      </c>
      <c r="T404" s="156" t="str">
        <f>+VLOOKUP($L404,Data_Validation!$A:$D,1,0)</f>
        <v>6739</v>
      </c>
      <c r="U404" s="156" t="str">
        <f>+VLOOKUP($L404,Data_Validation!$A:$D,3,0)</f>
        <v>Pièces</v>
      </c>
      <c r="V404" s="156" t="str">
        <f>+VLOOKUP($L404,Data_Validation!$A:$D,4,0)</f>
        <v>Bénéfices marginaux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4" t="s">
        <v>1157</v>
      </c>
      <c r="B405" s="1014" t="s">
        <v>2598</v>
      </c>
      <c r="C405" s="1016">
        <v>164.65</v>
      </c>
      <c r="D405" s="1016">
        <v>0</v>
      </c>
      <c r="E405" s="1016">
        <v>164.65</v>
      </c>
      <c r="F405" s="1014" t="s">
        <v>401</v>
      </c>
      <c r="G405" s="1014" t="s">
        <v>2563</v>
      </c>
      <c r="H405" s="150"/>
      <c r="I405" s="151"/>
      <c r="J405" s="151"/>
      <c r="K405" s="151"/>
      <c r="L405" s="153" t="str">
        <f t="shared" si="45"/>
        <v>6742</v>
      </c>
      <c r="M405" s="154" t="str">
        <f t="shared" si="46"/>
        <v>FOURNITURES &amp; PETITS OUTILS</v>
      </c>
      <c r="N405" s="155">
        <f>+IF(OR($Q405=Parametres!$G$2,$Q405=Parametres!$G$3),I405,C405)</f>
        <v>164.65</v>
      </c>
      <c r="O405" s="155">
        <f>+IF(OR($Q405=Parametres!$G$2,$Q405=Parametres!$G$3),J405,D405)</f>
        <v>0</v>
      </c>
      <c r="P405" s="155">
        <f>+IF(OR($Q405=Parametres!$G$2,$Q405=Parametres!$G$3),K405,E405)</f>
        <v>164.65</v>
      </c>
      <c r="Q405" s="154" t="str">
        <f t="shared" si="47"/>
        <v>7-Dépenses</v>
      </c>
      <c r="R405" s="153" t="str">
        <f t="shared" si="48"/>
        <v>6142</v>
      </c>
      <c r="S405" s="154">
        <f t="shared" si="49"/>
        <v>0</v>
      </c>
      <c r="T405" s="156" t="str">
        <f>+VLOOKUP($L405,Data_Validation!$A:$D,1,0)</f>
        <v>6742</v>
      </c>
      <c r="U405" s="156" t="str">
        <f>+VLOOKUP($L405,Data_Validation!$A:$D,3,0)</f>
        <v>Pièces</v>
      </c>
      <c r="V405" s="156" t="str">
        <f>+VLOOKUP($L405,Data_Validation!$A:$D,4,0)</f>
        <v>Fournitures autres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947" t="s">
        <v>934</v>
      </c>
      <c r="B406" s="947" t="s">
        <v>2573</v>
      </c>
      <c r="C406" s="948">
        <v>44.28</v>
      </c>
      <c r="D406" s="948">
        <v>22.14</v>
      </c>
      <c r="E406" s="948">
        <v>66.42</v>
      </c>
      <c r="F406" s="947" t="s">
        <v>401</v>
      </c>
      <c r="G406" s="947" t="s">
        <v>2561</v>
      </c>
      <c r="H406" s="150"/>
      <c r="I406" s="157"/>
      <c r="J406" s="157"/>
      <c r="K406" s="157"/>
      <c r="L406" s="153" t="str">
        <f t="shared" si="45"/>
        <v>6744</v>
      </c>
      <c r="M406" s="154" t="str">
        <f t="shared" si="46"/>
        <v>FORMATION</v>
      </c>
      <c r="N406" s="155">
        <f>+IF(OR($Q406=Parametres!$G$2,$Q406=Parametres!$G$3),I406,C406)</f>
        <v>44.28</v>
      </c>
      <c r="O406" s="155">
        <f>+IF(OR($Q406=Parametres!$G$2,$Q406=Parametres!$G$3),J406,D406)</f>
        <v>22.14</v>
      </c>
      <c r="P406" s="155">
        <f>+IF(OR($Q406=Parametres!$G$2,$Q406=Parametres!$G$3),K406,E406)</f>
        <v>66.42</v>
      </c>
      <c r="Q406" s="154" t="str">
        <f t="shared" si="47"/>
        <v>7-Dépenses</v>
      </c>
      <c r="R406" s="153" t="str">
        <f t="shared" si="48"/>
        <v>6144</v>
      </c>
      <c r="S406" s="154">
        <f t="shared" si="49"/>
        <v>0</v>
      </c>
      <c r="T406" s="156" t="str">
        <f>+VLOOKUP($L406,Data_Validation!$A:$D,1,0)</f>
        <v>6744</v>
      </c>
      <c r="U406" s="156" t="str">
        <f>+VLOOKUP($L406,Data_Validation!$A:$D,3,0)</f>
        <v>Pièces</v>
      </c>
      <c r="V406" s="156" t="str">
        <f>+VLOOKUP($L406,Data_Validation!$A:$D,4,0)</f>
        <v>Formation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947" t="s">
        <v>1186</v>
      </c>
      <c r="B407" s="947" t="s">
        <v>2631</v>
      </c>
      <c r="C407" s="948">
        <v>581.78</v>
      </c>
      <c r="D407" s="948">
        <v>260.42</v>
      </c>
      <c r="E407" s="948">
        <v>842.2</v>
      </c>
      <c r="F407" s="947" t="s">
        <v>401</v>
      </c>
      <c r="G407" s="947" t="s">
        <v>2632</v>
      </c>
      <c r="H407" s="150"/>
      <c r="I407" s="157"/>
      <c r="J407" s="157"/>
      <c r="K407" s="157"/>
      <c r="L407" s="153" t="str">
        <f t="shared" si="45"/>
        <v>6745</v>
      </c>
      <c r="M407" s="154" t="str">
        <f t="shared" si="46"/>
        <v>VEHICULE DE COMPAGNIE - DEPENS</v>
      </c>
      <c r="N407" s="155">
        <f>+IF(OR($Q407=Parametres!$G$2,$Q407=Parametres!$G$3),I407,C407)</f>
        <v>581.78</v>
      </c>
      <c r="O407" s="155">
        <f>+IF(OR($Q407=Parametres!$G$2,$Q407=Parametres!$G$3),J407,D407)</f>
        <v>260.42</v>
      </c>
      <c r="P407" s="155">
        <f>+IF(OR($Q407=Parametres!$G$2,$Q407=Parametres!$G$3),K407,E407)</f>
        <v>842.2</v>
      </c>
      <c r="Q407" s="154" t="str">
        <f t="shared" si="47"/>
        <v>7-Dépenses</v>
      </c>
      <c r="R407" s="153" t="str">
        <f t="shared" si="48"/>
        <v>6145</v>
      </c>
      <c r="S407" s="154">
        <f t="shared" si="49"/>
        <v>0</v>
      </c>
      <c r="T407" s="156" t="str">
        <f>+VLOOKUP($L407,Data_Validation!$A:$D,1,0)</f>
        <v>6745</v>
      </c>
      <c r="U407" s="156" t="str">
        <f>+VLOOKUP($L407,Data_Validation!$A:$D,3,0)</f>
        <v>Pièces</v>
      </c>
      <c r="V407" s="156" t="str">
        <f>+VLOOKUP($L407,Data_Validation!$A:$D,4,0)</f>
        <v>Frais véhicules de cie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947" t="s">
        <v>1180</v>
      </c>
      <c r="B408" s="947" t="s">
        <v>2610</v>
      </c>
      <c r="C408" s="948">
        <v>1.02</v>
      </c>
      <c r="D408" s="948">
        <v>57.72</v>
      </c>
      <c r="E408" s="948">
        <v>58.74</v>
      </c>
      <c r="F408" s="947" t="s">
        <v>401</v>
      </c>
      <c r="G408" s="947" t="s">
        <v>2581</v>
      </c>
      <c r="H408" s="150"/>
      <c r="I408" s="151"/>
      <c r="J408" s="151"/>
      <c r="K408" s="151"/>
      <c r="L408" s="153" t="str">
        <f t="shared" si="45"/>
        <v>6747</v>
      </c>
      <c r="M408" s="154" t="str">
        <f t="shared" si="46"/>
        <v>FRET/EXPRESS/TRANS. PAR CAMION</v>
      </c>
      <c r="N408" s="155">
        <f>+IF(OR($Q408=Parametres!$G$2,$Q408=Parametres!$G$3),I408,C408)</f>
        <v>1.02</v>
      </c>
      <c r="O408" s="155">
        <f>+IF(OR($Q408=Parametres!$G$2,$Q408=Parametres!$G$3),J408,D408)</f>
        <v>57.72</v>
      </c>
      <c r="P408" s="155">
        <f>+IF(OR($Q408=Parametres!$G$2,$Q408=Parametres!$G$3),K408,E408)</f>
        <v>58.74</v>
      </c>
      <c r="Q408" s="154" t="str">
        <f t="shared" si="47"/>
        <v>7-Dépenses</v>
      </c>
      <c r="R408" s="153" t="str">
        <f t="shared" si="48"/>
        <v>6147</v>
      </c>
      <c r="S408" s="154">
        <f t="shared" si="49"/>
        <v>0</v>
      </c>
      <c r="T408" s="156" t="str">
        <f>+VLOOKUP($L408,Data_Validation!$A:$D,1,0)</f>
        <v>6747</v>
      </c>
      <c r="U408" s="156" t="str">
        <f>+VLOOKUP($L408,Data_Validation!$A:$D,3,0)</f>
        <v>Pièces</v>
      </c>
      <c r="V408" s="156" t="str">
        <f>+VLOOKUP($L408,Data_Validation!$A:$D,4,0)</f>
        <v>Frais postaux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947" t="s">
        <v>1286</v>
      </c>
      <c r="B409" s="947" t="s">
        <v>2739</v>
      </c>
      <c r="C409" s="948">
        <v>7443.5</v>
      </c>
      <c r="D409" s="948">
        <v>4026.54</v>
      </c>
      <c r="E409" s="948">
        <v>11470.04</v>
      </c>
      <c r="F409" s="947" t="s">
        <v>401</v>
      </c>
      <c r="G409" s="947" t="s">
        <v>2702</v>
      </c>
      <c r="H409" s="150"/>
      <c r="I409" s="151"/>
      <c r="J409" s="151"/>
      <c r="K409" s="151"/>
      <c r="L409" s="153" t="str">
        <f t="shared" si="45"/>
        <v>6751</v>
      </c>
      <c r="M409" s="154" t="str">
        <f t="shared" si="46"/>
        <v>DEP. DU TRAITEMENT DES DONNEES</v>
      </c>
      <c r="N409" s="155">
        <f>+IF(OR($Q409=Parametres!$G$2,$Q409=Parametres!$G$3),I409,C409)</f>
        <v>7443.5</v>
      </c>
      <c r="O409" s="155">
        <f>+IF(OR($Q409=Parametres!$G$2,$Q409=Parametres!$G$3),J409,D409)</f>
        <v>4026.54</v>
      </c>
      <c r="P409" s="155">
        <f>+IF(OR($Q409=Parametres!$G$2,$Q409=Parametres!$G$3),K409,E409)</f>
        <v>11470.04</v>
      </c>
      <c r="Q409" s="154" t="str">
        <f t="shared" si="47"/>
        <v>7-Dépenses</v>
      </c>
      <c r="R409" s="153" t="str">
        <f t="shared" si="48"/>
        <v>6151</v>
      </c>
      <c r="S409" s="154">
        <f t="shared" si="49"/>
        <v>0</v>
      </c>
      <c r="T409" s="156" t="str">
        <f>+VLOOKUP($L409,Data_Validation!$A:$D,1,0)</f>
        <v>6751</v>
      </c>
      <c r="U409" s="156" t="str">
        <f>+VLOOKUP($L409,Data_Validation!$A:$D,3,0)</f>
        <v>Pièces</v>
      </c>
      <c r="V409" s="156" t="str">
        <f>+VLOOKUP($L409,Data_Validation!$A:$D,4,0)</f>
        <v>Informatique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947" t="s">
        <v>1206</v>
      </c>
      <c r="B410" s="947" t="s">
        <v>2646</v>
      </c>
      <c r="C410" s="948">
        <v>821.09</v>
      </c>
      <c r="D410" s="948">
        <v>301.47000000000003</v>
      </c>
      <c r="E410" s="948">
        <v>1122.56</v>
      </c>
      <c r="F410" s="947" t="s">
        <v>401</v>
      </c>
      <c r="G410" s="947" t="s">
        <v>2588</v>
      </c>
      <c r="H410" s="150"/>
      <c r="I410" s="151"/>
      <c r="J410" s="151"/>
      <c r="K410" s="151"/>
      <c r="L410" s="153" t="str">
        <f t="shared" si="45"/>
        <v>6752</v>
      </c>
      <c r="M410" s="154" t="str">
        <f t="shared" si="46"/>
        <v>PAPETERIE</v>
      </c>
      <c r="N410" s="155">
        <f>+IF(OR($Q410=Parametres!$G$2,$Q410=Parametres!$G$3),I410,C410)</f>
        <v>821.09</v>
      </c>
      <c r="O410" s="155">
        <f>+IF(OR($Q410=Parametres!$G$2,$Q410=Parametres!$G$3),J410,D410)</f>
        <v>301.47000000000003</v>
      </c>
      <c r="P410" s="155">
        <f>+IF(OR($Q410=Parametres!$G$2,$Q410=Parametres!$G$3),K410,E410)</f>
        <v>1122.56</v>
      </c>
      <c r="Q410" s="154" t="str">
        <f t="shared" si="47"/>
        <v>7-Dépenses</v>
      </c>
      <c r="R410" s="153" t="str">
        <f t="shared" si="48"/>
        <v>6152</v>
      </c>
      <c r="S410" s="154">
        <f t="shared" si="49"/>
        <v>0</v>
      </c>
      <c r="T410" s="156" t="str">
        <f>+VLOOKUP($L410,Data_Validation!$A:$D,1,0)</f>
        <v>6752</v>
      </c>
      <c r="U410" s="156" t="str">
        <f>+VLOOKUP($L410,Data_Validation!$A:$D,3,0)</f>
        <v>Pièces</v>
      </c>
      <c r="V410" s="156" t="str">
        <f>+VLOOKUP($L410,Data_Validation!$A:$D,4,0)</f>
        <v>Papeterie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947" t="s">
        <v>1154</v>
      </c>
      <c r="B411" s="947" t="s">
        <v>2630</v>
      </c>
      <c r="C411" s="948">
        <v>518.23</v>
      </c>
      <c r="D411" s="948">
        <v>185.98</v>
      </c>
      <c r="E411" s="948">
        <v>704.21</v>
      </c>
      <c r="F411" s="947" t="s">
        <v>401</v>
      </c>
      <c r="G411" s="947" t="s">
        <v>2592</v>
      </c>
      <c r="H411" s="150"/>
      <c r="I411" s="151"/>
      <c r="J411" s="151"/>
      <c r="K411" s="151"/>
      <c r="L411" s="153" t="str">
        <f t="shared" si="45"/>
        <v>6753</v>
      </c>
      <c r="M411" s="154" t="str">
        <f t="shared" si="46"/>
        <v>TELEPHONE ET TELEX</v>
      </c>
      <c r="N411" s="155">
        <f>+IF(OR($Q411=Parametres!$G$2,$Q411=Parametres!$G$3),I411,C411)</f>
        <v>518.23</v>
      </c>
      <c r="O411" s="155">
        <f>+IF(OR($Q411=Parametres!$G$2,$Q411=Parametres!$G$3),J411,D411)</f>
        <v>185.98</v>
      </c>
      <c r="P411" s="155">
        <f>+IF(OR($Q411=Parametres!$G$2,$Q411=Parametres!$G$3),K411,E411)</f>
        <v>704.21</v>
      </c>
      <c r="Q411" s="154" t="str">
        <f t="shared" si="47"/>
        <v>7-Dépenses</v>
      </c>
      <c r="R411" s="153" t="str">
        <f t="shared" si="48"/>
        <v>6153</v>
      </c>
      <c r="S411" s="154">
        <f t="shared" si="49"/>
        <v>0</v>
      </c>
      <c r="T411" s="156" t="str">
        <f>+VLOOKUP($L411,Data_Validation!$A:$D,1,0)</f>
        <v>6753</v>
      </c>
      <c r="U411" s="156" t="str">
        <f>+VLOOKUP($L411,Data_Validation!$A:$D,3,0)</f>
        <v>Pièces</v>
      </c>
      <c r="V411" s="156" t="str">
        <f>+VLOOKUP($L411,Data_Validation!$A:$D,4,0)</f>
        <v>Téléphone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947" t="s">
        <v>1237</v>
      </c>
      <c r="B412" s="947" t="s">
        <v>2704</v>
      </c>
      <c r="C412" s="948">
        <v>498.74</v>
      </c>
      <c r="D412" s="948">
        <v>1488.49</v>
      </c>
      <c r="E412" s="948">
        <v>1987.23</v>
      </c>
      <c r="F412" s="947" t="s">
        <v>401</v>
      </c>
      <c r="G412" s="947" t="s">
        <v>2637</v>
      </c>
      <c r="H412" s="150"/>
      <c r="I412" s="157"/>
      <c r="J412" s="157"/>
      <c r="K412" s="157"/>
      <c r="L412" s="153" t="str">
        <f t="shared" si="45"/>
        <v>6755</v>
      </c>
      <c r="M412" s="154" t="str">
        <f t="shared" si="46"/>
        <v>DEPENSES DIVERS</v>
      </c>
      <c r="N412" s="155">
        <f>+IF(OR($Q412=Parametres!$G$2,$Q412=Parametres!$G$3),I412,C412)</f>
        <v>498.74</v>
      </c>
      <c r="O412" s="155">
        <f>+IF(OR($Q412=Parametres!$G$2,$Q412=Parametres!$G$3),J412,D412)</f>
        <v>1488.49</v>
      </c>
      <c r="P412" s="155">
        <f>+IF(OR($Q412=Parametres!$G$2,$Q412=Parametres!$G$3),K412,E412)</f>
        <v>1987.23</v>
      </c>
      <c r="Q412" s="154" t="str">
        <f t="shared" si="47"/>
        <v>7-Dépenses</v>
      </c>
      <c r="R412" s="153" t="str">
        <f t="shared" si="48"/>
        <v>6155</v>
      </c>
      <c r="S412" s="154">
        <f t="shared" si="49"/>
        <v>0</v>
      </c>
      <c r="T412" s="156" t="str">
        <f>+VLOOKUP($L412,Data_Validation!$A:$D,1,0)</f>
        <v>6755</v>
      </c>
      <c r="U412" s="156" t="str">
        <f>+VLOOKUP($L412,Data_Validation!$A:$D,3,0)</f>
        <v>Pièces</v>
      </c>
      <c r="V412" s="156" t="str">
        <f>+VLOOKUP($L412,Data_Validation!$A:$D,4,0)</f>
        <v>Divers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947" t="s">
        <v>1294</v>
      </c>
      <c r="B413" s="947" t="s">
        <v>2475</v>
      </c>
      <c r="C413" s="948">
        <v>105.24</v>
      </c>
      <c r="D413" s="948">
        <v>458.9</v>
      </c>
      <c r="E413" s="948">
        <v>564.14</v>
      </c>
      <c r="F413" s="947" t="s">
        <v>401</v>
      </c>
      <c r="G413" s="947" t="s">
        <v>2470</v>
      </c>
      <c r="H413" s="150"/>
      <c r="I413" s="157"/>
      <c r="J413" s="157"/>
      <c r="K413" s="157"/>
      <c r="L413" s="153" t="str">
        <f t="shared" si="45"/>
        <v>6756</v>
      </c>
      <c r="M413" s="154" t="str">
        <f t="shared" si="46"/>
        <v>FRAIS REPRESENTATION - PIECES</v>
      </c>
      <c r="N413" s="155">
        <f>+IF(OR($Q413=Parametres!$G$2,$Q413=Parametres!$G$3),I413,C413)</f>
        <v>105.24</v>
      </c>
      <c r="O413" s="155">
        <f>+IF(OR($Q413=Parametres!$G$2,$Q413=Parametres!$G$3),J413,D413)</f>
        <v>458.9</v>
      </c>
      <c r="P413" s="155">
        <f>+IF(OR($Q413=Parametres!$G$2,$Q413=Parametres!$G$3),K413,E413)</f>
        <v>564.14</v>
      </c>
      <c r="Q413" s="154" t="str">
        <f t="shared" si="47"/>
        <v>7-Dépenses</v>
      </c>
      <c r="R413" s="153" t="str">
        <f t="shared" si="48"/>
        <v>6156</v>
      </c>
      <c r="S413" s="154">
        <f t="shared" si="49"/>
        <v>0</v>
      </c>
      <c r="T413" s="156" t="str">
        <f>+VLOOKUP($L413,Data_Validation!$A:$D,1,0)</f>
        <v>6756</v>
      </c>
      <c r="U413" s="156" t="str">
        <f>+VLOOKUP($L413,Data_Validation!$A:$D,3,0)</f>
        <v>Pièces</v>
      </c>
      <c r="V413" s="156" t="str">
        <f>+VLOOKUP($L413,Data_Validation!$A:$D,4,0)</f>
        <v>Frais de déplacement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947" t="s">
        <v>1308</v>
      </c>
      <c r="B414" s="947" t="s">
        <v>2775</v>
      </c>
      <c r="C414" s="948">
        <v>11929.25</v>
      </c>
      <c r="D414" s="948">
        <v>5308.48</v>
      </c>
      <c r="E414" s="948">
        <v>17237.73</v>
      </c>
      <c r="F414" s="947" t="s">
        <v>401</v>
      </c>
      <c r="G414" s="947" t="s">
        <v>2662</v>
      </c>
      <c r="H414" s="150"/>
      <c r="I414" s="151"/>
      <c r="J414" s="151"/>
      <c r="K414" s="151"/>
      <c r="L414" s="153" t="str">
        <f t="shared" si="45"/>
        <v>6759</v>
      </c>
      <c r="M414" s="154" t="str">
        <f t="shared" si="46"/>
        <v>SERVICE EXTERIEUR</v>
      </c>
      <c r="N414" s="155">
        <f>+IF(OR($Q414=Parametres!$G$2,$Q414=Parametres!$G$3),I414,C414)</f>
        <v>11929.25</v>
      </c>
      <c r="O414" s="155">
        <f>+IF(OR($Q414=Parametres!$G$2,$Q414=Parametres!$G$3),J414,D414)</f>
        <v>5308.48</v>
      </c>
      <c r="P414" s="155">
        <f>+IF(OR($Q414=Parametres!$G$2,$Q414=Parametres!$G$3),K414,E414)</f>
        <v>17237.73</v>
      </c>
      <c r="Q414" s="154" t="str">
        <f t="shared" si="47"/>
        <v>7-Dépenses</v>
      </c>
      <c r="R414" s="153" t="str">
        <f t="shared" si="48"/>
        <v>6159</v>
      </c>
      <c r="S414" s="154">
        <f t="shared" si="49"/>
        <v>0</v>
      </c>
      <c r="T414" s="156" t="str">
        <f>+VLOOKUP($L414,Data_Validation!$A:$D,1,0)</f>
        <v>6759</v>
      </c>
      <c r="U414" s="156" t="str">
        <f>+VLOOKUP($L414,Data_Validation!$A:$D,3,0)</f>
        <v>Pièces</v>
      </c>
      <c r="V414" s="156" t="str">
        <f>+VLOOKUP($L414,Data_Validation!$A:$D,4,0)</f>
        <v>Services extérieurs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947" t="s">
        <v>1333</v>
      </c>
      <c r="B415" s="947" t="s">
        <v>2718</v>
      </c>
      <c r="C415" s="948">
        <v>4583.5</v>
      </c>
      <c r="D415" s="948">
        <v>2291.75</v>
      </c>
      <c r="E415" s="948">
        <v>6875.25</v>
      </c>
      <c r="F415" s="947" t="s">
        <v>401</v>
      </c>
      <c r="G415" s="947" t="s">
        <v>2653</v>
      </c>
      <c r="H415" s="150"/>
      <c r="I415" s="152"/>
      <c r="J415" s="152"/>
      <c r="K415" s="152"/>
      <c r="L415" s="153" t="str">
        <f t="shared" si="45"/>
        <v>6761</v>
      </c>
      <c r="M415" s="154" t="str">
        <f t="shared" si="46"/>
        <v>DEPRECIATION EQUIP. &amp; FIXTURES</v>
      </c>
      <c r="N415" s="155">
        <f>+IF(OR($Q415=Parametres!$G$2,$Q415=Parametres!$G$3),I415,C415)</f>
        <v>4583.5</v>
      </c>
      <c r="O415" s="155">
        <f>+IF(OR($Q415=Parametres!$G$2,$Q415=Parametres!$G$3),J415,D415)</f>
        <v>2291.75</v>
      </c>
      <c r="P415" s="155">
        <f>+IF(OR($Q415=Parametres!$G$2,$Q415=Parametres!$G$3),K415,E415)</f>
        <v>6875.25</v>
      </c>
      <c r="Q415" s="154" t="str">
        <f t="shared" si="47"/>
        <v>7-Dépenses</v>
      </c>
      <c r="R415" s="153" t="str">
        <f t="shared" si="48"/>
        <v>6161</v>
      </c>
      <c r="S415" s="154">
        <f t="shared" si="49"/>
        <v>0</v>
      </c>
      <c r="T415" s="156" t="str">
        <f>+VLOOKUP($L415,Data_Validation!$A:$D,1,0)</f>
        <v>6761</v>
      </c>
      <c r="U415" s="156" t="str">
        <f>+VLOOKUP($L415,Data_Validation!$A:$D,3,0)</f>
        <v>Pièces</v>
      </c>
      <c r="V415" s="156" t="str">
        <f>+VLOOKUP($L415,Data_Validation!$A:$D,4,0)</f>
        <v>Amortissement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947" t="s">
        <v>1316</v>
      </c>
      <c r="B416" s="947" t="s">
        <v>2671</v>
      </c>
      <c r="C416" s="948">
        <v>1372.13</v>
      </c>
      <c r="D416" s="948">
        <v>1736.25</v>
      </c>
      <c r="E416" s="948">
        <v>3108.38</v>
      </c>
      <c r="F416" s="947" t="s">
        <v>401</v>
      </c>
      <c r="G416" s="947" t="s">
        <v>2604</v>
      </c>
      <c r="H416" s="150"/>
      <c r="I416" s="151"/>
      <c r="J416" s="151"/>
      <c r="K416" s="151"/>
      <c r="L416" s="153" t="str">
        <f t="shared" si="45"/>
        <v>6781</v>
      </c>
      <c r="M416" s="154" t="str">
        <f t="shared" si="46"/>
        <v>CHAUFFAGE,ELECTRICITE,EAU-PIECES</v>
      </c>
      <c r="N416" s="155">
        <f>+IF(OR($Q416=Parametres!$G$2,$Q416=Parametres!$G$3),I416,C416)</f>
        <v>1372.13</v>
      </c>
      <c r="O416" s="155">
        <f>+IF(OR($Q416=Parametres!$G$2,$Q416=Parametres!$G$3),J416,D416)</f>
        <v>1736.25</v>
      </c>
      <c r="P416" s="155">
        <f>+IF(OR($Q416=Parametres!$G$2,$Q416=Parametres!$G$3),K416,E416)</f>
        <v>3108.38</v>
      </c>
      <c r="Q416" s="154" t="str">
        <f t="shared" si="47"/>
        <v>7-Dépenses</v>
      </c>
      <c r="R416" s="153" t="str">
        <f t="shared" si="48"/>
        <v>6181</v>
      </c>
      <c r="S416" s="154">
        <f t="shared" si="49"/>
        <v>0</v>
      </c>
      <c r="T416" s="156" t="str">
        <f>+VLOOKUP($L416,Data_Validation!$A:$D,1,0)</f>
        <v>6781</v>
      </c>
      <c r="U416" s="156" t="str">
        <f>+VLOOKUP($L416,Data_Validation!$A:$D,3,0)</f>
        <v>Pièces</v>
      </c>
      <c r="V416" s="156" t="str">
        <f>+VLOOKUP($L416,Data_Validation!$A:$D,4,0)</f>
        <v>Chauffage, éclairage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947" t="s">
        <v>1457</v>
      </c>
      <c r="B417" s="947" t="s">
        <v>2760</v>
      </c>
      <c r="C417" s="948">
        <v>13000</v>
      </c>
      <c r="D417" s="948">
        <v>6500</v>
      </c>
      <c r="E417" s="948">
        <v>19500</v>
      </c>
      <c r="F417" s="947" t="s">
        <v>401</v>
      </c>
      <c r="G417" s="947" t="s">
        <v>2709</v>
      </c>
      <c r="H417" s="150"/>
      <c r="I417" s="151"/>
      <c r="J417" s="151"/>
      <c r="K417" s="151"/>
      <c r="L417" s="153" t="str">
        <f t="shared" si="45"/>
        <v>6782</v>
      </c>
      <c r="M417" s="154" t="str">
        <f t="shared" si="46"/>
        <v>LOYER - PIECES</v>
      </c>
      <c r="N417" s="155">
        <f>+IF(OR($Q417=Parametres!$G$2,$Q417=Parametres!$G$3),I417,C417)</f>
        <v>13000</v>
      </c>
      <c r="O417" s="155">
        <f>+IF(OR($Q417=Parametres!$G$2,$Q417=Parametres!$G$3),J417,D417)</f>
        <v>6500</v>
      </c>
      <c r="P417" s="155">
        <f>+IF(OR($Q417=Parametres!$G$2,$Q417=Parametres!$G$3),K417,E417)</f>
        <v>19500</v>
      </c>
      <c r="Q417" s="154" t="str">
        <f t="shared" si="47"/>
        <v>7-Dépenses</v>
      </c>
      <c r="R417" s="153" t="str">
        <f t="shared" si="48"/>
        <v>6182</v>
      </c>
      <c r="S417" s="154">
        <f t="shared" si="49"/>
        <v>0</v>
      </c>
      <c r="T417" s="156" t="str">
        <f>+VLOOKUP($L417,Data_Validation!$A:$D,1,0)</f>
        <v>6782</v>
      </c>
      <c r="U417" s="156" t="str">
        <f>+VLOOKUP($L417,Data_Validation!$A:$D,3,0)</f>
        <v>Pièces</v>
      </c>
      <c r="V417" s="156" t="str">
        <f>+VLOOKUP($L417,Data_Validation!$A:$D,4,0)</f>
        <v>Loyer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947" t="s">
        <v>1352</v>
      </c>
      <c r="B418" s="947" t="s">
        <v>2660</v>
      </c>
      <c r="C418" s="948">
        <v>1854.04</v>
      </c>
      <c r="D418" s="948">
        <v>927.02</v>
      </c>
      <c r="E418" s="948">
        <v>2781.06</v>
      </c>
      <c r="F418" s="947" t="s">
        <v>401</v>
      </c>
      <c r="G418" s="947" t="s">
        <v>2594</v>
      </c>
      <c r="H418" s="150"/>
      <c r="I418" s="151"/>
      <c r="J418" s="151"/>
      <c r="K418" s="151"/>
      <c r="L418" s="153" t="str">
        <f t="shared" si="45"/>
        <v>6786</v>
      </c>
      <c r="M418" s="154" t="str">
        <f t="shared" si="46"/>
        <v>ASSURANCE BATISSE &amp; AMEL.-PIECES</v>
      </c>
      <c r="N418" s="155">
        <f>+IF(OR($Q418=Parametres!$G$2,$Q418=Parametres!$G$3),I418,C418)</f>
        <v>1854.04</v>
      </c>
      <c r="O418" s="155">
        <f>+IF(OR($Q418=Parametres!$G$2,$Q418=Parametres!$G$3),J418,D418)</f>
        <v>927.02</v>
      </c>
      <c r="P418" s="155">
        <f>+IF(OR($Q418=Parametres!$G$2,$Q418=Parametres!$G$3),K418,E418)</f>
        <v>2781.06</v>
      </c>
      <c r="Q418" s="154" t="str">
        <f t="shared" si="47"/>
        <v>7-Dépenses</v>
      </c>
      <c r="R418" s="153" t="str">
        <f t="shared" si="48"/>
        <v>6186</v>
      </c>
      <c r="S418" s="154">
        <f t="shared" si="49"/>
        <v>0</v>
      </c>
      <c r="T418" s="156" t="str">
        <f>+VLOOKUP($L418,Data_Validation!$A:$D,1,0)</f>
        <v>6786</v>
      </c>
      <c r="U418" s="156" t="str">
        <f>+VLOOKUP($L418,Data_Validation!$A:$D,3,0)</f>
        <v>Pièces</v>
      </c>
      <c r="V418" s="156" t="str">
        <f>+VLOOKUP($L418,Data_Validation!$A:$D,4,0)</f>
        <v>Assurances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947" t="s">
        <v>1344</v>
      </c>
      <c r="B419" s="947" t="s">
        <v>2686</v>
      </c>
      <c r="C419" s="948">
        <v>2405</v>
      </c>
      <c r="D419" s="948">
        <v>1202.5</v>
      </c>
      <c r="E419" s="948">
        <v>3607.5</v>
      </c>
      <c r="F419" s="947" t="s">
        <v>401</v>
      </c>
      <c r="G419" s="947" t="s">
        <v>2614</v>
      </c>
      <c r="H419" s="150"/>
      <c r="I419" s="151"/>
      <c r="J419" s="151"/>
      <c r="K419" s="151"/>
      <c r="L419" s="153" t="str">
        <f t="shared" si="45"/>
        <v>6787</v>
      </c>
      <c r="M419" s="154" t="str">
        <f t="shared" si="46"/>
        <v>TAXES FONCIERES - PIECES</v>
      </c>
      <c r="N419" s="155">
        <f>+IF(OR($Q419=Parametres!$G$2,$Q419=Parametres!$G$3),I419,C419)</f>
        <v>2405</v>
      </c>
      <c r="O419" s="155">
        <f>+IF(OR($Q419=Parametres!$G$2,$Q419=Parametres!$G$3),J419,D419)</f>
        <v>1202.5</v>
      </c>
      <c r="P419" s="155">
        <f>+IF(OR($Q419=Parametres!$G$2,$Q419=Parametres!$G$3),K419,E419)</f>
        <v>3607.5</v>
      </c>
      <c r="Q419" s="154" t="str">
        <f t="shared" si="47"/>
        <v>7-Dépenses</v>
      </c>
      <c r="R419" s="153" t="str">
        <f t="shared" si="48"/>
        <v>6187</v>
      </c>
      <c r="S419" s="154">
        <f t="shared" si="49"/>
        <v>0</v>
      </c>
      <c r="T419" s="156" t="str">
        <f>+VLOOKUP($L419,Data_Validation!$A:$D,1,0)</f>
        <v>6787</v>
      </c>
      <c r="U419" s="156" t="str">
        <f>+VLOOKUP($L419,Data_Validation!$A:$D,3,0)</f>
        <v>Pièces</v>
      </c>
      <c r="V419" s="156" t="str">
        <f>+VLOOKUP($L419,Data_Validation!$A:$D,4,0)</f>
        <v>Taxes foncières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947" t="s">
        <v>1278</v>
      </c>
      <c r="B420" s="947" t="s">
        <v>2665</v>
      </c>
      <c r="C420" s="948">
        <v>1600</v>
      </c>
      <c r="D420" s="948">
        <v>800</v>
      </c>
      <c r="E420" s="948">
        <v>2400</v>
      </c>
      <c r="F420" s="947" t="s">
        <v>401</v>
      </c>
      <c r="G420" s="947" t="s">
        <v>2597</v>
      </c>
      <c r="H420" s="150"/>
      <c r="I420" s="157"/>
      <c r="J420" s="157"/>
      <c r="K420" s="157"/>
      <c r="L420" s="153" t="str">
        <f t="shared" si="45"/>
        <v>6793</v>
      </c>
      <c r="M420" s="154" t="str">
        <f t="shared" si="46"/>
        <v>AUTRES TAXES - PIECES</v>
      </c>
      <c r="N420" s="155">
        <f>+IF(OR($Q420=Parametres!$G$2,$Q420=Parametres!$G$3),I420,C420)</f>
        <v>1600</v>
      </c>
      <c r="O420" s="155">
        <f>+IF(OR($Q420=Parametres!$G$2,$Q420=Parametres!$G$3),J420,D420)</f>
        <v>800</v>
      </c>
      <c r="P420" s="155">
        <f>+IF(OR($Q420=Parametres!$G$2,$Q420=Parametres!$G$3),K420,E420)</f>
        <v>2400</v>
      </c>
      <c r="Q420" s="154" t="str">
        <f t="shared" si="47"/>
        <v>7-Dépenses</v>
      </c>
      <c r="R420" s="153" t="str">
        <f t="shared" si="48"/>
        <v>6193</v>
      </c>
      <c r="S420" s="154">
        <f t="shared" si="49"/>
        <v>0</v>
      </c>
      <c r="T420" s="156" t="str">
        <f>+VLOOKUP($L420,Data_Validation!$A:$D,1,0)</f>
        <v>6793</v>
      </c>
      <c r="U420" s="156" t="str">
        <f>+VLOOKUP($L420,Data_Validation!$A:$D,3,0)</f>
        <v>Pièces</v>
      </c>
      <c r="V420" s="156" t="str">
        <f>+VLOOKUP($L420,Data_Validation!$A:$D,4,0)</f>
        <v>Taxes d`affaires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947" t="s">
        <v>1371</v>
      </c>
      <c r="B421" s="947" t="s">
        <v>2703</v>
      </c>
      <c r="C421" s="1037">
        <v>3108.54</v>
      </c>
      <c r="D421" s="1037">
        <v>1554.26</v>
      </c>
      <c r="E421" s="1037">
        <v>4662.8</v>
      </c>
      <c r="F421" s="947" t="s">
        <v>401</v>
      </c>
      <c r="G421" s="947" t="s">
        <v>2635</v>
      </c>
      <c r="H421" s="949"/>
      <c r="I421" s="948"/>
      <c r="J421" s="948"/>
      <c r="K421" s="948"/>
      <c r="L421" s="153" t="str">
        <f t="shared" si="45"/>
        <v>6794</v>
      </c>
      <c r="M421" s="154" t="str">
        <f t="shared" si="46"/>
        <v>FRAIS PROFESSIONNEL-PIECES</v>
      </c>
      <c r="N421" s="155">
        <f>+IF(OR($Q421=Parametres!$G$2,$Q421=Parametres!$G$3),I421,C421)</f>
        <v>3108.54</v>
      </c>
      <c r="O421" s="155">
        <f>+IF(OR($Q421=Parametres!$G$2,$Q421=Parametres!$G$3),J421,D421)</f>
        <v>1554.26</v>
      </c>
      <c r="P421" s="155">
        <f>+IF(OR($Q421=Parametres!$G$2,$Q421=Parametres!$G$3),K421,E421)</f>
        <v>4662.8</v>
      </c>
      <c r="Q421" s="154" t="str">
        <f t="shared" si="47"/>
        <v>7-Dépenses</v>
      </c>
      <c r="R421" s="153" t="str">
        <f t="shared" si="48"/>
        <v>6194</v>
      </c>
      <c r="S421" s="154">
        <f t="shared" si="49"/>
        <v>0</v>
      </c>
      <c r="T421" s="156" t="str">
        <f>+VLOOKUP($L421,Data_Validation!$A:$D,1,0)</f>
        <v>6794</v>
      </c>
      <c r="U421" s="156" t="str">
        <f>+VLOOKUP($L421,Data_Validation!$A:$D,3,0)</f>
        <v>Pièces</v>
      </c>
      <c r="V421" s="156" t="str">
        <f>+VLOOKUP($L421,Data_Validation!$A:$D,4,0)</f>
        <v>Honoraires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947" t="s">
        <v>2053</v>
      </c>
      <c r="B422" s="947" t="s">
        <v>2054</v>
      </c>
      <c r="C422" s="948">
        <v>-137729</v>
      </c>
      <c r="D422" s="948">
        <v>-91841</v>
      </c>
      <c r="E422" s="948">
        <v>-229570</v>
      </c>
      <c r="F422" s="947" t="s">
        <v>304</v>
      </c>
      <c r="G422" s="947" t="s">
        <v>2055</v>
      </c>
      <c r="H422" s="949"/>
      <c r="I422" s="949"/>
      <c r="J422" s="949"/>
      <c r="K422" s="949"/>
      <c r="L422" s="153" t="str">
        <f t="shared" si="45"/>
        <v>9149</v>
      </c>
      <c r="M422" s="154" t="str">
        <f t="shared" si="46"/>
        <v>REVENU RESERVE VOLKS</v>
      </c>
      <c r="N422" s="155">
        <f>+IF(OR($Q422=Parametres!$G$2,$Q422=Parametres!$G$3),I422,C422)</f>
        <v>-137729</v>
      </c>
      <c r="O422" s="575">
        <f>+IF(OR($Q422=Parametres!$G$2,$Q422=Parametres!$G$3),J422,D422)</f>
        <v>-91841</v>
      </c>
      <c r="P422" s="155">
        <f>+IF(OR($Q422=Parametres!$G$2,$Q422=Parametres!$G$3),K422,E422)</f>
        <v>-229570</v>
      </c>
      <c r="Q422" s="154" t="str">
        <f t="shared" si="47"/>
        <v>8-Autres revenus</v>
      </c>
      <c r="R422" s="153" t="str">
        <f t="shared" si="48"/>
        <v>9101</v>
      </c>
      <c r="S422" s="154">
        <f t="shared" si="49"/>
        <v>0</v>
      </c>
      <c r="T422" s="156" t="str">
        <f>+VLOOKUP($L422,Data_Validation!$A:$D,1,0)</f>
        <v>9149</v>
      </c>
      <c r="U422" s="156" t="str">
        <f>+VLOOKUP($L422,Data_Validation!$A:$D,3,0)</f>
        <v>Véhicules neufs</v>
      </c>
      <c r="V422" s="156" t="str">
        <f>+VLOOKUP($L422,Data_Validation!$A:$D,4,0)</f>
        <v>Holdbacks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947" t="s">
        <v>2138</v>
      </c>
      <c r="B423" s="947" t="s">
        <v>2139</v>
      </c>
      <c r="C423" s="1037">
        <v>-6304.04</v>
      </c>
      <c r="D423" s="1037">
        <v>-5713.02</v>
      </c>
      <c r="E423" s="1037">
        <v>-12017.06</v>
      </c>
      <c r="F423" s="947" t="s">
        <v>304</v>
      </c>
      <c r="G423" s="947" t="s">
        <v>2139</v>
      </c>
      <c r="H423" s="949"/>
      <c r="I423" s="948"/>
      <c r="J423" s="948"/>
      <c r="K423" s="948"/>
      <c r="L423" s="153" t="str">
        <f t="shared" si="45"/>
        <v>9152</v>
      </c>
      <c r="M423" s="154" t="str">
        <f t="shared" si="46"/>
        <v>ESCOMPTES SUR ACHAT PIECES</v>
      </c>
      <c r="N423" s="155">
        <f>+IF(OR($Q423=Parametres!$G$2,$Q423=Parametres!$G$3),I423,C423)</f>
        <v>-6304.04</v>
      </c>
      <c r="O423" s="155">
        <f>+IF(OR($Q423=Parametres!$G$2,$Q423=Parametres!$G$3),J423,D423)</f>
        <v>-5713.02</v>
      </c>
      <c r="P423" s="155">
        <f>+IF(OR($Q423=Parametres!$G$2,$Q423=Parametres!$G$3),K423,E423)</f>
        <v>-12017.06</v>
      </c>
      <c r="Q423" s="154" t="str">
        <f t="shared" si="47"/>
        <v>8-Autres revenus</v>
      </c>
      <c r="R423" s="153" t="str">
        <f t="shared" si="48"/>
        <v>9152</v>
      </c>
      <c r="S423" s="154">
        <f t="shared" si="49"/>
        <v>0</v>
      </c>
      <c r="T423" s="156" t="str">
        <f>+VLOOKUP($L423,Data_Validation!$A:$D,1,0)</f>
        <v>9152</v>
      </c>
      <c r="U423" s="156" t="str">
        <f>+VLOOKUP($L423,Data_Validation!$A:$D,3,0)</f>
        <v>Pièces</v>
      </c>
      <c r="V423" s="156" t="str">
        <f>+VLOOKUP($L423,Data_Validation!$A:$D,4,0)</f>
        <v>Escomptes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947" t="s">
        <v>2077</v>
      </c>
      <c r="B424" s="947" t="s">
        <v>2078</v>
      </c>
      <c r="C424" s="948">
        <v>-31176.52</v>
      </c>
      <c r="D424" s="948">
        <v>-34600</v>
      </c>
      <c r="E424" s="948">
        <v>-65776.52</v>
      </c>
      <c r="F424" s="947" t="s">
        <v>304</v>
      </c>
      <c r="G424" s="947" t="s">
        <v>2079</v>
      </c>
      <c r="H424" s="150"/>
      <c r="I424" s="152"/>
      <c r="J424" s="152"/>
      <c r="K424" s="152"/>
      <c r="L424" s="153" t="str">
        <f t="shared" si="45"/>
        <v>9157</v>
      </c>
      <c r="M424" s="154" t="str">
        <f t="shared" si="46"/>
        <v>PRIMES DE RENDEMENT (ToT)- BONUS EXPERIENCE +</v>
      </c>
      <c r="N424" s="155">
        <f>+IF(OR($Q424=Parametres!$G$2,$Q424=Parametres!$G$3),I424,C424)</f>
        <v>-31176.52</v>
      </c>
      <c r="O424" s="155">
        <f>+IF(OR($Q424=Parametres!$G$2,$Q424=Parametres!$G$3),J424,D424)</f>
        <v>-34600</v>
      </c>
      <c r="P424" s="155">
        <f>+IF(OR($Q424=Parametres!$G$2,$Q424=Parametres!$G$3),K424,E424)</f>
        <v>-65776.52</v>
      </c>
      <c r="Q424" s="154" t="str">
        <f t="shared" si="47"/>
        <v>8-Autres revenus</v>
      </c>
      <c r="R424" s="153" t="str">
        <f t="shared" si="48"/>
        <v>915</v>
      </c>
      <c r="S424" s="154">
        <f t="shared" si="49"/>
        <v>0</v>
      </c>
      <c r="T424" s="156" t="str">
        <f>+VLOOKUP($L424,Data_Validation!$A:$D,1,0)</f>
        <v>9157</v>
      </c>
      <c r="U424" s="156" t="str">
        <f>+VLOOKUP($L424,Data_Validation!$A:$D,3,0)</f>
        <v>Véhicules neufs</v>
      </c>
      <c r="V424" s="156" t="str">
        <f>+VLOOKUP($L424,Data_Validation!$A:$D,4,0)</f>
        <v>Programme neuf 1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947" t="s">
        <v>2170</v>
      </c>
      <c r="B425" s="947" t="s">
        <v>2076</v>
      </c>
      <c r="C425" s="948">
        <v>0</v>
      </c>
      <c r="D425" s="948">
        <v>1085.02</v>
      </c>
      <c r="E425" s="948">
        <v>1085.02</v>
      </c>
      <c r="F425" s="947" t="s">
        <v>304</v>
      </c>
      <c r="G425" s="947" t="s">
        <v>2076</v>
      </c>
      <c r="H425" s="150"/>
      <c r="I425" s="157"/>
      <c r="J425" s="157"/>
      <c r="K425" s="157"/>
      <c r="L425" s="153" t="str">
        <f t="shared" si="45"/>
        <v>9161</v>
      </c>
      <c r="M425" s="154" t="str">
        <f t="shared" si="46"/>
        <v>REVENU FIN ET ASS NEUF</v>
      </c>
      <c r="N425" s="155">
        <f>+IF(OR($Q425=Parametres!$G$2,$Q425=Parametres!$G$3),I425,C425)</f>
        <v>0</v>
      </c>
      <c r="O425" s="155">
        <f>+IF(OR($Q425=Parametres!$G$2,$Q425=Parametres!$G$3),J425,D425)</f>
        <v>1085.02</v>
      </c>
      <c r="P425" s="155">
        <f>+IF(OR($Q425=Parametres!$G$2,$Q425=Parametres!$G$3),K425,E425)</f>
        <v>1085.02</v>
      </c>
      <c r="Q425" s="154" t="str">
        <f t="shared" si="47"/>
        <v>8-Autres revenus</v>
      </c>
      <c r="R425" s="153" t="str">
        <f t="shared" si="48"/>
        <v>9161</v>
      </c>
      <c r="S425" s="154">
        <f t="shared" si="49"/>
        <v>0</v>
      </c>
      <c r="T425" s="156" t="str">
        <f>+VLOOKUP($L425,Data_Validation!$A:$D,1,0)</f>
        <v>9161</v>
      </c>
      <c r="U425" s="156" t="str">
        <f>+VLOOKUP($L425,Data_Validation!$A:$D,3,0)</f>
        <v>Véhicules neufs</v>
      </c>
      <c r="V425" s="156" t="str">
        <f>+VLOOKUP($L425,Data_Validation!$A:$D,4,0)</f>
        <v>Rev. Finances</v>
      </c>
      <c r="W425" s="156" t="str">
        <f>+VLOOKUP($L425,Data_Validation!$A:$E,5,0)</f>
        <v>$</v>
      </c>
      <c r="X425" s="156" t="str">
        <f>+VLOOKUP($L425,Data_Validation!$A:$F,6,0)</f>
        <v>oui</v>
      </c>
    </row>
    <row r="426" spans="1:24" ht="15" customHeight="1">
      <c r="A426" s="947" t="s">
        <v>2084</v>
      </c>
      <c r="B426" s="947" t="s">
        <v>2085</v>
      </c>
      <c r="C426" s="948">
        <v>-17429.02</v>
      </c>
      <c r="D426" s="948">
        <v>-26701.93</v>
      </c>
      <c r="E426" s="948">
        <v>-44130.95</v>
      </c>
      <c r="F426" s="947" t="s">
        <v>304</v>
      </c>
      <c r="G426" s="947" t="s">
        <v>2085</v>
      </c>
      <c r="H426" s="150"/>
      <c r="I426" s="151"/>
      <c r="J426" s="151"/>
      <c r="K426" s="151"/>
      <c r="L426" s="153" t="str">
        <f t="shared" si="45"/>
        <v>9163</v>
      </c>
      <c r="M426" s="154" t="str">
        <f t="shared" si="46"/>
        <v>RESERVE FIN ET ASS VEH OCCASION</v>
      </c>
      <c r="N426" s="155">
        <f>+IF(OR($Q426=Parametres!$G$2,$Q426=Parametres!$G$3),I426,C426)</f>
        <v>-17429.02</v>
      </c>
      <c r="O426" s="155">
        <f>+IF(OR($Q426=Parametres!$G$2,$Q426=Parametres!$G$3),J426,D426)</f>
        <v>-26701.93</v>
      </c>
      <c r="P426" s="155">
        <f>+IF(OR($Q426=Parametres!$G$2,$Q426=Parametres!$G$3),K426,E426)</f>
        <v>-44130.95</v>
      </c>
      <c r="Q426" s="154" t="str">
        <f t="shared" si="47"/>
        <v>8-Autres revenus</v>
      </c>
      <c r="R426" s="153" t="str">
        <f t="shared" si="48"/>
        <v>9163</v>
      </c>
      <c r="S426" s="154">
        <f t="shared" si="49"/>
        <v>0</v>
      </c>
      <c r="T426" s="156" t="str">
        <f>+VLOOKUP($L426,Data_Validation!$A:$D,1,0)</f>
        <v>9163</v>
      </c>
      <c r="U426" s="156" t="str">
        <f>+VLOOKUP($L426,Data_Validation!$A:$D,3,0)</f>
        <v>Véhicules usagés</v>
      </c>
      <c r="V426" s="156" t="str">
        <f>+VLOOKUP($L426,Data_Validation!$A:$D,4,0)</f>
        <v>Rev. Finances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customHeight="1">
      <c r="A427" s="947" t="s">
        <v>2171</v>
      </c>
      <c r="B427" s="947" t="s">
        <v>2172</v>
      </c>
      <c r="C427" s="948">
        <v>-1810.96</v>
      </c>
      <c r="D427" s="948">
        <v>-2024.82</v>
      </c>
      <c r="E427" s="948">
        <v>-3835.78</v>
      </c>
      <c r="F427" s="947" t="s">
        <v>304</v>
      </c>
      <c r="G427" s="947" t="s">
        <v>2076</v>
      </c>
      <c r="H427" s="150"/>
      <c r="I427" s="151"/>
      <c r="J427" s="151"/>
      <c r="K427" s="151"/>
      <c r="L427" s="153" t="str">
        <f t="shared" si="45"/>
        <v>9165</v>
      </c>
      <c r="M427" s="154" t="str">
        <f t="shared" si="46"/>
        <v>REV. ASSURANCES NEUF</v>
      </c>
      <c r="N427" s="155">
        <f>+IF(OR($Q427=Parametres!$G$2,$Q427=Parametres!$G$3),I427,C427)</f>
        <v>-1810.96</v>
      </c>
      <c r="O427" s="155">
        <f>+IF(OR($Q427=Parametres!$G$2,$Q427=Parametres!$G$3),J427,D427)</f>
        <v>-2024.82</v>
      </c>
      <c r="P427" s="155">
        <f>+IF(OR($Q427=Parametres!$G$2,$Q427=Parametres!$G$3),K427,E427)</f>
        <v>-3835.78</v>
      </c>
      <c r="Q427" s="154" t="str">
        <f t="shared" si="47"/>
        <v>8-Autres revenus</v>
      </c>
      <c r="R427" s="153" t="str">
        <f t="shared" si="48"/>
        <v>9161</v>
      </c>
      <c r="S427" s="154">
        <f t="shared" si="49"/>
        <v>0</v>
      </c>
      <c r="T427" s="156" t="str">
        <f>+VLOOKUP($L427,Data_Validation!$A:$D,1,0)</f>
        <v>9165</v>
      </c>
      <c r="U427" s="156" t="str">
        <f>+VLOOKUP($L427,Data_Validation!$A:$D,3,0)</f>
        <v>Véhicules neufs</v>
      </c>
      <c r="V427" s="156" t="str">
        <f>+VLOOKUP($L427,Data_Validation!$A:$D,4,0)</f>
        <v>Rev. Autres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customHeight="1">
      <c r="A428" s="947" t="s">
        <v>2179</v>
      </c>
      <c r="B428" s="947" t="s">
        <v>2180</v>
      </c>
      <c r="C428" s="948">
        <v>-1563.3</v>
      </c>
      <c r="D428" s="948">
        <v>-3184.19</v>
      </c>
      <c r="E428" s="948">
        <v>-4747.49</v>
      </c>
      <c r="F428" s="947" t="s">
        <v>304</v>
      </c>
      <c r="G428" s="947" t="s">
        <v>2085</v>
      </c>
      <c r="H428" s="150"/>
      <c r="I428" s="151"/>
      <c r="J428" s="151"/>
      <c r="K428" s="151"/>
      <c r="L428" s="153" t="str">
        <f t="shared" si="45"/>
        <v>9167</v>
      </c>
      <c r="M428" s="154" t="str">
        <f t="shared" si="46"/>
        <v>REV ASSURANCE USAGE</v>
      </c>
      <c r="N428" s="155">
        <f>+IF(OR($Q428=Parametres!$G$2,$Q428=Parametres!$G$3),I428,C428)</f>
        <v>-1563.3</v>
      </c>
      <c r="O428" s="155">
        <f>+IF(OR($Q428=Parametres!$G$2,$Q428=Parametres!$G$3),J428,D428)</f>
        <v>-3184.19</v>
      </c>
      <c r="P428" s="155">
        <f>+IF(OR($Q428=Parametres!$G$2,$Q428=Parametres!$G$3),K428,E428)</f>
        <v>-4747.49</v>
      </c>
      <c r="Q428" s="154" t="str">
        <f t="shared" si="47"/>
        <v>8-Autres revenus</v>
      </c>
      <c r="R428" s="153" t="str">
        <f t="shared" si="48"/>
        <v>9163</v>
      </c>
      <c r="S428" s="154">
        <f t="shared" si="49"/>
        <v>0</v>
      </c>
      <c r="T428" s="156" t="str">
        <f>+VLOOKUP($L428,Data_Validation!$A:$D,1,0)</f>
        <v>9167</v>
      </c>
      <c r="U428" s="156" t="str">
        <f>+VLOOKUP($L428,Data_Validation!$A:$D,3,0)</f>
        <v>Véhicules usagés</v>
      </c>
      <c r="V428" s="156" t="str">
        <f>+VLOOKUP($L428,Data_Validation!$A:$D,4,0)</f>
        <v>Rev. Autres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947" t="s">
        <v>2092</v>
      </c>
      <c r="B429" s="947" t="s">
        <v>2093</v>
      </c>
      <c r="C429" s="948">
        <v>-12795</v>
      </c>
      <c r="D429" s="948">
        <v>-5647</v>
      </c>
      <c r="E429" s="948">
        <v>-18442</v>
      </c>
      <c r="F429" s="947" t="s">
        <v>304</v>
      </c>
      <c r="G429" s="947" t="s">
        <v>2076</v>
      </c>
      <c r="H429" s="150"/>
      <c r="I429" s="157"/>
      <c r="J429" s="157"/>
      <c r="K429" s="157"/>
      <c r="L429" s="153" t="str">
        <f t="shared" si="45"/>
        <v>9169</v>
      </c>
      <c r="M429" s="154" t="str">
        <f t="shared" si="46"/>
        <v>REV GARANTIE PROLONGEE NEUF</v>
      </c>
      <c r="N429" s="155">
        <f>+IF(OR($Q429=Parametres!$G$2,$Q429=Parametres!$G$3),I429,C429)</f>
        <v>-12795</v>
      </c>
      <c r="O429" s="155">
        <f>+IF(OR($Q429=Parametres!$G$2,$Q429=Parametres!$G$3),J429,D429)</f>
        <v>-5647</v>
      </c>
      <c r="P429" s="155">
        <f>+IF(OR($Q429=Parametres!$G$2,$Q429=Parametres!$G$3),K429,E429)</f>
        <v>-18442</v>
      </c>
      <c r="Q429" s="154" t="str">
        <f t="shared" si="47"/>
        <v>8-Autres revenus</v>
      </c>
      <c r="R429" s="153" t="str">
        <f t="shared" si="48"/>
        <v>9161</v>
      </c>
      <c r="S429" s="154">
        <f t="shared" si="49"/>
        <v>0</v>
      </c>
      <c r="T429" s="156" t="str">
        <f>+VLOOKUP($L429,Data_Validation!$A:$D,1,0)</f>
        <v>9169</v>
      </c>
      <c r="U429" s="156" t="str">
        <f>+VLOOKUP($L429,Data_Validation!$A:$D,3,0)</f>
        <v>Véhicules neufs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 t="str">
        <f>+VLOOKUP($L429,Data_Validation!$A:$F,6,0)</f>
        <v>oui</v>
      </c>
    </row>
    <row r="430" spans="1:24" ht="15" customHeight="1">
      <c r="A430" s="947" t="s">
        <v>2074</v>
      </c>
      <c r="B430" s="947" t="s">
        <v>2075</v>
      </c>
      <c r="C430" s="948">
        <v>-34742.089999999997</v>
      </c>
      <c r="D430" s="948">
        <v>-46992.08</v>
      </c>
      <c r="E430" s="948">
        <v>-81734.17</v>
      </c>
      <c r="F430" s="947" t="s">
        <v>304</v>
      </c>
      <c r="G430" s="947" t="s">
        <v>2076</v>
      </c>
      <c r="H430" s="150"/>
      <c r="I430" s="157"/>
      <c r="J430" s="157"/>
      <c r="K430" s="157"/>
      <c r="L430" s="153" t="str">
        <f t="shared" si="45"/>
        <v>9170</v>
      </c>
      <c r="M430" s="154" t="str">
        <f t="shared" si="46"/>
        <v>PROFIT PROTECTIONS - NEUFS</v>
      </c>
      <c r="N430" s="155">
        <f>+IF(OR($Q430=Parametres!$G$2,$Q430=Parametres!$G$3),I430,C430)</f>
        <v>-34742.089999999997</v>
      </c>
      <c r="O430" s="155">
        <f>+IF(OR($Q430=Parametres!$G$2,$Q430=Parametres!$G$3),J430,D430)</f>
        <v>-46992.08</v>
      </c>
      <c r="P430" s="155">
        <f>+IF(OR($Q430=Parametres!$G$2,$Q430=Parametres!$G$3),K430,E430)</f>
        <v>-81734.17</v>
      </c>
      <c r="Q430" s="154" t="str">
        <f t="shared" si="47"/>
        <v>8-Autres revenus</v>
      </c>
      <c r="R430" s="153" t="str">
        <f t="shared" si="48"/>
        <v>9161</v>
      </c>
      <c r="S430" s="154">
        <f t="shared" si="49"/>
        <v>0</v>
      </c>
      <c r="T430" s="156" t="str">
        <f>+VLOOKUP($L430,Data_Validation!$A:$D,1,0)</f>
        <v>9170</v>
      </c>
      <c r="U430" s="156" t="str">
        <f>+VLOOKUP($L430,Data_Validation!$A:$D,3,0)</f>
        <v>Véhicules neufs</v>
      </c>
      <c r="V430" s="156" t="str">
        <f>+VLOOKUP($L430,Data_Validation!$A:$D,4,0)</f>
        <v>Rev. Protections</v>
      </c>
      <c r="W430" s="156" t="str">
        <f>+VLOOKUP($L430,Data_Validation!$A:$E,5,0)</f>
        <v>$</v>
      </c>
      <c r="X430" s="156" t="str">
        <f>+VLOOKUP($L430,Data_Validation!$A:$F,6,0)</f>
        <v>oui</v>
      </c>
    </row>
    <row r="431" spans="1:24" ht="15.75" customHeight="1">
      <c r="A431" s="947" t="s">
        <v>2088</v>
      </c>
      <c r="B431" s="947" t="s">
        <v>2089</v>
      </c>
      <c r="C431" s="948">
        <v>-36159</v>
      </c>
      <c r="D431" s="948">
        <v>-26615</v>
      </c>
      <c r="E431" s="948">
        <v>-62774</v>
      </c>
      <c r="F431" s="947" t="s">
        <v>304</v>
      </c>
      <c r="G431" s="947" t="s">
        <v>2085</v>
      </c>
      <c r="H431" s="150"/>
      <c r="I431" s="151"/>
      <c r="J431" s="151"/>
      <c r="K431" s="151"/>
      <c r="L431" s="153" t="str">
        <f t="shared" si="45"/>
        <v>9171</v>
      </c>
      <c r="M431" s="154" t="str">
        <f t="shared" si="46"/>
        <v>REV GARANTIE PROLONGEE USAGE</v>
      </c>
      <c r="N431" s="155">
        <f>+IF(OR($Q431=Parametres!$G$2,$Q431=Parametres!$G$3),I431,C431)</f>
        <v>-36159</v>
      </c>
      <c r="O431" s="155">
        <f>+IF(OR($Q431=Parametres!$G$2,$Q431=Parametres!$G$3),J431,D431)</f>
        <v>-26615</v>
      </c>
      <c r="P431" s="155">
        <f>+IF(OR($Q431=Parametres!$G$2,$Q431=Parametres!$G$3),K431,E431)</f>
        <v>-62774</v>
      </c>
      <c r="Q431" s="154" t="str">
        <f t="shared" si="47"/>
        <v>8-Autres revenus</v>
      </c>
      <c r="R431" s="153" t="str">
        <f t="shared" si="48"/>
        <v>9163</v>
      </c>
      <c r="S431" s="154">
        <f t="shared" si="49"/>
        <v>0</v>
      </c>
      <c r="T431" s="156" t="str">
        <f>+VLOOKUP($L431,Data_Validation!$A:$D,1,0)</f>
        <v>9171</v>
      </c>
      <c r="U431" s="156" t="str">
        <f>+VLOOKUP($L431,Data_Validation!$A:$D,3,0)</f>
        <v>Véhicules usagés</v>
      </c>
      <c r="V431" s="156" t="str">
        <f>+VLOOKUP($L431,Data_Validation!$A:$D,4,0)</f>
        <v>Rev. Protections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947" t="s">
        <v>2096</v>
      </c>
      <c r="B432" s="947" t="s">
        <v>2097</v>
      </c>
      <c r="C432" s="948">
        <v>-19252.37</v>
      </c>
      <c r="D432" s="948">
        <v>-13358.56</v>
      </c>
      <c r="E432" s="948">
        <v>-32610.93</v>
      </c>
      <c r="F432" s="947" t="s">
        <v>304</v>
      </c>
      <c r="G432" s="947" t="s">
        <v>2085</v>
      </c>
      <c r="H432" s="150"/>
      <c r="I432" s="151"/>
      <c r="J432" s="151"/>
      <c r="K432" s="151"/>
      <c r="L432" s="153" t="str">
        <f t="shared" si="45"/>
        <v>9172</v>
      </c>
      <c r="M432" s="154" t="str">
        <f t="shared" si="46"/>
        <v>PROFIT PROTECTIONS - USAGES</v>
      </c>
      <c r="N432" s="155">
        <f>+IF(OR($Q432=Parametres!$G$2,$Q432=Parametres!$G$3),I432,C432)</f>
        <v>-19252.37</v>
      </c>
      <c r="O432" s="155">
        <f>+IF(OR($Q432=Parametres!$G$2,$Q432=Parametres!$G$3),J432,D432)</f>
        <v>-13358.56</v>
      </c>
      <c r="P432" s="155">
        <f>+IF(OR($Q432=Parametres!$G$2,$Q432=Parametres!$G$3),K432,E432)</f>
        <v>-32610.93</v>
      </c>
      <c r="Q432" s="154" t="str">
        <f t="shared" si="47"/>
        <v>8-Autres revenus</v>
      </c>
      <c r="R432" s="153" t="str">
        <f t="shared" si="48"/>
        <v>9163</v>
      </c>
      <c r="S432" s="154">
        <f t="shared" si="49"/>
        <v>0</v>
      </c>
      <c r="T432" s="156" t="str">
        <f>+VLOOKUP($L432,Data_Validation!$A:$D,1,0)</f>
        <v>9172</v>
      </c>
      <c r="U432" s="156" t="str">
        <f>+VLOOKUP($L432,Data_Validation!$A:$D,3,0)</f>
        <v>Véhicules usagés</v>
      </c>
      <c r="V432" s="156" t="str">
        <f>+VLOOKUP($L432,Data_Validation!$A:$D,4,0)</f>
        <v>Rev. Protections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947" t="s">
        <v>2080</v>
      </c>
      <c r="B433" s="947" t="s">
        <v>2081</v>
      </c>
      <c r="C433" s="1037">
        <v>-37868.699999999997</v>
      </c>
      <c r="D433" s="1037">
        <v>-34846</v>
      </c>
      <c r="E433" s="1037">
        <v>-72714.7</v>
      </c>
      <c r="F433" s="947" t="s">
        <v>304</v>
      </c>
      <c r="G433" s="947" t="s">
        <v>2063</v>
      </c>
      <c r="H433" s="949"/>
      <c r="I433" s="948"/>
      <c r="J433" s="948"/>
      <c r="K433" s="948"/>
      <c r="L433" s="153" t="str">
        <f t="shared" si="45"/>
        <v>9173</v>
      </c>
      <c r="M433" s="154" t="str">
        <f t="shared" si="46"/>
        <v>FRAIS ADMIN. VOLKS</v>
      </c>
      <c r="N433" s="155">
        <f>+IF(OR($Q433=Parametres!$G$2,$Q433=Parametres!$G$3),I433,C433)</f>
        <v>-37868.699999999997</v>
      </c>
      <c r="O433" s="155">
        <f>+IF(OR($Q433=Parametres!$G$2,$Q433=Parametres!$G$3),J433,D433)</f>
        <v>-34846</v>
      </c>
      <c r="P433" s="155">
        <f>+IF(OR($Q433=Parametres!$G$2,$Q433=Parametres!$G$3),K433,E433)</f>
        <v>-72714.7</v>
      </c>
      <c r="Q433" s="154" t="str">
        <f t="shared" si="47"/>
        <v>8-Autres revenus</v>
      </c>
      <c r="R433" s="153" t="str">
        <f t="shared" si="48"/>
        <v>9191</v>
      </c>
      <c r="S433" s="154">
        <f t="shared" si="49"/>
        <v>0</v>
      </c>
      <c r="T433" s="156" t="str">
        <f>+VLOOKUP($L433,Data_Validation!$A:$D,1,0)</f>
        <v>9173</v>
      </c>
      <c r="U433" s="156" t="str">
        <f>+VLOOKUP($L433,Data_Validation!$A:$D,3,0)</f>
        <v>Véhicules neufs</v>
      </c>
      <c r="V433" s="156" t="str">
        <f>+VLOOKUP($L433,Data_Validation!$A:$D,4,0)</f>
        <v>Frais administration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947" t="s">
        <v>2062</v>
      </c>
      <c r="B434" s="947" t="s">
        <v>2063</v>
      </c>
      <c r="C434" s="948">
        <v>-65936.73</v>
      </c>
      <c r="D434" s="948">
        <v>-72972.09</v>
      </c>
      <c r="E434" s="948">
        <v>-138908.82</v>
      </c>
      <c r="F434" s="947" t="s">
        <v>304</v>
      </c>
      <c r="G434" s="947" t="s">
        <v>2063</v>
      </c>
      <c r="H434" s="949"/>
      <c r="I434" s="949"/>
      <c r="J434" s="949"/>
      <c r="K434" s="949"/>
      <c r="L434" s="153" t="str">
        <f t="shared" si="45"/>
        <v>9191</v>
      </c>
      <c r="M434" s="154" t="str">
        <f t="shared" si="46"/>
        <v>REVENUS DIVERS</v>
      </c>
      <c r="N434" s="155">
        <f>+IF(OR($Q434=Parametres!$G$2,$Q434=Parametres!$G$3),I434,C434)</f>
        <v>-65936.73</v>
      </c>
      <c r="O434" s="575">
        <f>+IF(OR($Q434=Parametres!$G$2,$Q434=Parametres!$G$3),J434,D434)</f>
        <v>-72972.09</v>
      </c>
      <c r="P434" s="155">
        <f>+IF(OR($Q434=Parametres!$G$2,$Q434=Parametres!$G$3),K434,E434)</f>
        <v>-138908.82</v>
      </c>
      <c r="Q434" s="154" t="str">
        <f t="shared" si="47"/>
        <v>8-Autres revenus</v>
      </c>
      <c r="R434" s="153" t="str">
        <f t="shared" si="48"/>
        <v>9191</v>
      </c>
      <c r="S434" s="154">
        <f t="shared" si="49"/>
        <v>0</v>
      </c>
      <c r="T434" s="156" t="str">
        <f>+VLOOKUP($L434,Data_Validation!$A:$D,1,0)</f>
        <v>9191</v>
      </c>
      <c r="U434" s="156" t="str">
        <f>+VLOOKUP($L434,Data_Validation!$A:$D,3,0)</f>
        <v>TOTAL  DES  REVENUS  ET  DÉPENSES</v>
      </c>
      <c r="V434" s="156" t="str">
        <f>+VLOOKUP($L434,Data_Validation!$A:$D,4,0)</f>
        <v>Revenus autres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947" t="s">
        <v>2650</v>
      </c>
      <c r="B435" s="947" t="s">
        <v>2176</v>
      </c>
      <c r="C435" s="948">
        <v>796.68</v>
      </c>
      <c r="D435" s="948">
        <v>398.34</v>
      </c>
      <c r="E435" s="948">
        <v>1195.02</v>
      </c>
      <c r="F435" s="947" t="s">
        <v>1235</v>
      </c>
      <c r="G435" s="947" t="s">
        <v>2176</v>
      </c>
      <c r="H435" s="949"/>
      <c r="I435" s="949"/>
      <c r="J435" s="949"/>
      <c r="K435" s="949"/>
      <c r="L435" s="153" t="str">
        <f t="shared" si="45"/>
        <v>9402</v>
      </c>
      <c r="M435" s="154" t="str">
        <f t="shared" si="46"/>
        <v>DEPENSE D'INTERETS</v>
      </c>
      <c r="N435" s="155">
        <f>+IF(OR($Q435=Parametres!$G$2,$Q435=Parametres!$G$3),I435,C435)</f>
        <v>796.68</v>
      </c>
      <c r="O435" s="155">
        <f>+IF(OR($Q435=Parametres!$G$2,$Q435=Parametres!$G$3),J435,D435)</f>
        <v>398.34</v>
      </c>
      <c r="P435" s="155">
        <f>+IF(OR($Q435=Parametres!$G$2,$Q435=Parametres!$G$3),K435,E435)</f>
        <v>1195.02</v>
      </c>
      <c r="Q435" s="154" t="str">
        <f t="shared" si="47"/>
        <v>9-Autres déductions</v>
      </c>
      <c r="R435" s="153" t="str">
        <f t="shared" si="48"/>
        <v>9402</v>
      </c>
      <c r="S435" s="154">
        <f t="shared" si="49"/>
        <v>0</v>
      </c>
      <c r="T435" s="156" t="str">
        <f>+VLOOKUP($L435,Data_Validation!$A:$D,1,0)</f>
        <v>9402</v>
      </c>
      <c r="U435" s="156" t="str">
        <f>+VLOOKUP($L435,Data_Validation!$A:$D,3,0)</f>
        <v>TOTAL  DES  REVENUS  ET  DÉPENSES</v>
      </c>
      <c r="V435" s="156" t="str">
        <f>+VLOOKUP($L435,Data_Validation!$A:$D,4,0)</f>
        <v>Intérêts sur prêt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customHeight="1">
      <c r="A436" s="947" t="s">
        <v>2174</v>
      </c>
      <c r="B436" s="947" t="s">
        <v>2175</v>
      </c>
      <c r="C436" s="948">
        <v>-3930.11</v>
      </c>
      <c r="D436" s="948">
        <v>213.88</v>
      </c>
      <c r="E436" s="948">
        <v>-3716.23</v>
      </c>
      <c r="F436" s="947" t="s">
        <v>1235</v>
      </c>
      <c r="G436" s="947" t="s">
        <v>2176</v>
      </c>
      <c r="H436" s="949"/>
      <c r="I436" s="949"/>
      <c r="J436" s="949"/>
      <c r="K436" s="949"/>
      <c r="L436" s="153" t="str">
        <f t="shared" si="45"/>
        <v>9403</v>
      </c>
      <c r="M436" s="154" t="str">
        <f t="shared" si="46"/>
        <v>INTERETS SUR MARGE CREDIT</v>
      </c>
      <c r="N436" s="155">
        <f>+IF(OR($Q436=Parametres!$G$2,$Q436=Parametres!$G$3),I436,C436)</f>
        <v>-3930.11</v>
      </c>
      <c r="O436" s="575">
        <f>+IF(OR($Q436=Parametres!$G$2,$Q436=Parametres!$G$3),J436,D436)</f>
        <v>213.88</v>
      </c>
      <c r="P436" s="155">
        <f>+IF(OR($Q436=Parametres!$G$2,$Q436=Parametres!$G$3),K436,E436)</f>
        <v>-3716.23</v>
      </c>
      <c r="Q436" s="154" t="str">
        <f t="shared" si="47"/>
        <v>9-Autres déductions</v>
      </c>
      <c r="R436" s="153" t="str">
        <f t="shared" si="48"/>
        <v>9402</v>
      </c>
      <c r="S436" s="154">
        <f t="shared" si="49"/>
        <v>0</v>
      </c>
      <c r="T436" s="156" t="str">
        <f>+VLOOKUP($L436,Data_Validation!$A:$D,1,0)</f>
        <v>9403</v>
      </c>
      <c r="U436" s="156" t="str">
        <f>+VLOOKUP($L436,Data_Validation!$A:$D,3,0)</f>
        <v>TOTAL  DES  REVENUS  ET  DÉPENSES</v>
      </c>
      <c r="V436" s="156" t="str">
        <f>+VLOOKUP($L436,Data_Validation!$A:$D,4,0)</f>
        <v>Intérêts sur marge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customHeight="1">
      <c r="A437" s="947" t="s">
        <v>1389</v>
      </c>
      <c r="B437" s="947" t="s">
        <v>2599</v>
      </c>
      <c r="C437" s="948">
        <v>344.5</v>
      </c>
      <c r="D437" s="948">
        <v>172.25</v>
      </c>
      <c r="E437" s="948">
        <v>516.75</v>
      </c>
      <c r="F437" s="947" t="s">
        <v>1235</v>
      </c>
      <c r="G437" s="947" t="s">
        <v>2176</v>
      </c>
      <c r="H437" s="150"/>
      <c r="I437" s="151"/>
      <c r="J437" s="151"/>
      <c r="K437" s="151"/>
      <c r="L437" s="153" t="str">
        <f t="shared" si="45"/>
        <v>9404</v>
      </c>
      <c r="M437" s="154" t="str">
        <f t="shared" si="46"/>
        <v>INTERETS SUR PRET</v>
      </c>
      <c r="N437" s="155">
        <f>+IF(OR($Q437=Parametres!$G$2,$Q437=Parametres!$G$3),I437,C437)</f>
        <v>344.5</v>
      </c>
      <c r="O437" s="155">
        <f>+IF(OR($Q437=Parametres!$G$2,$Q437=Parametres!$G$3),J437,D437)</f>
        <v>172.25</v>
      </c>
      <c r="P437" s="155">
        <f>+IF(OR($Q437=Parametres!$G$2,$Q437=Parametres!$G$3),K437,E437)</f>
        <v>516.75</v>
      </c>
      <c r="Q437" s="154" t="str">
        <f t="shared" si="47"/>
        <v>9-Autres déductions</v>
      </c>
      <c r="R437" s="153" t="str">
        <f t="shared" si="48"/>
        <v>9402</v>
      </c>
      <c r="S437" s="154">
        <f t="shared" si="49"/>
        <v>0</v>
      </c>
      <c r="T437" s="156" t="str">
        <f>+VLOOKUP($L437,Data_Validation!$A:$D,1,0)</f>
        <v>9404</v>
      </c>
      <c r="U437" s="156" t="str">
        <f>+VLOOKUP($L437,Data_Validation!$A:$D,3,0)</f>
        <v>TOTAL  DES  REVENUS  ET  DÉPENSES</v>
      </c>
      <c r="V437" s="156" t="str">
        <f>+VLOOKUP($L437,Data_Validation!$A:$D,4,0)</f>
        <v>Intérêts sur prêt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947" t="s">
        <v>1385</v>
      </c>
      <c r="B438" s="947" t="s">
        <v>2782</v>
      </c>
      <c r="C438" s="948">
        <v>9569.5499999999993</v>
      </c>
      <c r="D438" s="948">
        <v>6675.78</v>
      </c>
      <c r="E438" s="948">
        <v>16245.33</v>
      </c>
      <c r="F438" s="947" t="s">
        <v>1235</v>
      </c>
      <c r="G438" s="947" t="s">
        <v>2176</v>
      </c>
      <c r="H438" s="150"/>
      <c r="I438" s="157"/>
      <c r="J438" s="157"/>
      <c r="K438" s="157"/>
      <c r="L438" s="153" t="str">
        <f t="shared" si="45"/>
        <v>9406</v>
      </c>
      <c r="M438" s="154" t="str">
        <f t="shared" si="46"/>
        <v>FRAIS BANCAIRES</v>
      </c>
      <c r="N438" s="155">
        <f>+IF(OR($Q438=Parametres!$G$2,$Q438=Parametres!$G$3),I438,C438)</f>
        <v>9569.5499999999993</v>
      </c>
      <c r="O438" s="155">
        <f>+IF(OR($Q438=Parametres!$G$2,$Q438=Parametres!$G$3),J438,D438)</f>
        <v>6675.78</v>
      </c>
      <c r="P438" s="155">
        <f>+IF(OR($Q438=Parametres!$G$2,$Q438=Parametres!$G$3),K438,E438)</f>
        <v>16245.33</v>
      </c>
      <c r="Q438" s="154" t="str">
        <f t="shared" si="47"/>
        <v>9-Autres déductions</v>
      </c>
      <c r="R438" s="153" t="str">
        <f t="shared" si="48"/>
        <v>9402</v>
      </c>
      <c r="S438" s="154">
        <f t="shared" si="49"/>
        <v>0</v>
      </c>
      <c r="T438" s="156" t="str">
        <f>+VLOOKUP($L438,Data_Validation!$A:$D,1,0)</f>
        <v>9406</v>
      </c>
      <c r="U438" s="156" t="str">
        <f>+VLOOKUP($L438,Data_Validation!$A:$D,3,0)</f>
        <v>Véhicules neufs</v>
      </c>
      <c r="V438" s="156" t="str">
        <f>+VLOOKUP($L438,Data_Validation!$A:$D,4,0)</f>
        <v>Frais bancaires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947"/>
      <c r="B439" s="947"/>
      <c r="C439" s="1037"/>
      <c r="D439" s="1037"/>
      <c r="E439" s="1037"/>
      <c r="F439" s="947"/>
      <c r="G439" s="947"/>
      <c r="H439" s="949"/>
      <c r="I439" s="948"/>
      <c r="J439" s="948"/>
      <c r="K439" s="948"/>
      <c r="L439" s="153"/>
      <c r="M439" s="154"/>
      <c r="N439" s="155"/>
      <c r="O439" s="155"/>
      <c r="P439" s="155"/>
      <c r="Q439" s="154"/>
      <c r="R439" s="153"/>
      <c r="S439" s="154"/>
      <c r="T439" s="156"/>
      <c r="U439" s="156"/>
      <c r="V439" s="156"/>
      <c r="W439" s="156"/>
      <c r="X439" s="156"/>
    </row>
    <row r="440" spans="1:24" ht="15" customHeight="1">
      <c r="A440" s="947"/>
      <c r="B440" s="947"/>
      <c r="C440" s="948"/>
      <c r="D440" s="948"/>
      <c r="E440" s="948"/>
      <c r="F440" s="947"/>
      <c r="G440" s="947"/>
      <c r="H440" s="150"/>
      <c r="I440" s="151"/>
      <c r="J440" s="151"/>
      <c r="K440" s="151"/>
      <c r="L440" s="153">
        <f t="shared" si="45"/>
        <v>0</v>
      </c>
      <c r="M440" s="154">
        <f t="shared" si="46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47"/>
        <v>0</v>
      </c>
      <c r="R440" s="153">
        <f t="shared" si="48"/>
        <v>0</v>
      </c>
      <c r="S440" s="154">
        <f t="shared" si="49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customHeight="1">
      <c r="A441" s="947"/>
      <c r="B441" s="947"/>
      <c r="C441" s="948"/>
      <c r="D441" s="948"/>
      <c r="E441" s="948"/>
      <c r="F441" s="947"/>
      <c r="G441" s="947"/>
      <c r="H441" s="150"/>
      <c r="I441" s="157"/>
      <c r="J441" s="157"/>
      <c r="K441" s="157"/>
      <c r="L441" s="153">
        <f t="shared" si="45"/>
        <v>0</v>
      </c>
      <c r="M441" s="154">
        <f t="shared" si="46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47"/>
        <v>0</v>
      </c>
      <c r="R441" s="153">
        <f t="shared" si="48"/>
        <v>0</v>
      </c>
      <c r="S441" s="154">
        <f t="shared" si="49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customHeight="1">
      <c r="A442" s="947"/>
      <c r="B442" s="947"/>
      <c r="C442" s="948"/>
      <c r="D442" s="948"/>
      <c r="E442" s="948"/>
      <c r="F442" s="947"/>
      <c r="G442" s="947"/>
      <c r="H442" s="150"/>
      <c r="I442" s="157"/>
      <c r="J442" s="157"/>
      <c r="K442" s="157"/>
      <c r="L442" s="153">
        <f t="shared" si="45"/>
        <v>0</v>
      </c>
      <c r="M442" s="154">
        <f t="shared" si="46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47"/>
        <v>0</v>
      </c>
      <c r="R442" s="153">
        <f t="shared" si="48"/>
        <v>0</v>
      </c>
      <c r="S442" s="154">
        <f t="shared" si="49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customHeight="1">
      <c r="A443" s="947"/>
      <c r="B443" s="947"/>
      <c r="C443" s="948"/>
      <c r="D443" s="948"/>
      <c r="E443" s="948"/>
      <c r="F443" s="947"/>
      <c r="G443" s="947"/>
      <c r="H443" s="150"/>
      <c r="I443" s="157"/>
      <c r="J443" s="157"/>
      <c r="K443" s="157"/>
      <c r="L443" s="153">
        <f t="shared" si="45"/>
        <v>0</v>
      </c>
      <c r="M443" s="154">
        <f t="shared" si="46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47"/>
        <v>0</v>
      </c>
      <c r="R443" s="153">
        <f t="shared" si="48"/>
        <v>0</v>
      </c>
      <c r="S443" s="154">
        <f t="shared" si="49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customHeight="1">
      <c r="A444" s="947"/>
      <c r="B444" s="947"/>
      <c r="C444" s="948"/>
      <c r="D444" s="948"/>
      <c r="E444" s="948"/>
      <c r="F444" s="947"/>
      <c r="G444" s="947"/>
      <c r="H444" s="949"/>
      <c r="I444" s="949"/>
      <c r="J444" s="949"/>
      <c r="K444" s="949"/>
      <c r="L444" s="153">
        <f t="shared" si="45"/>
        <v>0</v>
      </c>
      <c r="M444" s="154">
        <f t="shared" si="46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47"/>
        <v>0</v>
      </c>
      <c r="R444" s="153">
        <f t="shared" si="48"/>
        <v>0</v>
      </c>
      <c r="S444" s="154">
        <f t="shared" si="49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customHeight="1">
      <c r="A445" s="947"/>
      <c r="B445" s="947"/>
      <c r="C445" s="948"/>
      <c r="D445" s="948"/>
      <c r="E445" s="948"/>
      <c r="F445" s="947"/>
      <c r="G445" s="947"/>
      <c r="H445" s="150"/>
      <c r="I445" s="151"/>
      <c r="J445" s="151"/>
      <c r="K445" s="151"/>
      <c r="L445" s="153">
        <f t="shared" si="45"/>
        <v>0</v>
      </c>
      <c r="M445" s="154">
        <f t="shared" si="46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47"/>
        <v>0</v>
      </c>
      <c r="R445" s="153">
        <f t="shared" si="48"/>
        <v>0</v>
      </c>
      <c r="S445" s="154">
        <f t="shared" si="49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customHeight="1">
      <c r="A446" s="947"/>
      <c r="B446" s="947"/>
      <c r="C446" s="948"/>
      <c r="D446" s="948"/>
      <c r="E446" s="948"/>
      <c r="F446" s="947"/>
      <c r="G446" s="947"/>
      <c r="H446" s="150"/>
      <c r="I446" s="151"/>
      <c r="J446" s="151"/>
      <c r="K446" s="151"/>
      <c r="L446" s="153">
        <f t="shared" si="45"/>
        <v>0</v>
      </c>
      <c r="M446" s="154">
        <f t="shared" si="46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47"/>
        <v>0</v>
      </c>
      <c r="R446" s="153">
        <f t="shared" si="48"/>
        <v>0</v>
      </c>
      <c r="S446" s="154">
        <f t="shared" si="49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customHeight="1">
      <c r="A447" s="947"/>
      <c r="B447" s="947"/>
      <c r="C447" s="948"/>
      <c r="D447" s="948"/>
      <c r="E447" s="948"/>
      <c r="F447" s="947"/>
      <c r="G447" s="947"/>
      <c r="H447" s="949"/>
      <c r="I447" s="949"/>
      <c r="J447" s="949"/>
      <c r="K447" s="949"/>
      <c r="L447" s="153">
        <f t="shared" si="45"/>
        <v>0</v>
      </c>
      <c r="M447" s="154">
        <f t="shared" si="46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47"/>
        <v>0</v>
      </c>
      <c r="R447" s="153">
        <f t="shared" si="48"/>
        <v>0</v>
      </c>
      <c r="S447" s="154">
        <f t="shared" si="49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947"/>
      <c r="B448" s="947"/>
      <c r="C448" s="949"/>
      <c r="D448" s="949"/>
      <c r="E448" s="949"/>
      <c r="F448" s="947"/>
      <c r="G448" s="947"/>
      <c r="H448" s="949"/>
      <c r="I448" s="948"/>
      <c r="J448" s="948"/>
      <c r="K448" s="948"/>
      <c r="L448" s="153">
        <f t="shared" si="45"/>
        <v>0</v>
      </c>
      <c r="M448" s="154">
        <f t="shared" si="46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47"/>
        <v>0</v>
      </c>
      <c r="R448" s="153">
        <f t="shared" si="48"/>
        <v>0</v>
      </c>
      <c r="S448" s="154">
        <f t="shared" si="49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947"/>
      <c r="B449" s="947"/>
      <c r="C449" s="948"/>
      <c r="D449" s="948"/>
      <c r="E449" s="948"/>
      <c r="F449" s="947"/>
      <c r="G449" s="947"/>
      <c r="H449" s="150"/>
      <c r="I449" s="157"/>
      <c r="J449" s="157"/>
      <c r="K449" s="157"/>
      <c r="L449" s="153">
        <f t="shared" si="45"/>
        <v>0</v>
      </c>
      <c r="M449" s="154">
        <f t="shared" si="46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47"/>
        <v>0</v>
      </c>
      <c r="R449" s="153">
        <f t="shared" si="48"/>
        <v>0</v>
      </c>
      <c r="S449" s="154">
        <f t="shared" si="49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947"/>
      <c r="B450" s="947"/>
      <c r="C450" s="948"/>
      <c r="D450" s="948"/>
      <c r="E450" s="948"/>
      <c r="F450" s="947"/>
      <c r="G450" s="947"/>
      <c r="H450" s="150"/>
      <c r="I450" s="151"/>
      <c r="J450" s="151"/>
      <c r="K450" s="151"/>
      <c r="L450" s="153">
        <f t="shared" ref="L450:L513" si="50">+B450</f>
        <v>0</v>
      </c>
      <c r="M450" s="154">
        <f t="shared" ref="M450:M513" si="51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52">+F450</f>
        <v>0</v>
      </c>
      <c r="R450" s="153">
        <f t="shared" ref="R450:R513" si="53">+G450</f>
        <v>0</v>
      </c>
      <c r="S450" s="154">
        <f t="shared" ref="S450:S513" si="54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947"/>
      <c r="B451" s="947"/>
      <c r="C451" s="948"/>
      <c r="D451" s="948"/>
      <c r="E451" s="948"/>
      <c r="F451" s="947"/>
      <c r="G451" s="947"/>
      <c r="H451" s="150"/>
      <c r="I451" s="157"/>
      <c r="J451" s="157"/>
      <c r="K451" s="157"/>
      <c r="L451" s="153">
        <f t="shared" si="50"/>
        <v>0</v>
      </c>
      <c r="M451" s="154">
        <f t="shared" si="51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52"/>
        <v>0</v>
      </c>
      <c r="R451" s="153">
        <f t="shared" si="53"/>
        <v>0</v>
      </c>
      <c r="S451" s="154">
        <f t="shared" si="54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947"/>
      <c r="B452" s="947"/>
      <c r="C452" s="948"/>
      <c r="D452" s="948"/>
      <c r="E452" s="948"/>
      <c r="F452" s="947"/>
      <c r="G452" s="947"/>
      <c r="H452" s="150"/>
      <c r="I452" s="157"/>
      <c r="J452" s="157"/>
      <c r="K452" s="157"/>
      <c r="L452" s="153">
        <f t="shared" si="50"/>
        <v>0</v>
      </c>
      <c r="M452" s="154">
        <f t="shared" si="51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52"/>
        <v>0</v>
      </c>
      <c r="R452" s="153">
        <f t="shared" si="53"/>
        <v>0</v>
      </c>
      <c r="S452" s="154">
        <f t="shared" si="54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947"/>
      <c r="B453" s="947"/>
      <c r="C453" s="948"/>
      <c r="D453" s="948"/>
      <c r="E453" s="948"/>
      <c r="F453" s="947"/>
      <c r="G453" s="947"/>
      <c r="H453" s="150"/>
      <c r="I453" s="157"/>
      <c r="J453" s="157"/>
      <c r="K453" s="157"/>
      <c r="L453" s="153">
        <f t="shared" si="50"/>
        <v>0</v>
      </c>
      <c r="M453" s="154">
        <f t="shared" si="51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52"/>
        <v>0</v>
      </c>
      <c r="R453" s="153">
        <f t="shared" si="53"/>
        <v>0</v>
      </c>
      <c r="S453" s="154">
        <f t="shared" si="54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947"/>
      <c r="B454" s="947"/>
      <c r="C454" s="948"/>
      <c r="D454" s="948"/>
      <c r="E454" s="948"/>
      <c r="F454" s="947"/>
      <c r="G454" s="947"/>
      <c r="H454" s="150"/>
      <c r="I454" s="157"/>
      <c r="J454" s="157"/>
      <c r="K454" s="157"/>
      <c r="L454" s="153">
        <f t="shared" si="50"/>
        <v>0</v>
      </c>
      <c r="M454" s="154">
        <f t="shared" si="51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52"/>
        <v>0</v>
      </c>
      <c r="R454" s="153">
        <f t="shared" si="53"/>
        <v>0</v>
      </c>
      <c r="S454" s="154">
        <f t="shared" si="54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947"/>
      <c r="B455" s="947"/>
      <c r="C455" s="949"/>
      <c r="D455" s="949"/>
      <c r="E455" s="949"/>
      <c r="F455" s="947"/>
      <c r="G455" s="947"/>
      <c r="H455" s="949"/>
      <c r="I455" s="948"/>
      <c r="J455" s="948"/>
      <c r="K455" s="948"/>
      <c r="L455" s="153">
        <f t="shared" si="50"/>
        <v>0</v>
      </c>
      <c r="M455" s="154">
        <f t="shared" si="51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52"/>
        <v>0</v>
      </c>
      <c r="R455" s="153">
        <f t="shared" si="53"/>
        <v>0</v>
      </c>
      <c r="S455" s="154">
        <f t="shared" si="54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947"/>
      <c r="B456" s="947"/>
      <c r="C456" s="949"/>
      <c r="D456" s="949"/>
      <c r="E456" s="949"/>
      <c r="F456" s="947"/>
      <c r="G456" s="947"/>
      <c r="H456" s="949"/>
      <c r="I456" s="948"/>
      <c r="J456" s="948"/>
      <c r="K456" s="948"/>
      <c r="L456" s="153">
        <f t="shared" si="50"/>
        <v>0</v>
      </c>
      <c r="M456" s="154">
        <f t="shared" si="51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52"/>
        <v>0</v>
      </c>
      <c r="R456" s="153">
        <f t="shared" si="53"/>
        <v>0</v>
      </c>
      <c r="S456" s="154">
        <f t="shared" si="54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947"/>
      <c r="B457" s="947"/>
      <c r="C457" s="949"/>
      <c r="D457" s="949"/>
      <c r="E457" s="949"/>
      <c r="F457" s="947"/>
      <c r="G457" s="947"/>
      <c r="H457" s="949"/>
      <c r="I457" s="948"/>
      <c r="J457" s="948"/>
      <c r="K457" s="948"/>
      <c r="L457" s="153">
        <f t="shared" si="50"/>
        <v>0</v>
      </c>
      <c r="M457" s="154">
        <f t="shared" si="51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52"/>
        <v>0</v>
      </c>
      <c r="R457" s="153">
        <f t="shared" si="53"/>
        <v>0</v>
      </c>
      <c r="S457" s="154">
        <f t="shared" si="54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949"/>
      <c r="D458" s="949"/>
      <c r="E458" s="949"/>
      <c r="F458" s="947"/>
      <c r="G458" s="947"/>
      <c r="H458" s="949"/>
      <c r="I458" s="948"/>
      <c r="J458" s="948"/>
      <c r="K458" s="948"/>
      <c r="L458" s="153">
        <f t="shared" si="50"/>
        <v>0</v>
      </c>
      <c r="M458" s="154">
        <f t="shared" si="51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52"/>
        <v>0</v>
      </c>
      <c r="R458" s="153">
        <f t="shared" si="53"/>
        <v>0</v>
      </c>
      <c r="S458" s="154">
        <f t="shared" si="54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50"/>
        <v>0</v>
      </c>
      <c r="M459" s="154">
        <f t="shared" si="51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52"/>
        <v>0</v>
      </c>
      <c r="R459" s="153">
        <f t="shared" si="53"/>
        <v>0</v>
      </c>
      <c r="S459" s="154">
        <f t="shared" si="54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50"/>
        <v>0</v>
      </c>
      <c r="M460" s="154">
        <f t="shared" si="51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52"/>
        <v>0</v>
      </c>
      <c r="R460" s="153">
        <f t="shared" si="53"/>
        <v>0</v>
      </c>
      <c r="S460" s="154">
        <f t="shared" si="54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50"/>
        <v>0</v>
      </c>
      <c r="M461" s="154">
        <f t="shared" si="51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52"/>
        <v>0</v>
      </c>
      <c r="R461" s="153">
        <f t="shared" si="53"/>
        <v>0</v>
      </c>
      <c r="S461" s="154">
        <f t="shared" si="54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50"/>
        <v>0</v>
      </c>
      <c r="M462" s="154">
        <f t="shared" si="51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52"/>
        <v>0</v>
      </c>
      <c r="R462" s="153">
        <f t="shared" si="53"/>
        <v>0</v>
      </c>
      <c r="S462" s="154">
        <f t="shared" si="54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50"/>
        <v>0</v>
      </c>
      <c r="M463" s="154">
        <f t="shared" si="51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52"/>
        <v>0</v>
      </c>
      <c r="R463" s="153">
        <f t="shared" si="53"/>
        <v>0</v>
      </c>
      <c r="S463" s="154">
        <f t="shared" si="54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50"/>
        <v>0</v>
      </c>
      <c r="M464" s="154">
        <f t="shared" si="51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52"/>
        <v>0</v>
      </c>
      <c r="R464" s="153">
        <f t="shared" si="53"/>
        <v>0</v>
      </c>
      <c r="S464" s="154">
        <f t="shared" si="54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50"/>
        <v>0</v>
      </c>
      <c r="M465" s="154">
        <f t="shared" si="51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52"/>
        <v>0</v>
      </c>
      <c r="R465" s="153">
        <f t="shared" si="53"/>
        <v>0</v>
      </c>
      <c r="S465" s="154">
        <f t="shared" si="54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50"/>
        <v>0</v>
      </c>
      <c r="M466" s="154">
        <f t="shared" si="51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52"/>
        <v>0</v>
      </c>
      <c r="R466" s="153">
        <f t="shared" si="53"/>
        <v>0</v>
      </c>
      <c r="S466" s="154">
        <f t="shared" si="54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50"/>
        <v>0</v>
      </c>
      <c r="M467" s="154">
        <f t="shared" si="51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52"/>
        <v>0</v>
      </c>
      <c r="R467" s="153">
        <f t="shared" si="53"/>
        <v>0</v>
      </c>
      <c r="S467" s="154">
        <f t="shared" si="54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50"/>
        <v>0</v>
      </c>
      <c r="M468" s="154">
        <f t="shared" si="51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52"/>
        <v>0</v>
      </c>
      <c r="R468" s="153">
        <f t="shared" si="53"/>
        <v>0</v>
      </c>
      <c r="S468" s="154">
        <f t="shared" si="54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50"/>
        <v>0</v>
      </c>
      <c r="M469" s="154">
        <f t="shared" si="51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52"/>
        <v>0</v>
      </c>
      <c r="R469" s="153">
        <f t="shared" si="53"/>
        <v>0</v>
      </c>
      <c r="S469" s="154">
        <f t="shared" si="54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50"/>
        <v>0</v>
      </c>
      <c r="M470" s="154">
        <f t="shared" si="51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52"/>
        <v>0</v>
      </c>
      <c r="R470" s="153">
        <f t="shared" si="53"/>
        <v>0</v>
      </c>
      <c r="S470" s="154">
        <f t="shared" si="54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50"/>
        <v>0</v>
      </c>
      <c r="M471" s="154">
        <f t="shared" si="51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52"/>
        <v>0</v>
      </c>
      <c r="R471" s="153">
        <f t="shared" si="53"/>
        <v>0</v>
      </c>
      <c r="S471" s="154">
        <f t="shared" si="54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50"/>
        <v>0</v>
      </c>
      <c r="M472" s="154">
        <f t="shared" si="51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52"/>
        <v>0</v>
      </c>
      <c r="R472" s="153">
        <f t="shared" si="53"/>
        <v>0</v>
      </c>
      <c r="S472" s="154">
        <f t="shared" si="54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50"/>
        <v>0</v>
      </c>
      <c r="M473" s="154">
        <f t="shared" si="51"/>
        <v>0</v>
      </c>
      <c r="N473" s="155">
        <f>+IF(OR($Q473=Parametres!$G$2,$Q473=Parametres!$G$3),I473,C473)</f>
        <v>0</v>
      </c>
      <c r="O473" s="57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52"/>
        <v>0</v>
      </c>
      <c r="R473" s="153">
        <f t="shared" si="53"/>
        <v>0</v>
      </c>
      <c r="S473" s="154">
        <f t="shared" si="54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50"/>
        <v>0</v>
      </c>
      <c r="M474" s="154">
        <f t="shared" si="51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52"/>
        <v>0</v>
      </c>
      <c r="R474" s="153">
        <f t="shared" si="53"/>
        <v>0</v>
      </c>
      <c r="S474" s="154">
        <f t="shared" si="54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50"/>
        <v>0</v>
      </c>
      <c r="M475" s="154">
        <f t="shared" si="51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52"/>
        <v>0</v>
      </c>
      <c r="R475" s="153">
        <f t="shared" si="53"/>
        <v>0</v>
      </c>
      <c r="S475" s="154">
        <f t="shared" si="54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50"/>
        <v>0</v>
      </c>
      <c r="M476" s="154">
        <f t="shared" si="51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52"/>
        <v>0</v>
      </c>
      <c r="R476" s="153">
        <f t="shared" si="53"/>
        <v>0</v>
      </c>
      <c r="S476" s="154">
        <f t="shared" si="54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50"/>
        <v>0</v>
      </c>
      <c r="M477" s="154">
        <f t="shared" si="51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52"/>
        <v>0</v>
      </c>
      <c r="R477" s="153">
        <f t="shared" si="53"/>
        <v>0</v>
      </c>
      <c r="S477" s="154">
        <f t="shared" si="54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50"/>
        <v>0</v>
      </c>
      <c r="M478" s="154">
        <f t="shared" si="51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52"/>
        <v>0</v>
      </c>
      <c r="R478" s="153">
        <f t="shared" si="53"/>
        <v>0</v>
      </c>
      <c r="S478" s="154">
        <f t="shared" si="54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50"/>
        <v>0</v>
      </c>
      <c r="M479" s="154">
        <f t="shared" si="51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52"/>
        <v>0</v>
      </c>
      <c r="R479" s="153">
        <f t="shared" si="53"/>
        <v>0</v>
      </c>
      <c r="S479" s="154">
        <f t="shared" si="54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50"/>
        <v>0</v>
      </c>
      <c r="M480" s="154">
        <f t="shared" si="51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52"/>
        <v>0</v>
      </c>
      <c r="R480" s="153">
        <f t="shared" si="53"/>
        <v>0</v>
      </c>
      <c r="S480" s="154">
        <f t="shared" si="54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50"/>
        <v>0</v>
      </c>
      <c r="M481" s="154">
        <f t="shared" si="51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52"/>
        <v>0</v>
      </c>
      <c r="R481" s="153">
        <f t="shared" si="53"/>
        <v>0</v>
      </c>
      <c r="S481" s="154">
        <f t="shared" si="54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50"/>
        <v>0</v>
      </c>
      <c r="M482" s="154">
        <f t="shared" si="51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52"/>
        <v>0</v>
      </c>
      <c r="R482" s="153">
        <f t="shared" si="53"/>
        <v>0</v>
      </c>
      <c r="S482" s="154">
        <f t="shared" si="5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50"/>
        <v>0</v>
      </c>
      <c r="M483" s="154">
        <f t="shared" si="51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52"/>
        <v>0</v>
      </c>
      <c r="R483" s="153">
        <f t="shared" si="53"/>
        <v>0</v>
      </c>
      <c r="S483" s="154">
        <f t="shared" si="5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50"/>
        <v>0</v>
      </c>
      <c r="M484" s="154">
        <f t="shared" si="51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52"/>
        <v>0</v>
      </c>
      <c r="R484" s="153">
        <f t="shared" si="53"/>
        <v>0</v>
      </c>
      <c r="S484" s="154">
        <f t="shared" si="5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50"/>
        <v>0</v>
      </c>
      <c r="M485" s="154">
        <f t="shared" si="51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52"/>
        <v>0</v>
      </c>
      <c r="R485" s="153">
        <f t="shared" si="53"/>
        <v>0</v>
      </c>
      <c r="S485" s="154">
        <f t="shared" si="5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50"/>
        <v>0</v>
      </c>
      <c r="M486" s="154">
        <f t="shared" si="51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52"/>
        <v>0</v>
      </c>
      <c r="R486" s="153">
        <f t="shared" si="53"/>
        <v>0</v>
      </c>
      <c r="S486" s="154">
        <f t="shared" si="5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50"/>
        <v>0</v>
      </c>
      <c r="M487" s="154">
        <f t="shared" si="51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52"/>
        <v>0</v>
      </c>
      <c r="R487" s="153">
        <f t="shared" si="53"/>
        <v>0</v>
      </c>
      <c r="S487" s="154">
        <f t="shared" si="5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50"/>
        <v>0</v>
      </c>
      <c r="M488" s="154">
        <f t="shared" si="51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52"/>
        <v>0</v>
      </c>
      <c r="R488" s="153">
        <f t="shared" si="53"/>
        <v>0</v>
      </c>
      <c r="S488" s="154">
        <f t="shared" si="5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50"/>
        <v>0</v>
      </c>
      <c r="M489" s="154">
        <f t="shared" si="51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52"/>
        <v>0</v>
      </c>
      <c r="R489" s="153">
        <f t="shared" si="53"/>
        <v>0</v>
      </c>
      <c r="S489" s="154">
        <f t="shared" si="5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50"/>
        <v>0</v>
      </c>
      <c r="M490" s="154">
        <f t="shared" si="51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52"/>
        <v>0</v>
      </c>
      <c r="R490" s="153">
        <f t="shared" si="53"/>
        <v>0</v>
      </c>
      <c r="S490" s="154">
        <f t="shared" si="5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50"/>
        <v>0</v>
      </c>
      <c r="M491" s="154">
        <f t="shared" si="51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52"/>
        <v>0</v>
      </c>
      <c r="R491" s="153">
        <f t="shared" si="53"/>
        <v>0</v>
      </c>
      <c r="S491" s="154">
        <f t="shared" si="5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50"/>
        <v>0</v>
      </c>
      <c r="M492" s="154">
        <f t="shared" si="51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52"/>
        <v>0</v>
      </c>
      <c r="R492" s="153">
        <f t="shared" si="53"/>
        <v>0</v>
      </c>
      <c r="S492" s="154">
        <f t="shared" si="5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50"/>
        <v>0</v>
      </c>
      <c r="M493" s="154">
        <f t="shared" si="51"/>
        <v>0</v>
      </c>
      <c r="N493" s="155">
        <f>+IF(OR($Q493=Parametres!$G$2,$Q493=Parametres!$G$3),I493,C493)</f>
        <v>0</v>
      </c>
      <c r="O493" s="57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52"/>
        <v>0</v>
      </c>
      <c r="R493" s="153">
        <f t="shared" si="53"/>
        <v>0</v>
      </c>
      <c r="S493" s="154">
        <f t="shared" si="5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50"/>
        <v>0</v>
      </c>
      <c r="M494" s="154">
        <f t="shared" si="51"/>
        <v>0</v>
      </c>
      <c r="N494" s="155">
        <f>+IF(OR($Q494=Parametres!$G$2,$Q494=Parametres!$G$3),I494,C494)</f>
        <v>0</v>
      </c>
      <c r="O494" s="576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52"/>
        <v>0</v>
      </c>
      <c r="R494" s="153">
        <f t="shared" si="53"/>
        <v>0</v>
      </c>
      <c r="S494" s="154">
        <f t="shared" si="5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50"/>
        <v>0</v>
      </c>
      <c r="M495" s="154">
        <f t="shared" si="51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52"/>
        <v>0</v>
      </c>
      <c r="R495" s="153">
        <f t="shared" si="53"/>
        <v>0</v>
      </c>
      <c r="S495" s="154">
        <f t="shared" si="5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50"/>
        <v>0</v>
      </c>
      <c r="M496" s="154">
        <f t="shared" si="51"/>
        <v>0</v>
      </c>
      <c r="N496" s="155">
        <f>+IF(OR($Q496=Parametres!$G$2,$Q496=Parametres!$G$3),I496,C496)</f>
        <v>0</v>
      </c>
      <c r="O496" s="57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52"/>
        <v>0</v>
      </c>
      <c r="R496" s="153">
        <f t="shared" si="53"/>
        <v>0</v>
      </c>
      <c r="S496" s="154">
        <f t="shared" si="5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50"/>
        <v>0</v>
      </c>
      <c r="M497" s="154">
        <f t="shared" si="51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52"/>
        <v>0</v>
      </c>
      <c r="R497" s="153">
        <f t="shared" si="53"/>
        <v>0</v>
      </c>
      <c r="S497" s="154">
        <f t="shared" si="5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50"/>
        <v>0</v>
      </c>
      <c r="M498" s="154">
        <f t="shared" si="51"/>
        <v>0</v>
      </c>
      <c r="N498" s="155">
        <f>+IF(OR($Q498=Parametres!$G$2,$Q498=Parametres!$G$3),I498,C498)</f>
        <v>0</v>
      </c>
      <c r="O498" s="57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52"/>
        <v>0</v>
      </c>
      <c r="R498" s="153">
        <f t="shared" si="53"/>
        <v>0</v>
      </c>
      <c r="S498" s="154">
        <f t="shared" si="54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50"/>
        <v>0</v>
      </c>
      <c r="M499" s="154">
        <f t="shared" si="51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52"/>
        <v>0</v>
      </c>
      <c r="R499" s="153">
        <f t="shared" si="53"/>
        <v>0</v>
      </c>
      <c r="S499" s="154">
        <f t="shared" si="54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50"/>
        <v>0</v>
      </c>
      <c r="M500" s="154">
        <f t="shared" si="51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52"/>
        <v>0</v>
      </c>
      <c r="R500" s="153">
        <f t="shared" si="53"/>
        <v>0</v>
      </c>
      <c r="S500" s="154">
        <f t="shared" si="54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50"/>
        <v>0</v>
      </c>
      <c r="M501" s="154">
        <f t="shared" si="51"/>
        <v>0</v>
      </c>
      <c r="N501" s="155">
        <f>+IF(OR($Q501=Parametres!$G$2,$Q501=Parametres!$G$3),I501,C501)</f>
        <v>0</v>
      </c>
      <c r="O501" s="576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52"/>
        <v>0</v>
      </c>
      <c r="R501" s="153">
        <f t="shared" si="53"/>
        <v>0</v>
      </c>
      <c r="S501" s="154">
        <f t="shared" si="54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50"/>
        <v>0</v>
      </c>
      <c r="M502" s="154">
        <f t="shared" si="51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52"/>
        <v>0</v>
      </c>
      <c r="R502" s="153">
        <f t="shared" si="53"/>
        <v>0</v>
      </c>
      <c r="S502" s="154">
        <f t="shared" si="54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50"/>
        <v>0</v>
      </c>
      <c r="M503" s="154">
        <f t="shared" si="51"/>
        <v>0</v>
      </c>
      <c r="N503" s="155">
        <f>+IF(OR($Q503=Parametres!$G$2,$Q503=Parametres!$G$3),I503,C503)</f>
        <v>0</v>
      </c>
      <c r="O503" s="576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52"/>
        <v>0</v>
      </c>
      <c r="R503" s="153">
        <f t="shared" si="53"/>
        <v>0</v>
      </c>
      <c r="S503" s="154">
        <f t="shared" si="54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50"/>
        <v>0</v>
      </c>
      <c r="M504" s="154">
        <f t="shared" si="51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52"/>
        <v>0</v>
      </c>
      <c r="R504" s="153">
        <f t="shared" si="53"/>
        <v>0</v>
      </c>
      <c r="S504" s="154">
        <f t="shared" si="54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50"/>
        <v>0</v>
      </c>
      <c r="M505" s="154">
        <f t="shared" si="51"/>
        <v>0</v>
      </c>
      <c r="N505" s="155">
        <f>+IF(OR($Q505=Parametres!$G$2,$Q505=Parametres!$G$3),I505,C505)</f>
        <v>0</v>
      </c>
      <c r="O505" s="577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52"/>
        <v>0</v>
      </c>
      <c r="R505" s="153">
        <f t="shared" si="53"/>
        <v>0</v>
      </c>
      <c r="S505" s="154">
        <f t="shared" si="54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50"/>
        <v>0</v>
      </c>
      <c r="M506" s="154">
        <f t="shared" si="51"/>
        <v>0</v>
      </c>
      <c r="N506" s="155">
        <f>+IF(OR($Q506=Parametres!$G$2,$Q506=Parametres!$G$3),I506,C506)</f>
        <v>0</v>
      </c>
      <c r="O506" s="576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52"/>
        <v>0</v>
      </c>
      <c r="R506" s="153">
        <f t="shared" si="53"/>
        <v>0</v>
      </c>
      <c r="S506" s="154">
        <f t="shared" si="54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50"/>
        <v>0</v>
      </c>
      <c r="M507" s="154">
        <f t="shared" si="51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52"/>
        <v>0</v>
      </c>
      <c r="R507" s="153">
        <f t="shared" si="53"/>
        <v>0</v>
      </c>
      <c r="S507" s="154">
        <f t="shared" si="54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50"/>
        <v>0</v>
      </c>
      <c r="M508" s="154">
        <f t="shared" si="51"/>
        <v>0</v>
      </c>
      <c r="N508" s="155">
        <f>+IF(OR($Q508=Parametres!$G$2,$Q508=Parametres!$G$3),I508,C508)</f>
        <v>0</v>
      </c>
      <c r="O508" s="57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52"/>
        <v>0</v>
      </c>
      <c r="R508" s="153">
        <f t="shared" si="53"/>
        <v>0</v>
      </c>
      <c r="S508" s="154">
        <f t="shared" si="54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50"/>
        <v>0</v>
      </c>
      <c r="M509" s="154">
        <f t="shared" si="51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52"/>
        <v>0</v>
      </c>
      <c r="R509" s="153">
        <f t="shared" si="53"/>
        <v>0</v>
      </c>
      <c r="S509" s="154">
        <f t="shared" si="54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50"/>
        <v>0</v>
      </c>
      <c r="M510" s="154">
        <f t="shared" si="51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52"/>
        <v>0</v>
      </c>
      <c r="R510" s="153">
        <f t="shared" si="53"/>
        <v>0</v>
      </c>
      <c r="S510" s="154">
        <f t="shared" si="54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50"/>
        <v>0</v>
      </c>
      <c r="M511" s="154">
        <f t="shared" si="51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52"/>
        <v>0</v>
      </c>
      <c r="R511" s="153">
        <f t="shared" si="53"/>
        <v>0</v>
      </c>
      <c r="S511" s="154">
        <f t="shared" si="54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50"/>
        <v>0</v>
      </c>
      <c r="M512" s="154">
        <f t="shared" si="51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52"/>
        <v>0</v>
      </c>
      <c r="R512" s="153">
        <f t="shared" si="53"/>
        <v>0</v>
      </c>
      <c r="S512" s="154">
        <f t="shared" si="54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50"/>
        <v>0</v>
      </c>
      <c r="M513" s="154">
        <f t="shared" si="51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52"/>
        <v>0</v>
      </c>
      <c r="R513" s="153">
        <f t="shared" si="53"/>
        <v>0</v>
      </c>
      <c r="S513" s="154">
        <f t="shared" si="54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55">+B514</f>
        <v>0</v>
      </c>
      <c r="M514" s="154">
        <f t="shared" ref="M514:M577" si="56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57">+F514</f>
        <v>0</v>
      </c>
      <c r="R514" s="153">
        <f t="shared" ref="R514:R577" si="58">+G514</f>
        <v>0</v>
      </c>
      <c r="S514" s="154">
        <f t="shared" ref="S514:S577" si="59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55"/>
        <v>0</v>
      </c>
      <c r="M515" s="154">
        <f t="shared" si="56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57"/>
        <v>0</v>
      </c>
      <c r="R515" s="153">
        <f t="shared" si="58"/>
        <v>0</v>
      </c>
      <c r="S515" s="154">
        <f t="shared" si="59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55"/>
        <v>0</v>
      </c>
      <c r="M516" s="154">
        <f t="shared" si="56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57"/>
        <v>0</v>
      </c>
      <c r="R516" s="153">
        <f t="shared" si="58"/>
        <v>0</v>
      </c>
      <c r="S516" s="154">
        <f t="shared" si="59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55"/>
        <v>0</v>
      </c>
      <c r="M517" s="154">
        <f t="shared" si="56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57"/>
        <v>0</v>
      </c>
      <c r="R517" s="153">
        <f t="shared" si="58"/>
        <v>0</v>
      </c>
      <c r="S517" s="154">
        <f t="shared" si="59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55"/>
        <v>0</v>
      </c>
      <c r="M518" s="154">
        <f t="shared" si="56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57"/>
        <v>0</v>
      </c>
      <c r="R518" s="153">
        <f t="shared" si="58"/>
        <v>0</v>
      </c>
      <c r="S518" s="154">
        <f t="shared" si="59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55"/>
        <v>0</v>
      </c>
      <c r="M519" s="154">
        <f t="shared" si="56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57"/>
        <v>0</v>
      </c>
      <c r="R519" s="153">
        <f t="shared" si="58"/>
        <v>0</v>
      </c>
      <c r="S519" s="154">
        <f t="shared" si="59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55"/>
        <v>0</v>
      </c>
      <c r="M520" s="154">
        <f t="shared" si="56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57"/>
        <v>0</v>
      </c>
      <c r="R520" s="153">
        <f t="shared" si="58"/>
        <v>0</v>
      </c>
      <c r="S520" s="154">
        <f t="shared" si="59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55"/>
        <v>0</v>
      </c>
      <c r="M521" s="154">
        <f t="shared" si="56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57"/>
        <v>0</v>
      </c>
      <c r="R521" s="153">
        <f t="shared" si="58"/>
        <v>0</v>
      </c>
      <c r="S521" s="154">
        <f t="shared" si="59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55"/>
        <v>0</v>
      </c>
      <c r="M522" s="154">
        <f t="shared" si="56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57"/>
        <v>0</v>
      </c>
      <c r="R522" s="153">
        <f t="shared" si="58"/>
        <v>0</v>
      </c>
      <c r="S522" s="154">
        <f t="shared" si="59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55"/>
        <v>0</v>
      </c>
      <c r="M523" s="154">
        <f t="shared" si="56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57"/>
        <v>0</v>
      </c>
      <c r="R523" s="153">
        <f t="shared" si="58"/>
        <v>0</v>
      </c>
      <c r="S523" s="154">
        <f t="shared" si="59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55"/>
        <v>0</v>
      </c>
      <c r="M524" s="154">
        <f t="shared" si="56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57"/>
        <v>0</v>
      </c>
      <c r="R524" s="153">
        <f t="shared" si="58"/>
        <v>0</v>
      </c>
      <c r="S524" s="154">
        <f t="shared" si="59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55"/>
        <v>0</v>
      </c>
      <c r="M525" s="154">
        <f t="shared" si="56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57"/>
        <v>0</v>
      </c>
      <c r="R525" s="153">
        <f t="shared" si="58"/>
        <v>0</v>
      </c>
      <c r="S525" s="154">
        <f t="shared" si="59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55"/>
        <v>0</v>
      </c>
      <c r="M526" s="154">
        <f t="shared" si="56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57"/>
        <v>0</v>
      </c>
      <c r="R526" s="153">
        <f t="shared" si="58"/>
        <v>0</v>
      </c>
      <c r="S526" s="154">
        <f t="shared" si="59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55"/>
        <v>0</v>
      </c>
      <c r="M527" s="154">
        <f t="shared" si="56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57"/>
        <v>0</v>
      </c>
      <c r="R527" s="153">
        <f t="shared" si="58"/>
        <v>0</v>
      </c>
      <c r="S527" s="154">
        <f t="shared" si="59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55"/>
        <v>0</v>
      </c>
      <c r="M528" s="154">
        <f t="shared" si="56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57"/>
        <v>0</v>
      </c>
      <c r="R528" s="153">
        <f t="shared" si="58"/>
        <v>0</v>
      </c>
      <c r="S528" s="154">
        <f t="shared" si="59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55"/>
        <v>0</v>
      </c>
      <c r="M529" s="154">
        <f t="shared" si="56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57"/>
        <v>0</v>
      </c>
      <c r="R529" s="153">
        <f t="shared" si="58"/>
        <v>0</v>
      </c>
      <c r="S529" s="154">
        <f t="shared" si="59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55"/>
        <v>0</v>
      </c>
      <c r="M530" s="154">
        <f t="shared" si="56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57"/>
        <v>0</v>
      </c>
      <c r="R530" s="153">
        <f t="shared" si="58"/>
        <v>0</v>
      </c>
      <c r="S530" s="154">
        <f t="shared" si="5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55"/>
        <v>0</v>
      </c>
      <c r="M531" s="154">
        <f t="shared" si="56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57"/>
        <v>0</v>
      </c>
      <c r="R531" s="153">
        <f t="shared" si="58"/>
        <v>0</v>
      </c>
      <c r="S531" s="154">
        <f t="shared" si="5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55"/>
        <v>0</v>
      </c>
      <c r="M532" s="154">
        <f t="shared" si="56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57"/>
        <v>0</v>
      </c>
      <c r="R532" s="153">
        <f t="shared" si="58"/>
        <v>0</v>
      </c>
      <c r="S532" s="154">
        <f t="shared" si="5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55"/>
        <v>0</v>
      </c>
      <c r="M533" s="154">
        <f t="shared" si="56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57"/>
        <v>0</v>
      </c>
      <c r="R533" s="153">
        <f t="shared" si="58"/>
        <v>0</v>
      </c>
      <c r="S533" s="154">
        <f t="shared" si="5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55"/>
        <v>0</v>
      </c>
      <c r="M534" s="154">
        <f t="shared" si="56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57"/>
        <v>0</v>
      </c>
      <c r="R534" s="153">
        <f t="shared" si="58"/>
        <v>0</v>
      </c>
      <c r="S534" s="154">
        <f t="shared" si="5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55"/>
        <v>0</v>
      </c>
      <c r="M535" s="154">
        <f t="shared" si="56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57"/>
        <v>0</v>
      </c>
      <c r="R535" s="153">
        <f t="shared" si="58"/>
        <v>0</v>
      </c>
      <c r="S535" s="154">
        <f t="shared" si="5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55"/>
        <v>0</v>
      </c>
      <c r="M536" s="154">
        <f t="shared" si="56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57"/>
        <v>0</v>
      </c>
      <c r="R536" s="153">
        <f t="shared" si="58"/>
        <v>0</v>
      </c>
      <c r="S536" s="154">
        <f t="shared" si="5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55"/>
        <v>0</v>
      </c>
      <c r="M537" s="154">
        <f t="shared" si="56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57"/>
        <v>0</v>
      </c>
      <c r="R537" s="153">
        <f t="shared" si="58"/>
        <v>0</v>
      </c>
      <c r="S537" s="154">
        <f t="shared" si="5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55"/>
        <v>0</v>
      </c>
      <c r="M538" s="154">
        <f t="shared" si="56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57"/>
        <v>0</v>
      </c>
      <c r="R538" s="153">
        <f t="shared" si="58"/>
        <v>0</v>
      </c>
      <c r="S538" s="154">
        <f t="shared" si="5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55"/>
        <v>0</v>
      </c>
      <c r="M539" s="154">
        <f t="shared" si="56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57"/>
        <v>0</v>
      </c>
      <c r="R539" s="153">
        <f t="shared" si="58"/>
        <v>0</v>
      </c>
      <c r="S539" s="154">
        <f t="shared" si="5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55"/>
        <v>0</v>
      </c>
      <c r="M540" s="154">
        <f t="shared" si="56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57"/>
        <v>0</v>
      </c>
      <c r="R540" s="153">
        <f t="shared" si="58"/>
        <v>0</v>
      </c>
      <c r="S540" s="154">
        <f t="shared" si="5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55"/>
        <v>0</v>
      </c>
      <c r="M541" s="154">
        <f t="shared" si="56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57"/>
        <v>0</v>
      </c>
      <c r="R541" s="153">
        <f t="shared" si="58"/>
        <v>0</v>
      </c>
      <c r="S541" s="154">
        <f t="shared" si="5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55"/>
        <v>0</v>
      </c>
      <c r="M542" s="154">
        <f t="shared" si="56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57"/>
        <v>0</v>
      </c>
      <c r="R542" s="153">
        <f t="shared" si="58"/>
        <v>0</v>
      </c>
      <c r="S542" s="154">
        <f t="shared" si="5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55"/>
        <v>0</v>
      </c>
      <c r="M543" s="154">
        <f t="shared" si="56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57"/>
        <v>0</v>
      </c>
      <c r="R543" s="153">
        <f t="shared" si="58"/>
        <v>0</v>
      </c>
      <c r="S543" s="154">
        <f t="shared" si="5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55"/>
        <v>0</v>
      </c>
      <c r="M544" s="154">
        <f t="shared" si="56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57"/>
        <v>0</v>
      </c>
      <c r="R544" s="153">
        <f t="shared" si="58"/>
        <v>0</v>
      </c>
      <c r="S544" s="154">
        <f t="shared" si="5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55"/>
        <v>0</v>
      </c>
      <c r="M545" s="154">
        <f t="shared" si="56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57"/>
        <v>0</v>
      </c>
      <c r="R545" s="153">
        <f t="shared" si="58"/>
        <v>0</v>
      </c>
      <c r="S545" s="154">
        <f t="shared" si="5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55"/>
        <v>0</v>
      </c>
      <c r="M546" s="154">
        <f t="shared" si="56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57"/>
        <v>0</v>
      </c>
      <c r="R546" s="153">
        <f t="shared" si="58"/>
        <v>0</v>
      </c>
      <c r="S546" s="154">
        <f t="shared" si="59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55"/>
        <v>0</v>
      </c>
      <c r="M547" s="154">
        <f t="shared" si="56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57"/>
        <v>0</v>
      </c>
      <c r="R547" s="153">
        <f t="shared" si="58"/>
        <v>0</v>
      </c>
      <c r="S547" s="154">
        <f t="shared" si="59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55"/>
        <v>0</v>
      </c>
      <c r="M548" s="154">
        <f t="shared" si="56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57"/>
        <v>0</v>
      </c>
      <c r="R548" s="153">
        <f t="shared" si="58"/>
        <v>0</v>
      </c>
      <c r="S548" s="154">
        <f t="shared" si="59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55"/>
        <v>0</v>
      </c>
      <c r="M549" s="154">
        <f t="shared" si="56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57"/>
        <v>0</v>
      </c>
      <c r="R549" s="153">
        <f t="shared" si="58"/>
        <v>0</v>
      </c>
      <c r="S549" s="154">
        <f t="shared" si="59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55"/>
        <v>0</v>
      </c>
      <c r="M550" s="154">
        <f t="shared" si="56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57"/>
        <v>0</v>
      </c>
      <c r="R550" s="153">
        <f t="shared" si="58"/>
        <v>0</v>
      </c>
      <c r="S550" s="154">
        <f t="shared" si="59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55"/>
        <v>0</v>
      </c>
      <c r="M551" s="154">
        <f t="shared" si="56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57"/>
        <v>0</v>
      </c>
      <c r="R551" s="153">
        <f t="shared" si="58"/>
        <v>0</v>
      </c>
      <c r="S551" s="154">
        <f t="shared" si="59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55"/>
        <v>0</v>
      </c>
      <c r="M552" s="154">
        <f t="shared" si="56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57"/>
        <v>0</v>
      </c>
      <c r="R552" s="153">
        <f t="shared" si="58"/>
        <v>0</v>
      </c>
      <c r="S552" s="154">
        <f t="shared" si="59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55"/>
        <v>0</v>
      </c>
      <c r="M553" s="154">
        <f t="shared" si="56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57"/>
        <v>0</v>
      </c>
      <c r="R553" s="153">
        <f t="shared" si="58"/>
        <v>0</v>
      </c>
      <c r="S553" s="154">
        <f t="shared" si="59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55"/>
        <v>0</v>
      </c>
      <c r="M554" s="154">
        <f t="shared" si="56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57"/>
        <v>0</v>
      </c>
      <c r="R554" s="153">
        <f t="shared" si="58"/>
        <v>0</v>
      </c>
      <c r="S554" s="154">
        <f t="shared" si="59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55"/>
        <v>0</v>
      </c>
      <c r="M555" s="154">
        <f t="shared" si="56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57"/>
        <v>0</v>
      </c>
      <c r="R555" s="153">
        <f t="shared" si="58"/>
        <v>0</v>
      </c>
      <c r="S555" s="154">
        <f t="shared" si="59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55"/>
        <v>0</v>
      </c>
      <c r="M556" s="154">
        <f t="shared" si="56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57"/>
        <v>0</v>
      </c>
      <c r="R556" s="153">
        <f t="shared" si="58"/>
        <v>0</v>
      </c>
      <c r="S556" s="154">
        <f t="shared" si="59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55"/>
        <v>0</v>
      </c>
      <c r="M557" s="154">
        <f t="shared" si="56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57"/>
        <v>0</v>
      </c>
      <c r="R557" s="153">
        <f t="shared" si="58"/>
        <v>0</v>
      </c>
      <c r="S557" s="154">
        <f t="shared" si="59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55"/>
        <v>0</v>
      </c>
      <c r="M558" s="154">
        <f t="shared" si="56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57"/>
        <v>0</v>
      </c>
      <c r="R558" s="153">
        <f t="shared" si="58"/>
        <v>0</v>
      </c>
      <c r="S558" s="154">
        <f t="shared" si="59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55"/>
        <v>0</v>
      </c>
      <c r="M559" s="154">
        <f t="shared" si="56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57"/>
        <v>0</v>
      </c>
      <c r="R559" s="153">
        <f t="shared" si="58"/>
        <v>0</v>
      </c>
      <c r="S559" s="154">
        <f t="shared" si="59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55"/>
        <v>0</v>
      </c>
      <c r="M560" s="154">
        <f t="shared" si="56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57"/>
        <v>0</v>
      </c>
      <c r="R560" s="153">
        <f t="shared" si="58"/>
        <v>0</v>
      </c>
      <c r="S560" s="154">
        <f t="shared" si="59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55"/>
        <v>0</v>
      </c>
      <c r="M561" s="154">
        <f t="shared" si="56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57"/>
        <v>0</v>
      </c>
      <c r="R561" s="153">
        <f t="shared" si="58"/>
        <v>0</v>
      </c>
      <c r="S561" s="154">
        <f t="shared" si="59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55"/>
        <v>0</v>
      </c>
      <c r="M562" s="154">
        <f t="shared" si="56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57"/>
        <v>0</v>
      </c>
      <c r="R562" s="153">
        <f t="shared" si="58"/>
        <v>0</v>
      </c>
      <c r="S562" s="154">
        <f t="shared" si="59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55"/>
        <v>0</v>
      </c>
      <c r="M563" s="154">
        <f t="shared" si="56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57"/>
        <v>0</v>
      </c>
      <c r="R563" s="153">
        <f t="shared" si="58"/>
        <v>0</v>
      </c>
      <c r="S563" s="154">
        <f t="shared" si="59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55"/>
        <v>0</v>
      </c>
      <c r="M564" s="154">
        <f t="shared" si="56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57"/>
        <v>0</v>
      </c>
      <c r="R564" s="153">
        <f t="shared" si="58"/>
        <v>0</v>
      </c>
      <c r="S564" s="154">
        <f t="shared" si="59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55"/>
        <v>0</v>
      </c>
      <c r="M565" s="154">
        <f t="shared" si="56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57"/>
        <v>0</v>
      </c>
      <c r="R565" s="153">
        <f t="shared" si="58"/>
        <v>0</v>
      </c>
      <c r="S565" s="154">
        <f t="shared" si="59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55"/>
        <v>0</v>
      </c>
      <c r="M566" s="154">
        <f t="shared" si="56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57"/>
        <v>0</v>
      </c>
      <c r="R566" s="153">
        <f t="shared" si="58"/>
        <v>0</v>
      </c>
      <c r="S566" s="154">
        <f t="shared" si="59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55"/>
        <v>0</v>
      </c>
      <c r="M567" s="154">
        <f t="shared" si="56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57"/>
        <v>0</v>
      </c>
      <c r="R567" s="153">
        <f t="shared" si="58"/>
        <v>0</v>
      </c>
      <c r="S567" s="154">
        <f t="shared" si="59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55"/>
        <v>0</v>
      </c>
      <c r="M568" s="154">
        <f t="shared" si="56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57"/>
        <v>0</v>
      </c>
      <c r="R568" s="153">
        <f t="shared" si="58"/>
        <v>0</v>
      </c>
      <c r="S568" s="154">
        <f t="shared" si="59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55"/>
        <v>0</v>
      </c>
      <c r="M569" s="154">
        <f t="shared" si="56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57"/>
        <v>0</v>
      </c>
      <c r="R569" s="153">
        <f t="shared" si="58"/>
        <v>0</v>
      </c>
      <c r="S569" s="154">
        <f t="shared" si="59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55"/>
        <v>0</v>
      </c>
      <c r="M570" s="154">
        <f t="shared" si="56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57"/>
        <v>0</v>
      </c>
      <c r="R570" s="153">
        <f t="shared" si="58"/>
        <v>0</v>
      </c>
      <c r="S570" s="154">
        <f t="shared" si="59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55"/>
        <v>0</v>
      </c>
      <c r="M571" s="154">
        <f t="shared" si="56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57"/>
        <v>0</v>
      </c>
      <c r="R571" s="153">
        <f t="shared" si="58"/>
        <v>0</v>
      </c>
      <c r="S571" s="154">
        <f t="shared" si="59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55"/>
        <v>0</v>
      </c>
      <c r="M572" s="154">
        <f t="shared" si="56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57"/>
        <v>0</v>
      </c>
      <c r="R572" s="153">
        <f t="shared" si="58"/>
        <v>0</v>
      </c>
      <c r="S572" s="154">
        <f t="shared" si="59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55"/>
        <v>0</v>
      </c>
      <c r="M573" s="154">
        <f t="shared" si="56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57"/>
        <v>0</v>
      </c>
      <c r="R573" s="153">
        <f t="shared" si="58"/>
        <v>0</v>
      </c>
      <c r="S573" s="154">
        <f t="shared" si="59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55"/>
        <v>0</v>
      </c>
      <c r="M574" s="154">
        <f t="shared" si="56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57"/>
        <v>0</v>
      </c>
      <c r="R574" s="153">
        <f t="shared" si="58"/>
        <v>0</v>
      </c>
      <c r="S574" s="154">
        <f t="shared" si="59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55"/>
        <v>0</v>
      </c>
      <c r="M575" s="154">
        <f t="shared" si="56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57"/>
        <v>0</v>
      </c>
      <c r="R575" s="153">
        <f t="shared" si="58"/>
        <v>0</v>
      </c>
      <c r="S575" s="154">
        <f t="shared" si="59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55"/>
        <v>0</v>
      </c>
      <c r="M576" s="154">
        <f t="shared" si="56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57"/>
        <v>0</v>
      </c>
      <c r="R576" s="153">
        <f t="shared" si="58"/>
        <v>0</v>
      </c>
      <c r="S576" s="154">
        <f t="shared" si="59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55"/>
        <v>0</v>
      </c>
      <c r="M577" s="154">
        <f t="shared" si="56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57"/>
        <v>0</v>
      </c>
      <c r="R577" s="153">
        <f t="shared" si="58"/>
        <v>0</v>
      </c>
      <c r="S577" s="154">
        <f t="shared" si="59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60">+B578</f>
        <v>0</v>
      </c>
      <c r="M578" s="154">
        <f t="shared" ref="M578:M641" si="61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62">+F578</f>
        <v>0</v>
      </c>
      <c r="R578" s="153">
        <f t="shared" ref="R578:R641" si="63">+G578</f>
        <v>0</v>
      </c>
      <c r="S578" s="154">
        <f t="shared" ref="S578:S641" si="64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60"/>
        <v>0</v>
      </c>
      <c r="M579" s="154">
        <f t="shared" si="61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62"/>
        <v>0</v>
      </c>
      <c r="R579" s="153">
        <f t="shared" si="63"/>
        <v>0</v>
      </c>
      <c r="S579" s="154">
        <f t="shared" si="64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60"/>
        <v>0</v>
      </c>
      <c r="M580" s="154">
        <f t="shared" si="61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62"/>
        <v>0</v>
      </c>
      <c r="R580" s="153">
        <f t="shared" si="63"/>
        <v>0</v>
      </c>
      <c r="S580" s="154">
        <f t="shared" si="64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60"/>
        <v>0</v>
      </c>
      <c r="M581" s="154">
        <f t="shared" si="61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62"/>
        <v>0</v>
      </c>
      <c r="R581" s="153">
        <f t="shared" si="63"/>
        <v>0</v>
      </c>
      <c r="S581" s="154">
        <f t="shared" si="64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60"/>
        <v>0</v>
      </c>
      <c r="M582" s="154">
        <f t="shared" si="61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62"/>
        <v>0</v>
      </c>
      <c r="R582" s="153">
        <f t="shared" si="63"/>
        <v>0</v>
      </c>
      <c r="S582" s="154">
        <f t="shared" si="64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60"/>
        <v>0</v>
      </c>
      <c r="M583" s="154">
        <f t="shared" si="61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62"/>
        <v>0</v>
      </c>
      <c r="R583" s="153">
        <f t="shared" si="63"/>
        <v>0</v>
      </c>
      <c r="S583" s="154">
        <f t="shared" si="64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60"/>
        <v>0</v>
      </c>
      <c r="M584" s="154">
        <f t="shared" si="61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62"/>
        <v>0</v>
      </c>
      <c r="R584" s="153">
        <f t="shared" si="63"/>
        <v>0</v>
      </c>
      <c r="S584" s="154">
        <f t="shared" si="64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60"/>
        <v>0</v>
      </c>
      <c r="M585" s="154">
        <f t="shared" si="61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62"/>
        <v>0</v>
      </c>
      <c r="R585" s="153">
        <f t="shared" si="63"/>
        <v>0</v>
      </c>
      <c r="S585" s="154">
        <f t="shared" si="64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60"/>
        <v>0</v>
      </c>
      <c r="M586" s="154">
        <f t="shared" si="61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62"/>
        <v>0</v>
      </c>
      <c r="R586" s="153">
        <f t="shared" si="63"/>
        <v>0</v>
      </c>
      <c r="S586" s="154">
        <f t="shared" si="64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60"/>
        <v>0</v>
      </c>
      <c r="M587" s="154">
        <f t="shared" si="61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62"/>
        <v>0</v>
      </c>
      <c r="R587" s="153">
        <f t="shared" si="63"/>
        <v>0</v>
      </c>
      <c r="S587" s="154">
        <f t="shared" si="64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60"/>
        <v>0</v>
      </c>
      <c r="M588" s="154">
        <f t="shared" si="61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62"/>
        <v>0</v>
      </c>
      <c r="R588" s="153">
        <f t="shared" si="63"/>
        <v>0</v>
      </c>
      <c r="S588" s="154">
        <f t="shared" si="64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60"/>
        <v>0</v>
      </c>
      <c r="M589" s="154">
        <f t="shared" si="61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62"/>
        <v>0</v>
      </c>
      <c r="R589" s="153">
        <f t="shared" si="63"/>
        <v>0</v>
      </c>
      <c r="S589" s="154">
        <f t="shared" si="64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60"/>
        <v>0</v>
      </c>
      <c r="M590" s="154">
        <f t="shared" si="61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62"/>
        <v>0</v>
      </c>
      <c r="R590" s="153">
        <f t="shared" si="63"/>
        <v>0</v>
      </c>
      <c r="S590" s="154">
        <f t="shared" si="64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60"/>
        <v>0</v>
      </c>
      <c r="M591" s="154">
        <f t="shared" si="61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62"/>
        <v>0</v>
      </c>
      <c r="R591" s="153">
        <f t="shared" si="63"/>
        <v>0</v>
      </c>
      <c r="S591" s="154">
        <f t="shared" si="64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60"/>
        <v>0</v>
      </c>
      <c r="M592" s="154">
        <f t="shared" si="61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62"/>
        <v>0</v>
      </c>
      <c r="R592" s="153">
        <f t="shared" si="63"/>
        <v>0</v>
      </c>
      <c r="S592" s="154">
        <f t="shared" si="64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60"/>
        <v>0</v>
      </c>
      <c r="M593" s="154">
        <f t="shared" si="61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62"/>
        <v>0</v>
      </c>
      <c r="R593" s="153">
        <f t="shared" si="63"/>
        <v>0</v>
      </c>
      <c r="S593" s="154">
        <f t="shared" si="64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60"/>
        <v>0</v>
      </c>
      <c r="M594" s="154">
        <f t="shared" si="61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62"/>
        <v>0</v>
      </c>
      <c r="R594" s="153">
        <f t="shared" si="63"/>
        <v>0</v>
      </c>
      <c r="S594" s="154">
        <f t="shared" si="64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60"/>
        <v>0</v>
      </c>
      <c r="M595" s="154">
        <f t="shared" si="61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62"/>
        <v>0</v>
      </c>
      <c r="R595" s="153">
        <f t="shared" si="63"/>
        <v>0</v>
      </c>
      <c r="S595" s="154">
        <f t="shared" si="64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60"/>
        <v>0</v>
      </c>
      <c r="M596" s="154">
        <f t="shared" si="61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62"/>
        <v>0</v>
      </c>
      <c r="R596" s="153">
        <f t="shared" si="63"/>
        <v>0</v>
      </c>
      <c r="S596" s="154">
        <f t="shared" si="64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60"/>
        <v>0</v>
      </c>
      <c r="M597" s="154">
        <f t="shared" si="61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62"/>
        <v>0</v>
      </c>
      <c r="R597" s="153">
        <f t="shared" si="63"/>
        <v>0</v>
      </c>
      <c r="S597" s="154">
        <f t="shared" si="64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60"/>
        <v>0</v>
      </c>
      <c r="M598" s="154">
        <f t="shared" si="61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62"/>
        <v>0</v>
      </c>
      <c r="R598" s="153">
        <f t="shared" si="63"/>
        <v>0</v>
      </c>
      <c r="S598" s="154">
        <f t="shared" si="64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60"/>
        <v>0</v>
      </c>
      <c r="M599" s="154">
        <f t="shared" si="61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62"/>
        <v>0</v>
      </c>
      <c r="R599" s="153">
        <f t="shared" si="63"/>
        <v>0</v>
      </c>
      <c r="S599" s="154">
        <f t="shared" si="64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60"/>
        <v>0</v>
      </c>
      <c r="M600" s="154">
        <f t="shared" si="61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62"/>
        <v>0</v>
      </c>
      <c r="R600" s="153">
        <f t="shared" si="63"/>
        <v>0</v>
      </c>
      <c r="S600" s="154">
        <f t="shared" si="64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60"/>
        <v>0</v>
      </c>
      <c r="M601" s="154">
        <f t="shared" si="61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62"/>
        <v>0</v>
      </c>
      <c r="R601" s="153">
        <f t="shared" si="63"/>
        <v>0</v>
      </c>
      <c r="S601" s="154">
        <f t="shared" si="64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60"/>
        <v>0</v>
      </c>
      <c r="M602" s="154">
        <f t="shared" si="61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62"/>
        <v>0</v>
      </c>
      <c r="R602" s="153">
        <f t="shared" si="63"/>
        <v>0</v>
      </c>
      <c r="S602" s="154">
        <f t="shared" si="64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60"/>
        <v>0</v>
      </c>
      <c r="M603" s="154">
        <f t="shared" si="61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62"/>
        <v>0</v>
      </c>
      <c r="R603" s="153">
        <f t="shared" si="63"/>
        <v>0</v>
      </c>
      <c r="S603" s="154">
        <f t="shared" si="64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60"/>
        <v>0</v>
      </c>
      <c r="M604" s="154">
        <f t="shared" si="61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62"/>
        <v>0</v>
      </c>
      <c r="R604" s="153">
        <f t="shared" si="63"/>
        <v>0</v>
      </c>
      <c r="S604" s="154">
        <f t="shared" si="64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60"/>
        <v>0</v>
      </c>
      <c r="M605" s="154">
        <f t="shared" si="61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62"/>
        <v>0</v>
      </c>
      <c r="R605" s="153">
        <f t="shared" si="63"/>
        <v>0</v>
      </c>
      <c r="S605" s="154">
        <f t="shared" si="64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60"/>
        <v>0</v>
      </c>
      <c r="M606" s="154">
        <f t="shared" si="61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62"/>
        <v>0</v>
      </c>
      <c r="R606" s="153">
        <f t="shared" si="63"/>
        <v>0</v>
      </c>
      <c r="S606" s="154">
        <f t="shared" si="64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60"/>
        <v>0</v>
      </c>
      <c r="M607" s="154">
        <f t="shared" si="61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62"/>
        <v>0</v>
      </c>
      <c r="R607" s="153">
        <f t="shared" si="63"/>
        <v>0</v>
      </c>
      <c r="S607" s="154">
        <f t="shared" si="64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60"/>
        <v>0</v>
      </c>
      <c r="M608" s="154">
        <f t="shared" si="61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62"/>
        <v>0</v>
      </c>
      <c r="R608" s="153">
        <f t="shared" si="63"/>
        <v>0</v>
      </c>
      <c r="S608" s="154">
        <f t="shared" si="64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60"/>
        <v>0</v>
      </c>
      <c r="M609" s="154">
        <f t="shared" si="61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62"/>
        <v>0</v>
      </c>
      <c r="R609" s="153">
        <f t="shared" si="63"/>
        <v>0</v>
      </c>
      <c r="S609" s="154">
        <f t="shared" si="64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60"/>
        <v>0</v>
      </c>
      <c r="M610" s="154">
        <f t="shared" si="61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62"/>
        <v>0</v>
      </c>
      <c r="R610" s="153">
        <f t="shared" si="63"/>
        <v>0</v>
      </c>
      <c r="S610" s="154">
        <f t="shared" si="6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60"/>
        <v>0</v>
      </c>
      <c r="M611" s="154">
        <f t="shared" si="61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62"/>
        <v>0</v>
      </c>
      <c r="R611" s="153">
        <f t="shared" si="63"/>
        <v>0</v>
      </c>
      <c r="S611" s="154">
        <f t="shared" si="6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60"/>
        <v>0</v>
      </c>
      <c r="M612" s="154">
        <f t="shared" si="61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62"/>
        <v>0</v>
      </c>
      <c r="R612" s="153">
        <f t="shared" si="63"/>
        <v>0</v>
      </c>
      <c r="S612" s="154">
        <f t="shared" si="6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60"/>
        <v>0</v>
      </c>
      <c r="M613" s="154">
        <f t="shared" si="61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62"/>
        <v>0</v>
      </c>
      <c r="R613" s="153">
        <f t="shared" si="63"/>
        <v>0</v>
      </c>
      <c r="S613" s="154">
        <f t="shared" si="6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60"/>
        <v>0</v>
      </c>
      <c r="M614" s="154">
        <f t="shared" si="61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62"/>
        <v>0</v>
      </c>
      <c r="R614" s="153">
        <f t="shared" si="63"/>
        <v>0</v>
      </c>
      <c r="S614" s="154">
        <f t="shared" si="6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60"/>
        <v>0</v>
      </c>
      <c r="M615" s="154">
        <f t="shared" si="61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62"/>
        <v>0</v>
      </c>
      <c r="R615" s="153">
        <f t="shared" si="63"/>
        <v>0</v>
      </c>
      <c r="S615" s="154">
        <f t="shared" si="6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60"/>
        <v>0</v>
      </c>
      <c r="M616" s="154">
        <f t="shared" si="61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62"/>
        <v>0</v>
      </c>
      <c r="R616" s="153">
        <f t="shared" si="63"/>
        <v>0</v>
      </c>
      <c r="S616" s="154">
        <f t="shared" si="6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60"/>
        <v>0</v>
      </c>
      <c r="M617" s="154">
        <f t="shared" si="61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62"/>
        <v>0</v>
      </c>
      <c r="R617" s="153">
        <f t="shared" si="63"/>
        <v>0</v>
      </c>
      <c r="S617" s="154">
        <f t="shared" si="6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60"/>
        <v>0</v>
      </c>
      <c r="M618" s="154">
        <f t="shared" si="61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62"/>
        <v>0</v>
      </c>
      <c r="R618" s="153">
        <f t="shared" si="63"/>
        <v>0</v>
      </c>
      <c r="S618" s="154">
        <f t="shared" si="6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60"/>
        <v>0</v>
      </c>
      <c r="M619" s="154">
        <f t="shared" si="61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62"/>
        <v>0</v>
      </c>
      <c r="R619" s="153">
        <f t="shared" si="63"/>
        <v>0</v>
      </c>
      <c r="S619" s="154">
        <f t="shared" si="6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60"/>
        <v>0</v>
      </c>
      <c r="M620" s="154">
        <f t="shared" si="61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62"/>
        <v>0</v>
      </c>
      <c r="R620" s="153">
        <f t="shared" si="63"/>
        <v>0</v>
      </c>
      <c r="S620" s="154">
        <f t="shared" si="6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60"/>
        <v>0</v>
      </c>
      <c r="M621" s="154">
        <f t="shared" si="61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62"/>
        <v>0</v>
      </c>
      <c r="R621" s="153">
        <f t="shared" si="63"/>
        <v>0</v>
      </c>
      <c r="S621" s="154">
        <f t="shared" si="6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60"/>
        <v>0</v>
      </c>
      <c r="M622" s="154">
        <f t="shared" si="61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62"/>
        <v>0</v>
      </c>
      <c r="R622" s="153">
        <f t="shared" si="63"/>
        <v>0</v>
      </c>
      <c r="S622" s="154">
        <f t="shared" si="6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60"/>
        <v>0</v>
      </c>
      <c r="M623" s="154">
        <f t="shared" si="61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62"/>
        <v>0</v>
      </c>
      <c r="R623" s="153">
        <f t="shared" si="63"/>
        <v>0</v>
      </c>
      <c r="S623" s="154">
        <f t="shared" si="6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60"/>
        <v>0</v>
      </c>
      <c r="M624" s="154">
        <f t="shared" si="61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62"/>
        <v>0</v>
      </c>
      <c r="R624" s="153">
        <f t="shared" si="63"/>
        <v>0</v>
      </c>
      <c r="S624" s="154">
        <f t="shared" si="6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60"/>
        <v>0</v>
      </c>
      <c r="M625" s="154">
        <f t="shared" si="61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62"/>
        <v>0</v>
      </c>
      <c r="R625" s="153">
        <f t="shared" si="63"/>
        <v>0</v>
      </c>
      <c r="S625" s="154">
        <f t="shared" si="6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60"/>
        <v>0</v>
      </c>
      <c r="M626" s="154">
        <f t="shared" si="61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62"/>
        <v>0</v>
      </c>
      <c r="R626" s="153">
        <f t="shared" si="63"/>
        <v>0</v>
      </c>
      <c r="S626" s="154">
        <f t="shared" si="64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60"/>
        <v>0</v>
      </c>
      <c r="M627" s="154">
        <f t="shared" si="61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62"/>
        <v>0</v>
      </c>
      <c r="R627" s="153">
        <f t="shared" si="63"/>
        <v>0</v>
      </c>
      <c r="S627" s="154">
        <f t="shared" si="64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60"/>
        <v>0</v>
      </c>
      <c r="M628" s="154">
        <f t="shared" si="61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62"/>
        <v>0</v>
      </c>
      <c r="R628" s="153">
        <f t="shared" si="63"/>
        <v>0</v>
      </c>
      <c r="S628" s="154">
        <f t="shared" si="64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60"/>
        <v>0</v>
      </c>
      <c r="M629" s="154">
        <f t="shared" si="61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62"/>
        <v>0</v>
      </c>
      <c r="R629" s="153">
        <f t="shared" si="63"/>
        <v>0</v>
      </c>
      <c r="S629" s="154">
        <f t="shared" si="64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60"/>
        <v>0</v>
      </c>
      <c r="M630" s="154">
        <f t="shared" si="61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62"/>
        <v>0</v>
      </c>
      <c r="R630" s="153">
        <f t="shared" si="63"/>
        <v>0</v>
      </c>
      <c r="S630" s="154">
        <f t="shared" si="64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60"/>
        <v>0</v>
      </c>
      <c r="M631" s="154">
        <f t="shared" si="61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62"/>
        <v>0</v>
      </c>
      <c r="R631" s="153">
        <f t="shared" si="63"/>
        <v>0</v>
      </c>
      <c r="S631" s="154">
        <f t="shared" si="64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60"/>
        <v>0</v>
      </c>
      <c r="M632" s="154">
        <f t="shared" si="61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62"/>
        <v>0</v>
      </c>
      <c r="R632" s="153">
        <f t="shared" si="63"/>
        <v>0</v>
      </c>
      <c r="S632" s="154">
        <f t="shared" si="64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60"/>
        <v>0</v>
      </c>
      <c r="M633" s="154">
        <f t="shared" si="61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62"/>
        <v>0</v>
      </c>
      <c r="R633" s="153">
        <f t="shared" si="63"/>
        <v>0</v>
      </c>
      <c r="S633" s="154">
        <f t="shared" si="64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60"/>
        <v>0</v>
      </c>
      <c r="M634" s="154">
        <f t="shared" si="61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62"/>
        <v>0</v>
      </c>
      <c r="R634" s="153">
        <f t="shared" si="63"/>
        <v>0</v>
      </c>
      <c r="S634" s="154">
        <f t="shared" si="64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60"/>
        <v>0</v>
      </c>
      <c r="M635" s="154">
        <f t="shared" si="61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62"/>
        <v>0</v>
      </c>
      <c r="R635" s="153">
        <f t="shared" si="63"/>
        <v>0</v>
      </c>
      <c r="S635" s="154">
        <f t="shared" si="64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60"/>
        <v>0</v>
      </c>
      <c r="M636" s="154">
        <f t="shared" si="61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62"/>
        <v>0</v>
      </c>
      <c r="R636" s="153">
        <f t="shared" si="63"/>
        <v>0</v>
      </c>
      <c r="S636" s="154">
        <f t="shared" si="64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60"/>
        <v>0</v>
      </c>
      <c r="M637" s="154">
        <f t="shared" si="61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62"/>
        <v>0</v>
      </c>
      <c r="R637" s="153">
        <f t="shared" si="63"/>
        <v>0</v>
      </c>
      <c r="S637" s="154">
        <f t="shared" si="64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60"/>
        <v>0</v>
      </c>
      <c r="M638" s="154">
        <f t="shared" si="61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62"/>
        <v>0</v>
      </c>
      <c r="R638" s="153">
        <f t="shared" si="63"/>
        <v>0</v>
      </c>
      <c r="S638" s="154">
        <f t="shared" si="64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60"/>
        <v>0</v>
      </c>
      <c r="M639" s="154">
        <f t="shared" si="61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62"/>
        <v>0</v>
      </c>
      <c r="R639" s="153">
        <f t="shared" si="63"/>
        <v>0</v>
      </c>
      <c r="S639" s="154">
        <f t="shared" si="64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60"/>
        <v>0</v>
      </c>
      <c r="M640" s="154">
        <f t="shared" si="61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62"/>
        <v>0</v>
      </c>
      <c r="R640" s="153">
        <f t="shared" si="63"/>
        <v>0</v>
      </c>
      <c r="S640" s="154">
        <f t="shared" si="64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60"/>
        <v>0</v>
      </c>
      <c r="M641" s="154">
        <f t="shared" si="61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62"/>
        <v>0</v>
      </c>
      <c r="R641" s="153">
        <f t="shared" si="63"/>
        <v>0</v>
      </c>
      <c r="S641" s="154">
        <f t="shared" si="64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65">+B642</f>
        <v>0</v>
      </c>
      <c r="M642" s="154">
        <f t="shared" ref="M642:M705" si="66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67">+F642</f>
        <v>0</v>
      </c>
      <c r="R642" s="153">
        <f t="shared" ref="R642:R705" si="68">+G642</f>
        <v>0</v>
      </c>
      <c r="S642" s="154">
        <f t="shared" ref="S642:S705" si="69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65"/>
        <v>0</v>
      </c>
      <c r="M643" s="154">
        <f t="shared" si="66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67"/>
        <v>0</v>
      </c>
      <c r="R643" s="153">
        <f t="shared" si="68"/>
        <v>0</v>
      </c>
      <c r="S643" s="154">
        <f t="shared" si="69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65"/>
        <v>0</v>
      </c>
      <c r="M644" s="154">
        <f t="shared" si="66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67"/>
        <v>0</v>
      </c>
      <c r="R644" s="153">
        <f t="shared" si="68"/>
        <v>0</v>
      </c>
      <c r="S644" s="154">
        <f t="shared" si="69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65"/>
        <v>0</v>
      </c>
      <c r="M645" s="154">
        <f t="shared" si="66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67"/>
        <v>0</v>
      </c>
      <c r="R645" s="153">
        <f t="shared" si="68"/>
        <v>0</v>
      </c>
      <c r="S645" s="154">
        <f t="shared" si="69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65"/>
        <v>0</v>
      </c>
      <c r="M646" s="154">
        <f t="shared" si="66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67"/>
        <v>0</v>
      </c>
      <c r="R646" s="153">
        <f t="shared" si="68"/>
        <v>0</v>
      </c>
      <c r="S646" s="154">
        <f t="shared" si="69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65"/>
        <v>0</v>
      </c>
      <c r="M647" s="154">
        <f t="shared" si="66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67"/>
        <v>0</v>
      </c>
      <c r="R647" s="153">
        <f t="shared" si="68"/>
        <v>0</v>
      </c>
      <c r="S647" s="154">
        <f t="shared" si="69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65"/>
        <v>0</v>
      </c>
      <c r="M648" s="154">
        <f t="shared" si="66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67"/>
        <v>0</v>
      </c>
      <c r="R648" s="153">
        <f t="shared" si="68"/>
        <v>0</v>
      </c>
      <c r="S648" s="154">
        <f t="shared" si="69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65"/>
        <v>0</v>
      </c>
      <c r="M649" s="154">
        <f t="shared" si="66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67"/>
        <v>0</v>
      </c>
      <c r="R649" s="153">
        <f t="shared" si="68"/>
        <v>0</v>
      </c>
      <c r="S649" s="154">
        <f t="shared" si="69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65"/>
        <v>0</v>
      </c>
      <c r="M650" s="154">
        <f t="shared" si="66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67"/>
        <v>0</v>
      </c>
      <c r="R650" s="153">
        <f t="shared" si="68"/>
        <v>0</v>
      </c>
      <c r="S650" s="154">
        <f t="shared" si="69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65"/>
        <v>0</v>
      </c>
      <c r="M651" s="154">
        <f t="shared" si="66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67"/>
        <v>0</v>
      </c>
      <c r="R651" s="153">
        <f t="shared" si="68"/>
        <v>0</v>
      </c>
      <c r="S651" s="154">
        <f t="shared" si="69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65"/>
        <v>0</v>
      </c>
      <c r="M652" s="154">
        <f t="shared" si="66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67"/>
        <v>0</v>
      </c>
      <c r="R652" s="153">
        <f t="shared" si="68"/>
        <v>0</v>
      </c>
      <c r="S652" s="154">
        <f t="shared" si="69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65"/>
        <v>0</v>
      </c>
      <c r="M653" s="154">
        <f t="shared" si="66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67"/>
        <v>0</v>
      </c>
      <c r="R653" s="153">
        <f t="shared" si="68"/>
        <v>0</v>
      </c>
      <c r="S653" s="154">
        <f t="shared" si="69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65"/>
        <v>0</v>
      </c>
      <c r="M654" s="154">
        <f t="shared" si="66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67"/>
        <v>0</v>
      </c>
      <c r="R654" s="153">
        <f t="shared" si="68"/>
        <v>0</v>
      </c>
      <c r="S654" s="154">
        <f t="shared" si="69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65"/>
        <v>0</v>
      </c>
      <c r="M655" s="154">
        <f t="shared" si="66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67"/>
        <v>0</v>
      </c>
      <c r="R655" s="153">
        <f t="shared" si="68"/>
        <v>0</v>
      </c>
      <c r="S655" s="154">
        <f t="shared" si="69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65"/>
        <v>0</v>
      </c>
      <c r="M656" s="154">
        <f t="shared" si="66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67"/>
        <v>0</v>
      </c>
      <c r="R656" s="153">
        <f t="shared" si="68"/>
        <v>0</v>
      </c>
      <c r="S656" s="154">
        <f t="shared" si="69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65"/>
        <v>0</v>
      </c>
      <c r="M657" s="154">
        <f t="shared" si="66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67"/>
        <v>0</v>
      </c>
      <c r="R657" s="153">
        <f t="shared" si="68"/>
        <v>0</v>
      </c>
      <c r="S657" s="154">
        <f t="shared" si="69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65"/>
        <v>0</v>
      </c>
      <c r="M658" s="154">
        <f t="shared" si="66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67"/>
        <v>0</v>
      </c>
      <c r="R658" s="153">
        <f t="shared" si="68"/>
        <v>0</v>
      </c>
      <c r="S658" s="154">
        <f t="shared" si="69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65"/>
        <v>0</v>
      </c>
      <c r="M659" s="154">
        <f t="shared" si="66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67"/>
        <v>0</v>
      </c>
      <c r="R659" s="153">
        <f t="shared" si="68"/>
        <v>0</v>
      </c>
      <c r="S659" s="154">
        <f t="shared" si="69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65"/>
        <v>0</v>
      </c>
      <c r="M660" s="154">
        <f t="shared" si="66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67"/>
        <v>0</v>
      </c>
      <c r="R660" s="153">
        <f t="shared" si="68"/>
        <v>0</v>
      </c>
      <c r="S660" s="154">
        <f t="shared" si="69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65"/>
        <v>0</v>
      </c>
      <c r="M661" s="154">
        <f t="shared" si="66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67"/>
        <v>0</v>
      </c>
      <c r="R661" s="153">
        <f t="shared" si="68"/>
        <v>0</v>
      </c>
      <c r="S661" s="154">
        <f t="shared" si="69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65"/>
        <v>0</v>
      </c>
      <c r="M662" s="154">
        <f t="shared" si="66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67"/>
        <v>0</v>
      </c>
      <c r="R662" s="153">
        <f t="shared" si="68"/>
        <v>0</v>
      </c>
      <c r="S662" s="154">
        <f t="shared" si="69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65"/>
        <v>0</v>
      </c>
      <c r="M663" s="154">
        <f t="shared" si="66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67"/>
        <v>0</v>
      </c>
      <c r="R663" s="153">
        <f t="shared" si="68"/>
        <v>0</v>
      </c>
      <c r="S663" s="154">
        <f t="shared" si="69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65"/>
        <v>0</v>
      </c>
      <c r="M664" s="154">
        <f t="shared" si="66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67"/>
        <v>0</v>
      </c>
      <c r="R664" s="153">
        <f t="shared" si="68"/>
        <v>0</v>
      </c>
      <c r="S664" s="154">
        <f t="shared" si="69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65"/>
        <v>0</v>
      </c>
      <c r="M665" s="154">
        <f t="shared" si="66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67"/>
        <v>0</v>
      </c>
      <c r="R665" s="153">
        <f t="shared" si="68"/>
        <v>0</v>
      </c>
      <c r="S665" s="154">
        <f t="shared" si="69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65"/>
        <v>0</v>
      </c>
      <c r="M666" s="154">
        <f t="shared" si="66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67"/>
        <v>0</v>
      </c>
      <c r="R666" s="153">
        <f t="shared" si="68"/>
        <v>0</v>
      </c>
      <c r="S666" s="154">
        <f t="shared" si="69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65"/>
        <v>0</v>
      </c>
      <c r="M667" s="154">
        <f t="shared" si="66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67"/>
        <v>0</v>
      </c>
      <c r="R667" s="153">
        <f t="shared" si="68"/>
        <v>0</v>
      </c>
      <c r="S667" s="154">
        <f t="shared" si="69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65"/>
        <v>0</v>
      </c>
      <c r="M668" s="154">
        <f t="shared" si="66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67"/>
        <v>0</v>
      </c>
      <c r="R668" s="153">
        <f t="shared" si="68"/>
        <v>0</v>
      </c>
      <c r="S668" s="154">
        <f t="shared" si="69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65"/>
        <v>0</v>
      </c>
      <c r="M669" s="154">
        <f t="shared" si="66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67"/>
        <v>0</v>
      </c>
      <c r="R669" s="153">
        <f t="shared" si="68"/>
        <v>0</v>
      </c>
      <c r="S669" s="154">
        <f t="shared" si="69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65"/>
        <v>0</v>
      </c>
      <c r="M670" s="154">
        <f t="shared" si="66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67"/>
        <v>0</v>
      </c>
      <c r="R670" s="153">
        <f t="shared" si="68"/>
        <v>0</v>
      </c>
      <c r="S670" s="154">
        <f t="shared" si="69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65"/>
        <v>0</v>
      </c>
      <c r="M671" s="154">
        <f t="shared" si="66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67"/>
        <v>0</v>
      </c>
      <c r="R671" s="153">
        <f t="shared" si="68"/>
        <v>0</v>
      </c>
      <c r="S671" s="154">
        <f t="shared" si="69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65"/>
        <v>0</v>
      </c>
      <c r="M672" s="154">
        <f t="shared" si="66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67"/>
        <v>0</v>
      </c>
      <c r="R672" s="153">
        <f t="shared" si="68"/>
        <v>0</v>
      </c>
      <c r="S672" s="154">
        <f t="shared" si="69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65"/>
        <v>0</v>
      </c>
      <c r="M673" s="154">
        <f t="shared" si="66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67"/>
        <v>0</v>
      </c>
      <c r="R673" s="153">
        <f t="shared" si="68"/>
        <v>0</v>
      </c>
      <c r="S673" s="154">
        <f t="shared" si="69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65"/>
        <v>0</v>
      </c>
      <c r="M674" s="154">
        <f t="shared" si="66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67"/>
        <v>0</v>
      </c>
      <c r="R674" s="153">
        <f t="shared" si="68"/>
        <v>0</v>
      </c>
      <c r="S674" s="154">
        <f t="shared" si="69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65"/>
        <v>0</v>
      </c>
      <c r="M675" s="154">
        <f t="shared" si="66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67"/>
        <v>0</v>
      </c>
      <c r="R675" s="153">
        <f t="shared" si="68"/>
        <v>0</v>
      </c>
      <c r="S675" s="154">
        <f t="shared" si="69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65"/>
        <v>0</v>
      </c>
      <c r="M676" s="154">
        <f t="shared" si="66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67"/>
        <v>0</v>
      </c>
      <c r="R676" s="153">
        <f t="shared" si="68"/>
        <v>0</v>
      </c>
      <c r="S676" s="154">
        <f t="shared" si="69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65"/>
        <v>0</v>
      </c>
      <c r="M677" s="154">
        <f t="shared" si="66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67"/>
        <v>0</v>
      </c>
      <c r="R677" s="153">
        <f t="shared" si="68"/>
        <v>0</v>
      </c>
      <c r="S677" s="154">
        <f t="shared" si="69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65"/>
        <v>0</v>
      </c>
      <c r="M678" s="154">
        <f t="shared" si="66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67"/>
        <v>0</v>
      </c>
      <c r="R678" s="153">
        <f t="shared" si="68"/>
        <v>0</v>
      </c>
      <c r="S678" s="154">
        <f t="shared" si="69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65"/>
        <v>0</v>
      </c>
      <c r="M679" s="154">
        <f t="shared" si="66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67"/>
        <v>0</v>
      </c>
      <c r="R679" s="153">
        <f t="shared" si="68"/>
        <v>0</v>
      </c>
      <c r="S679" s="154">
        <f t="shared" si="69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65"/>
        <v>0</v>
      </c>
      <c r="M680" s="154">
        <f t="shared" si="66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67"/>
        <v>0</v>
      </c>
      <c r="R680" s="153">
        <f t="shared" si="68"/>
        <v>0</v>
      </c>
      <c r="S680" s="154">
        <f t="shared" si="69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65"/>
        <v>0</v>
      </c>
      <c r="M681" s="154">
        <f t="shared" si="66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67"/>
        <v>0</v>
      </c>
      <c r="R681" s="153">
        <f t="shared" si="68"/>
        <v>0</v>
      </c>
      <c r="S681" s="154">
        <f t="shared" si="69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65"/>
        <v>0</v>
      </c>
      <c r="M682" s="154">
        <f t="shared" si="66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67"/>
        <v>0</v>
      </c>
      <c r="R682" s="153">
        <f t="shared" si="68"/>
        <v>0</v>
      </c>
      <c r="S682" s="154">
        <f t="shared" si="69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65"/>
        <v>0</v>
      </c>
      <c r="M683" s="154">
        <f t="shared" si="66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67"/>
        <v>0</v>
      </c>
      <c r="R683" s="153">
        <f t="shared" si="68"/>
        <v>0</v>
      </c>
      <c r="S683" s="154">
        <f t="shared" si="69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65"/>
        <v>0</v>
      </c>
      <c r="M684" s="154">
        <f t="shared" si="66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67"/>
        <v>0</v>
      </c>
      <c r="R684" s="153">
        <f t="shared" si="68"/>
        <v>0</v>
      </c>
      <c r="S684" s="154">
        <f t="shared" si="69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65"/>
        <v>0</v>
      </c>
      <c r="M685" s="154">
        <f t="shared" si="66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67"/>
        <v>0</v>
      </c>
      <c r="R685" s="153">
        <f t="shared" si="68"/>
        <v>0</v>
      </c>
      <c r="S685" s="154">
        <f t="shared" si="69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65"/>
        <v>0</v>
      </c>
      <c r="M686" s="154">
        <f t="shared" si="66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67"/>
        <v>0</v>
      </c>
      <c r="R686" s="153">
        <f t="shared" si="68"/>
        <v>0</v>
      </c>
      <c r="S686" s="154">
        <f t="shared" si="69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65"/>
        <v>0</v>
      </c>
      <c r="M687" s="154">
        <f t="shared" si="66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67"/>
        <v>0</v>
      </c>
      <c r="R687" s="153">
        <f t="shared" si="68"/>
        <v>0</v>
      </c>
      <c r="S687" s="154">
        <f t="shared" si="69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65"/>
        <v>0</v>
      </c>
      <c r="M688" s="154">
        <f t="shared" si="66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67"/>
        <v>0</v>
      </c>
      <c r="R688" s="153">
        <f t="shared" si="68"/>
        <v>0</v>
      </c>
      <c r="S688" s="154">
        <f t="shared" si="69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65"/>
        <v>0</v>
      </c>
      <c r="M689" s="154">
        <f t="shared" si="66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67"/>
        <v>0</v>
      </c>
      <c r="R689" s="153">
        <f t="shared" si="68"/>
        <v>0</v>
      </c>
      <c r="S689" s="154">
        <f t="shared" si="69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65"/>
        <v>0</v>
      </c>
      <c r="M690" s="154">
        <f t="shared" si="66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67"/>
        <v>0</v>
      </c>
      <c r="R690" s="153">
        <f t="shared" si="68"/>
        <v>0</v>
      </c>
      <c r="S690" s="154">
        <f t="shared" si="6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65"/>
        <v>0</v>
      </c>
      <c r="M691" s="154">
        <f t="shared" si="66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67"/>
        <v>0</v>
      </c>
      <c r="R691" s="153">
        <f t="shared" si="68"/>
        <v>0</v>
      </c>
      <c r="S691" s="154">
        <f t="shared" si="6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65"/>
        <v>0</v>
      </c>
      <c r="M692" s="154">
        <f t="shared" si="66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67"/>
        <v>0</v>
      </c>
      <c r="R692" s="153">
        <f t="shared" si="68"/>
        <v>0</v>
      </c>
      <c r="S692" s="154">
        <f t="shared" si="6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65"/>
        <v>0</v>
      </c>
      <c r="M693" s="154">
        <f t="shared" si="66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67"/>
        <v>0</v>
      </c>
      <c r="R693" s="153">
        <f t="shared" si="68"/>
        <v>0</v>
      </c>
      <c r="S693" s="154">
        <f t="shared" si="6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65"/>
        <v>0</v>
      </c>
      <c r="M694" s="154">
        <f t="shared" si="66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67"/>
        <v>0</v>
      </c>
      <c r="R694" s="153">
        <f t="shared" si="68"/>
        <v>0</v>
      </c>
      <c r="S694" s="154">
        <f t="shared" si="6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65"/>
        <v>0</v>
      </c>
      <c r="M695" s="154">
        <f t="shared" si="66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67"/>
        <v>0</v>
      </c>
      <c r="R695" s="153">
        <f t="shared" si="68"/>
        <v>0</v>
      </c>
      <c r="S695" s="154">
        <f t="shared" si="6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65"/>
        <v>0</v>
      </c>
      <c r="M696" s="154">
        <f t="shared" si="66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67"/>
        <v>0</v>
      </c>
      <c r="R696" s="153">
        <f t="shared" si="68"/>
        <v>0</v>
      </c>
      <c r="S696" s="154">
        <f t="shared" si="6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65"/>
        <v>0</v>
      </c>
      <c r="M697" s="154">
        <f t="shared" si="66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67"/>
        <v>0</v>
      </c>
      <c r="R697" s="153">
        <f t="shared" si="68"/>
        <v>0</v>
      </c>
      <c r="S697" s="154">
        <f t="shared" si="6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65"/>
        <v>0</v>
      </c>
      <c r="M698" s="154">
        <f t="shared" si="66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67"/>
        <v>0</v>
      </c>
      <c r="R698" s="153">
        <f t="shared" si="68"/>
        <v>0</v>
      </c>
      <c r="S698" s="154">
        <f t="shared" si="6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65"/>
        <v>0</v>
      </c>
      <c r="M699" s="154">
        <f t="shared" si="66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67"/>
        <v>0</v>
      </c>
      <c r="R699" s="153">
        <f t="shared" si="68"/>
        <v>0</v>
      </c>
      <c r="S699" s="154">
        <f t="shared" si="6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65"/>
        <v>0</v>
      </c>
      <c r="M700" s="154">
        <f t="shared" si="66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67"/>
        <v>0</v>
      </c>
      <c r="R700" s="153">
        <f t="shared" si="68"/>
        <v>0</v>
      </c>
      <c r="S700" s="154">
        <f t="shared" si="6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65"/>
        <v>0</v>
      </c>
      <c r="M701" s="154">
        <f t="shared" si="66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67"/>
        <v>0</v>
      </c>
      <c r="R701" s="153">
        <f t="shared" si="68"/>
        <v>0</v>
      </c>
      <c r="S701" s="154">
        <f t="shared" si="6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65"/>
        <v>0</v>
      </c>
      <c r="M702" s="154">
        <f t="shared" si="66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67"/>
        <v>0</v>
      </c>
      <c r="R702" s="153">
        <f t="shared" si="68"/>
        <v>0</v>
      </c>
      <c r="S702" s="154">
        <f t="shared" si="6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65"/>
        <v>0</v>
      </c>
      <c r="M703" s="154">
        <f t="shared" si="66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67"/>
        <v>0</v>
      </c>
      <c r="R703" s="153">
        <f t="shared" si="68"/>
        <v>0</v>
      </c>
      <c r="S703" s="154">
        <f t="shared" si="6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65"/>
        <v>0</v>
      </c>
      <c r="M704" s="154">
        <f t="shared" si="66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67"/>
        <v>0</v>
      </c>
      <c r="R704" s="153">
        <f t="shared" si="68"/>
        <v>0</v>
      </c>
      <c r="S704" s="154">
        <f t="shared" si="6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65"/>
        <v>0</v>
      </c>
      <c r="M705" s="154">
        <f t="shared" si="66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67"/>
        <v>0</v>
      </c>
      <c r="R705" s="153">
        <f t="shared" si="68"/>
        <v>0</v>
      </c>
      <c r="S705" s="154">
        <f t="shared" si="6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70">+B706</f>
        <v>0</v>
      </c>
      <c r="M706" s="154">
        <f t="shared" ref="M706:M769" si="71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72">+F706</f>
        <v>0</v>
      </c>
      <c r="R706" s="153">
        <f t="shared" ref="R706:R769" si="73">+G706</f>
        <v>0</v>
      </c>
      <c r="S706" s="154">
        <f t="shared" ref="S706:S769" si="74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70"/>
        <v>0</v>
      </c>
      <c r="M707" s="154">
        <f t="shared" si="71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72"/>
        <v>0</v>
      </c>
      <c r="R707" s="153">
        <f t="shared" si="73"/>
        <v>0</v>
      </c>
      <c r="S707" s="154">
        <f t="shared" si="74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70"/>
        <v>0</v>
      </c>
      <c r="M708" s="154">
        <f t="shared" si="71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72"/>
        <v>0</v>
      </c>
      <c r="R708" s="153">
        <f t="shared" si="73"/>
        <v>0</v>
      </c>
      <c r="S708" s="154">
        <f t="shared" si="74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70"/>
        <v>0</v>
      </c>
      <c r="M709" s="154">
        <f t="shared" si="71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72"/>
        <v>0</v>
      </c>
      <c r="R709" s="153">
        <f t="shared" si="73"/>
        <v>0</v>
      </c>
      <c r="S709" s="154">
        <f t="shared" si="74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70"/>
        <v>0</v>
      </c>
      <c r="M710" s="154">
        <f t="shared" si="71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72"/>
        <v>0</v>
      </c>
      <c r="R710" s="153">
        <f t="shared" si="73"/>
        <v>0</v>
      </c>
      <c r="S710" s="154">
        <f t="shared" si="74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70"/>
        <v>0</v>
      </c>
      <c r="M711" s="154">
        <f t="shared" si="71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72"/>
        <v>0</v>
      </c>
      <c r="R711" s="153">
        <f t="shared" si="73"/>
        <v>0</v>
      </c>
      <c r="S711" s="154">
        <f t="shared" si="74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70"/>
        <v>0</v>
      </c>
      <c r="M712" s="154">
        <f t="shared" si="71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72"/>
        <v>0</v>
      </c>
      <c r="R712" s="153">
        <f t="shared" si="73"/>
        <v>0</v>
      </c>
      <c r="S712" s="154">
        <f t="shared" si="74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70"/>
        <v>0</v>
      </c>
      <c r="M713" s="154">
        <f t="shared" si="71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72"/>
        <v>0</v>
      </c>
      <c r="R713" s="153">
        <f t="shared" si="73"/>
        <v>0</v>
      </c>
      <c r="S713" s="154">
        <f t="shared" si="74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70"/>
        <v>0</v>
      </c>
      <c r="M714" s="154">
        <f t="shared" si="71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72"/>
        <v>0</v>
      </c>
      <c r="R714" s="153">
        <f t="shared" si="73"/>
        <v>0</v>
      </c>
      <c r="S714" s="154">
        <f t="shared" si="74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70"/>
        <v>0</v>
      </c>
      <c r="M715" s="154">
        <f t="shared" si="71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72"/>
        <v>0</v>
      </c>
      <c r="R715" s="153">
        <f t="shared" si="73"/>
        <v>0</v>
      </c>
      <c r="S715" s="154">
        <f t="shared" si="74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70"/>
        <v>0</v>
      </c>
      <c r="M716" s="154">
        <f t="shared" si="71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72"/>
        <v>0</v>
      </c>
      <c r="R716" s="153">
        <f t="shared" si="73"/>
        <v>0</v>
      </c>
      <c r="S716" s="154">
        <f t="shared" si="74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70"/>
        <v>0</v>
      </c>
      <c r="M717" s="154">
        <f t="shared" si="71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72"/>
        <v>0</v>
      </c>
      <c r="R717" s="153">
        <f t="shared" si="73"/>
        <v>0</v>
      </c>
      <c r="S717" s="154">
        <f t="shared" si="74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70"/>
        <v>0</v>
      </c>
      <c r="M718" s="154">
        <f t="shared" si="71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72"/>
        <v>0</v>
      </c>
      <c r="R718" s="153">
        <f t="shared" si="73"/>
        <v>0</v>
      </c>
      <c r="S718" s="154">
        <f t="shared" si="74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70"/>
        <v>0</v>
      </c>
      <c r="M719" s="154">
        <f t="shared" si="71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72"/>
        <v>0</v>
      </c>
      <c r="R719" s="153">
        <f t="shared" si="73"/>
        <v>0</v>
      </c>
      <c r="S719" s="154">
        <f t="shared" si="74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70"/>
        <v>0</v>
      </c>
      <c r="M720" s="154">
        <f t="shared" si="71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72"/>
        <v>0</v>
      </c>
      <c r="R720" s="153">
        <f t="shared" si="73"/>
        <v>0</v>
      </c>
      <c r="S720" s="154">
        <f t="shared" si="74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70"/>
        <v>0</v>
      </c>
      <c r="M721" s="154">
        <f t="shared" si="71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72"/>
        <v>0</v>
      </c>
      <c r="R721" s="153">
        <f t="shared" si="73"/>
        <v>0</v>
      </c>
      <c r="S721" s="154">
        <f t="shared" si="74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70"/>
        <v>0</v>
      </c>
      <c r="M722" s="154">
        <f t="shared" si="71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72"/>
        <v>0</v>
      </c>
      <c r="R722" s="153">
        <f t="shared" si="73"/>
        <v>0</v>
      </c>
      <c r="S722" s="154">
        <f t="shared" si="74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70"/>
        <v>0</v>
      </c>
      <c r="M723" s="154">
        <f t="shared" si="71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72"/>
        <v>0</v>
      </c>
      <c r="R723" s="153">
        <f t="shared" si="73"/>
        <v>0</v>
      </c>
      <c r="S723" s="154">
        <f t="shared" si="74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70"/>
        <v>0</v>
      </c>
      <c r="M724" s="154">
        <f t="shared" si="71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72"/>
        <v>0</v>
      </c>
      <c r="R724" s="153">
        <f t="shared" si="73"/>
        <v>0</v>
      </c>
      <c r="S724" s="154">
        <f t="shared" si="74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70"/>
        <v>0</v>
      </c>
      <c r="M725" s="154">
        <f t="shared" si="71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72"/>
        <v>0</v>
      </c>
      <c r="R725" s="153">
        <f t="shared" si="73"/>
        <v>0</v>
      </c>
      <c r="S725" s="154">
        <f t="shared" si="74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70"/>
        <v>0</v>
      </c>
      <c r="M726" s="154">
        <f t="shared" si="71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72"/>
        <v>0</v>
      </c>
      <c r="R726" s="153">
        <f t="shared" si="73"/>
        <v>0</v>
      </c>
      <c r="S726" s="154">
        <f t="shared" si="74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70"/>
        <v>0</v>
      </c>
      <c r="M727" s="154">
        <f t="shared" si="71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72"/>
        <v>0</v>
      </c>
      <c r="R727" s="153">
        <f t="shared" si="73"/>
        <v>0</v>
      </c>
      <c r="S727" s="154">
        <f t="shared" si="74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70"/>
        <v>0</v>
      </c>
      <c r="M728" s="154">
        <f t="shared" si="71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72"/>
        <v>0</v>
      </c>
      <c r="R728" s="153">
        <f t="shared" si="73"/>
        <v>0</v>
      </c>
      <c r="S728" s="154">
        <f t="shared" si="74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70"/>
        <v>0</v>
      </c>
      <c r="M729" s="154">
        <f t="shared" si="71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72"/>
        <v>0</v>
      </c>
      <c r="R729" s="153">
        <f t="shared" si="73"/>
        <v>0</v>
      </c>
      <c r="S729" s="154">
        <f t="shared" si="74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70"/>
        <v>0</v>
      </c>
      <c r="M730" s="154">
        <f t="shared" si="71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72"/>
        <v>0</v>
      </c>
      <c r="R730" s="153">
        <f t="shared" si="73"/>
        <v>0</v>
      </c>
      <c r="S730" s="154">
        <f t="shared" si="74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70"/>
        <v>0</v>
      </c>
      <c r="M731" s="154">
        <f t="shared" si="71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72"/>
        <v>0</v>
      </c>
      <c r="R731" s="153">
        <f t="shared" si="73"/>
        <v>0</v>
      </c>
      <c r="S731" s="154">
        <f t="shared" si="74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70"/>
        <v>0</v>
      </c>
      <c r="M732" s="154">
        <f t="shared" si="71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72"/>
        <v>0</v>
      </c>
      <c r="R732" s="153">
        <f t="shared" si="73"/>
        <v>0</v>
      </c>
      <c r="S732" s="154">
        <f t="shared" si="74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70"/>
        <v>0</v>
      </c>
      <c r="M733" s="154">
        <f t="shared" si="71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72"/>
        <v>0</v>
      </c>
      <c r="R733" s="153">
        <f t="shared" si="73"/>
        <v>0</v>
      </c>
      <c r="S733" s="154">
        <f t="shared" si="74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70"/>
        <v>0</v>
      </c>
      <c r="M734" s="154">
        <f t="shared" si="71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72"/>
        <v>0</v>
      </c>
      <c r="R734" s="153">
        <f t="shared" si="73"/>
        <v>0</v>
      </c>
      <c r="S734" s="154">
        <f t="shared" si="74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70"/>
        <v>0</v>
      </c>
      <c r="M735" s="154">
        <f t="shared" si="71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72"/>
        <v>0</v>
      </c>
      <c r="R735" s="153">
        <f t="shared" si="73"/>
        <v>0</v>
      </c>
      <c r="S735" s="154">
        <f t="shared" si="74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70"/>
        <v>0</v>
      </c>
      <c r="M736" s="154">
        <f t="shared" si="71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72"/>
        <v>0</v>
      </c>
      <c r="R736" s="153">
        <f t="shared" si="73"/>
        <v>0</v>
      </c>
      <c r="S736" s="154">
        <f t="shared" si="74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70"/>
        <v>0</v>
      </c>
      <c r="M737" s="154">
        <f t="shared" si="71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72"/>
        <v>0</v>
      </c>
      <c r="R737" s="153">
        <f t="shared" si="73"/>
        <v>0</v>
      </c>
      <c r="S737" s="154">
        <f t="shared" si="74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70"/>
        <v>0</v>
      </c>
      <c r="M738" s="154">
        <f t="shared" si="71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72"/>
        <v>0</v>
      </c>
      <c r="R738" s="153">
        <f t="shared" si="73"/>
        <v>0</v>
      </c>
      <c r="S738" s="154">
        <f t="shared" si="74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70"/>
        <v>0</v>
      </c>
      <c r="M739" s="154">
        <f t="shared" si="71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72"/>
        <v>0</v>
      </c>
      <c r="R739" s="153">
        <f t="shared" si="73"/>
        <v>0</v>
      </c>
      <c r="S739" s="154">
        <f t="shared" si="74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70"/>
        <v>0</v>
      </c>
      <c r="M740" s="154">
        <f t="shared" si="71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72"/>
        <v>0</v>
      </c>
      <c r="R740" s="153">
        <f t="shared" si="73"/>
        <v>0</v>
      </c>
      <c r="S740" s="154">
        <f t="shared" si="74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70"/>
        <v>0</v>
      </c>
      <c r="M741" s="154">
        <f t="shared" si="71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72"/>
        <v>0</v>
      </c>
      <c r="R741" s="153">
        <f t="shared" si="73"/>
        <v>0</v>
      </c>
      <c r="S741" s="154">
        <f t="shared" si="74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70"/>
        <v>0</v>
      </c>
      <c r="M742" s="154">
        <f t="shared" si="71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72"/>
        <v>0</v>
      </c>
      <c r="R742" s="153">
        <f t="shared" si="73"/>
        <v>0</v>
      </c>
      <c r="S742" s="154">
        <f t="shared" si="74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70"/>
        <v>0</v>
      </c>
      <c r="M743" s="154">
        <f t="shared" si="71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72"/>
        <v>0</v>
      </c>
      <c r="R743" s="153">
        <f t="shared" si="73"/>
        <v>0</v>
      </c>
      <c r="S743" s="154">
        <f t="shared" si="74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70"/>
        <v>0</v>
      </c>
      <c r="M744" s="154">
        <f t="shared" si="71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72"/>
        <v>0</v>
      </c>
      <c r="R744" s="153">
        <f t="shared" si="73"/>
        <v>0</v>
      </c>
      <c r="S744" s="154">
        <f t="shared" si="74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70"/>
        <v>0</v>
      </c>
      <c r="M745" s="154">
        <f t="shared" si="71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72"/>
        <v>0</v>
      </c>
      <c r="R745" s="153">
        <f t="shared" si="73"/>
        <v>0</v>
      </c>
      <c r="S745" s="154">
        <f t="shared" si="74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70"/>
        <v>0</v>
      </c>
      <c r="M746" s="154">
        <f t="shared" si="71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72"/>
        <v>0</v>
      </c>
      <c r="R746" s="153">
        <f t="shared" si="73"/>
        <v>0</v>
      </c>
      <c r="S746" s="154">
        <f t="shared" si="74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70"/>
        <v>0</v>
      </c>
      <c r="M747" s="154">
        <f t="shared" si="71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72"/>
        <v>0</v>
      </c>
      <c r="R747" s="153">
        <f t="shared" si="73"/>
        <v>0</v>
      </c>
      <c r="S747" s="154">
        <f t="shared" si="74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70"/>
        <v>0</v>
      </c>
      <c r="M748" s="154">
        <f t="shared" si="71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72"/>
        <v>0</v>
      </c>
      <c r="R748" s="153">
        <f t="shared" si="73"/>
        <v>0</v>
      </c>
      <c r="S748" s="154">
        <f t="shared" si="74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70"/>
        <v>0</v>
      </c>
      <c r="M749" s="154">
        <f t="shared" si="71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72"/>
        <v>0</v>
      </c>
      <c r="R749" s="153">
        <f t="shared" si="73"/>
        <v>0</v>
      </c>
      <c r="S749" s="154">
        <f t="shared" si="74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70"/>
        <v>0</v>
      </c>
      <c r="M750" s="154">
        <f t="shared" si="71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72"/>
        <v>0</v>
      </c>
      <c r="R750" s="153">
        <f t="shared" si="73"/>
        <v>0</v>
      </c>
      <c r="S750" s="154">
        <f t="shared" si="74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70"/>
        <v>0</v>
      </c>
      <c r="M751" s="154">
        <f t="shared" si="71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72"/>
        <v>0</v>
      </c>
      <c r="R751" s="153">
        <f t="shared" si="73"/>
        <v>0</v>
      </c>
      <c r="S751" s="154">
        <f t="shared" si="74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70"/>
        <v>0</v>
      </c>
      <c r="M752" s="154">
        <f t="shared" si="71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72"/>
        <v>0</v>
      </c>
      <c r="R752" s="153">
        <f t="shared" si="73"/>
        <v>0</v>
      </c>
      <c r="S752" s="154">
        <f t="shared" si="74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70"/>
        <v>0</v>
      </c>
      <c r="M753" s="154">
        <f t="shared" si="71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72"/>
        <v>0</v>
      </c>
      <c r="R753" s="153">
        <f t="shared" si="73"/>
        <v>0</v>
      </c>
      <c r="S753" s="154">
        <f t="shared" si="74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70"/>
        <v>0</v>
      </c>
      <c r="M754" s="154">
        <f t="shared" si="71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72"/>
        <v>0</v>
      </c>
      <c r="R754" s="153">
        <f t="shared" si="73"/>
        <v>0</v>
      </c>
      <c r="S754" s="154">
        <f t="shared" si="74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70"/>
        <v>0</v>
      </c>
      <c r="M755" s="154">
        <f t="shared" si="71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72"/>
        <v>0</v>
      </c>
      <c r="R755" s="153">
        <f t="shared" si="73"/>
        <v>0</v>
      </c>
      <c r="S755" s="154">
        <f t="shared" si="74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70"/>
        <v>0</v>
      </c>
      <c r="M756" s="154">
        <f t="shared" si="71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72"/>
        <v>0</v>
      </c>
      <c r="R756" s="153">
        <f t="shared" si="73"/>
        <v>0</v>
      </c>
      <c r="S756" s="154">
        <f t="shared" si="74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70"/>
        <v>0</v>
      </c>
      <c r="M757" s="154">
        <f t="shared" si="71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72"/>
        <v>0</v>
      </c>
      <c r="R757" s="153">
        <f t="shared" si="73"/>
        <v>0</v>
      </c>
      <c r="S757" s="154">
        <f t="shared" si="74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70"/>
        <v>0</v>
      </c>
      <c r="M758" s="154">
        <f t="shared" si="71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72"/>
        <v>0</v>
      </c>
      <c r="R758" s="153">
        <f t="shared" si="73"/>
        <v>0</v>
      </c>
      <c r="S758" s="154">
        <f t="shared" si="74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70"/>
        <v>0</v>
      </c>
      <c r="M759" s="154">
        <f t="shared" si="71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72"/>
        <v>0</v>
      </c>
      <c r="R759" s="153">
        <f t="shared" si="73"/>
        <v>0</v>
      </c>
      <c r="S759" s="154">
        <f t="shared" si="74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70"/>
        <v>0</v>
      </c>
      <c r="M760" s="154">
        <f t="shared" si="71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72"/>
        <v>0</v>
      </c>
      <c r="R760" s="153">
        <f t="shared" si="73"/>
        <v>0</v>
      </c>
      <c r="S760" s="154">
        <f t="shared" si="74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70"/>
        <v>0</v>
      </c>
      <c r="M761" s="154">
        <f t="shared" si="71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72"/>
        <v>0</v>
      </c>
      <c r="R761" s="153">
        <f t="shared" si="73"/>
        <v>0</v>
      </c>
      <c r="S761" s="154">
        <f t="shared" si="74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70"/>
        <v>0</v>
      </c>
      <c r="M762" s="154">
        <f t="shared" si="71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72"/>
        <v>0</v>
      </c>
      <c r="R762" s="153">
        <f t="shared" si="73"/>
        <v>0</v>
      </c>
      <c r="S762" s="154">
        <f t="shared" si="74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70"/>
        <v>0</v>
      </c>
      <c r="M763" s="154">
        <f t="shared" si="71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72"/>
        <v>0</v>
      </c>
      <c r="R763" s="153">
        <f t="shared" si="73"/>
        <v>0</v>
      </c>
      <c r="S763" s="154">
        <f t="shared" si="74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70"/>
        <v>0</v>
      </c>
      <c r="M764" s="154">
        <f t="shared" si="71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72"/>
        <v>0</v>
      </c>
      <c r="R764" s="153">
        <f t="shared" si="73"/>
        <v>0</v>
      </c>
      <c r="S764" s="154">
        <f t="shared" si="74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70"/>
        <v>0</v>
      </c>
      <c r="M765" s="154">
        <f t="shared" si="71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72"/>
        <v>0</v>
      </c>
      <c r="R765" s="153">
        <f t="shared" si="73"/>
        <v>0</v>
      </c>
      <c r="S765" s="154">
        <f t="shared" si="74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70"/>
        <v>0</v>
      </c>
      <c r="M766" s="154">
        <f t="shared" si="71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72"/>
        <v>0</v>
      </c>
      <c r="R766" s="153">
        <f t="shared" si="73"/>
        <v>0</v>
      </c>
      <c r="S766" s="154">
        <f t="shared" si="74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70"/>
        <v>0</v>
      </c>
      <c r="M767" s="154">
        <f t="shared" si="71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72"/>
        <v>0</v>
      </c>
      <c r="R767" s="153">
        <f t="shared" si="73"/>
        <v>0</v>
      </c>
      <c r="S767" s="154">
        <f t="shared" si="74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70"/>
        <v>0</v>
      </c>
      <c r="M768" s="154">
        <f t="shared" si="71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72"/>
        <v>0</v>
      </c>
      <c r="R768" s="153">
        <f t="shared" si="73"/>
        <v>0</v>
      </c>
      <c r="S768" s="154">
        <f t="shared" si="74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70"/>
        <v>0</v>
      </c>
      <c r="M769" s="154">
        <f t="shared" si="71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72"/>
        <v>0</v>
      </c>
      <c r="R769" s="153">
        <f t="shared" si="73"/>
        <v>0</v>
      </c>
      <c r="S769" s="154">
        <f t="shared" si="74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75">+B770</f>
        <v>0</v>
      </c>
      <c r="M770" s="154">
        <f t="shared" ref="M770:M833" si="76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77">+F770</f>
        <v>0</v>
      </c>
      <c r="R770" s="153">
        <f t="shared" ref="R770:R833" si="78">+G770</f>
        <v>0</v>
      </c>
      <c r="S770" s="154">
        <f t="shared" ref="S770:S833" si="79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75"/>
        <v>0</v>
      </c>
      <c r="M771" s="154">
        <f t="shared" si="76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77"/>
        <v>0</v>
      </c>
      <c r="R771" s="153">
        <f t="shared" si="78"/>
        <v>0</v>
      </c>
      <c r="S771" s="154">
        <f t="shared" si="79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75"/>
        <v>0</v>
      </c>
      <c r="M772" s="154">
        <f t="shared" si="76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77"/>
        <v>0</v>
      </c>
      <c r="R772" s="153">
        <f t="shared" si="78"/>
        <v>0</v>
      </c>
      <c r="S772" s="154">
        <f t="shared" si="79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75"/>
        <v>0</v>
      </c>
      <c r="M773" s="154">
        <f t="shared" si="76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77"/>
        <v>0</v>
      </c>
      <c r="R773" s="153">
        <f t="shared" si="78"/>
        <v>0</v>
      </c>
      <c r="S773" s="154">
        <f t="shared" si="79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75"/>
        <v>0</v>
      </c>
      <c r="M774" s="154">
        <f t="shared" si="76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77"/>
        <v>0</v>
      </c>
      <c r="R774" s="153">
        <f t="shared" si="78"/>
        <v>0</v>
      </c>
      <c r="S774" s="154">
        <f t="shared" si="79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75"/>
        <v>0</v>
      </c>
      <c r="M775" s="154">
        <f t="shared" si="76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77"/>
        <v>0</v>
      </c>
      <c r="R775" s="153">
        <f t="shared" si="78"/>
        <v>0</v>
      </c>
      <c r="S775" s="154">
        <f t="shared" si="79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75"/>
        <v>0</v>
      </c>
      <c r="M776" s="154">
        <f t="shared" si="76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77"/>
        <v>0</v>
      </c>
      <c r="R776" s="153">
        <f t="shared" si="78"/>
        <v>0</v>
      </c>
      <c r="S776" s="154">
        <f t="shared" si="79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75"/>
        <v>0</v>
      </c>
      <c r="M777" s="154">
        <f t="shared" si="76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77"/>
        <v>0</v>
      </c>
      <c r="R777" s="153">
        <f t="shared" si="78"/>
        <v>0</v>
      </c>
      <c r="S777" s="154">
        <f t="shared" si="79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75"/>
        <v>0</v>
      </c>
      <c r="M778" s="154">
        <f t="shared" si="76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77"/>
        <v>0</v>
      </c>
      <c r="R778" s="153">
        <f t="shared" si="78"/>
        <v>0</v>
      </c>
      <c r="S778" s="154">
        <f t="shared" si="79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75"/>
        <v>0</v>
      </c>
      <c r="M779" s="154">
        <f t="shared" si="76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77"/>
        <v>0</v>
      </c>
      <c r="R779" s="153">
        <f t="shared" si="78"/>
        <v>0</v>
      </c>
      <c r="S779" s="154">
        <f t="shared" si="79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75"/>
        <v>0</v>
      </c>
      <c r="M780" s="154">
        <f t="shared" si="76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77"/>
        <v>0</v>
      </c>
      <c r="R780" s="153">
        <f t="shared" si="78"/>
        <v>0</v>
      </c>
      <c r="S780" s="154">
        <f t="shared" si="79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75"/>
        <v>0</v>
      </c>
      <c r="M781" s="154">
        <f t="shared" si="76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77"/>
        <v>0</v>
      </c>
      <c r="R781" s="153">
        <f t="shared" si="78"/>
        <v>0</v>
      </c>
      <c r="S781" s="154">
        <f t="shared" si="79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75"/>
        <v>0</v>
      </c>
      <c r="M782" s="154">
        <f t="shared" si="76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77"/>
        <v>0</v>
      </c>
      <c r="R782" s="153">
        <f t="shared" si="78"/>
        <v>0</v>
      </c>
      <c r="S782" s="154">
        <f t="shared" si="79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75"/>
        <v>0</v>
      </c>
      <c r="M783" s="154">
        <f t="shared" si="76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77"/>
        <v>0</v>
      </c>
      <c r="R783" s="153">
        <f t="shared" si="78"/>
        <v>0</v>
      </c>
      <c r="S783" s="154">
        <f t="shared" si="79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75"/>
        <v>0</v>
      </c>
      <c r="M784" s="154">
        <f t="shared" si="76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77"/>
        <v>0</v>
      </c>
      <c r="R784" s="153">
        <f t="shared" si="78"/>
        <v>0</v>
      </c>
      <c r="S784" s="154">
        <f t="shared" si="79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75"/>
        <v>0</v>
      </c>
      <c r="M785" s="154">
        <f t="shared" si="76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77"/>
        <v>0</v>
      </c>
      <c r="R785" s="153">
        <f t="shared" si="78"/>
        <v>0</v>
      </c>
      <c r="S785" s="154">
        <f t="shared" si="79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75"/>
        <v>0</v>
      </c>
      <c r="M786" s="154">
        <f t="shared" si="76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77"/>
        <v>0</v>
      </c>
      <c r="R786" s="153">
        <f t="shared" si="78"/>
        <v>0</v>
      </c>
      <c r="S786" s="154">
        <f t="shared" si="79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75"/>
        <v>0</v>
      </c>
      <c r="M787" s="154">
        <f t="shared" si="76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77"/>
        <v>0</v>
      </c>
      <c r="R787" s="153">
        <f t="shared" si="78"/>
        <v>0</v>
      </c>
      <c r="S787" s="154">
        <f t="shared" si="79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75"/>
        <v>0</v>
      </c>
      <c r="M788" s="154">
        <f t="shared" si="76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77"/>
        <v>0</v>
      </c>
      <c r="R788" s="153">
        <f t="shared" si="78"/>
        <v>0</v>
      </c>
      <c r="S788" s="154">
        <f t="shared" si="79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75"/>
        <v>0</v>
      </c>
      <c r="M789" s="154">
        <f t="shared" si="76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77"/>
        <v>0</v>
      </c>
      <c r="R789" s="153">
        <f t="shared" si="78"/>
        <v>0</v>
      </c>
      <c r="S789" s="154">
        <f t="shared" si="79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75"/>
        <v>0</v>
      </c>
      <c r="M790" s="154">
        <f t="shared" si="76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77"/>
        <v>0</v>
      </c>
      <c r="R790" s="153">
        <f t="shared" si="78"/>
        <v>0</v>
      </c>
      <c r="S790" s="154">
        <f t="shared" si="79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75"/>
        <v>0</v>
      </c>
      <c r="M791" s="154">
        <f t="shared" si="76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77"/>
        <v>0</v>
      </c>
      <c r="R791" s="153">
        <f t="shared" si="78"/>
        <v>0</v>
      </c>
      <c r="S791" s="154">
        <f t="shared" si="79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75"/>
        <v>0</v>
      </c>
      <c r="M792" s="154">
        <f t="shared" si="76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77"/>
        <v>0</v>
      </c>
      <c r="R792" s="153">
        <f t="shared" si="78"/>
        <v>0</v>
      </c>
      <c r="S792" s="154">
        <f t="shared" si="79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75"/>
        <v>0</v>
      </c>
      <c r="M793" s="154">
        <f t="shared" si="76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77"/>
        <v>0</v>
      </c>
      <c r="R793" s="153">
        <f t="shared" si="78"/>
        <v>0</v>
      </c>
      <c r="S793" s="154">
        <f t="shared" si="79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75"/>
        <v>0</v>
      </c>
      <c r="M794" s="154">
        <f t="shared" si="76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77"/>
        <v>0</v>
      </c>
      <c r="R794" s="153">
        <f t="shared" si="78"/>
        <v>0</v>
      </c>
      <c r="S794" s="154">
        <f t="shared" si="79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75"/>
        <v>0</v>
      </c>
      <c r="M795" s="154">
        <f t="shared" si="76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77"/>
        <v>0</v>
      </c>
      <c r="R795" s="153">
        <f t="shared" si="78"/>
        <v>0</v>
      </c>
      <c r="S795" s="154">
        <f t="shared" si="79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75"/>
        <v>0</v>
      </c>
      <c r="M796" s="154">
        <f t="shared" si="76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77"/>
        <v>0</v>
      </c>
      <c r="R796" s="153">
        <f t="shared" si="78"/>
        <v>0</v>
      </c>
      <c r="S796" s="154">
        <f t="shared" si="79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75"/>
        <v>0</v>
      </c>
      <c r="M797" s="154">
        <f t="shared" si="76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77"/>
        <v>0</v>
      </c>
      <c r="R797" s="153">
        <f t="shared" si="78"/>
        <v>0</v>
      </c>
      <c r="S797" s="154">
        <f t="shared" si="79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75"/>
        <v>0</v>
      </c>
      <c r="M798" s="154">
        <f t="shared" si="76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77"/>
        <v>0</v>
      </c>
      <c r="R798" s="153">
        <f t="shared" si="78"/>
        <v>0</v>
      </c>
      <c r="S798" s="154">
        <f t="shared" si="79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75"/>
        <v>0</v>
      </c>
      <c r="M799" s="154">
        <f t="shared" si="76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77"/>
        <v>0</v>
      </c>
      <c r="R799" s="153">
        <f t="shared" si="78"/>
        <v>0</v>
      </c>
      <c r="S799" s="154">
        <f t="shared" si="79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75"/>
        <v>0</v>
      </c>
      <c r="M800" s="154">
        <f t="shared" si="76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77"/>
        <v>0</v>
      </c>
      <c r="R800" s="153">
        <f t="shared" si="78"/>
        <v>0</v>
      </c>
      <c r="S800" s="154">
        <f t="shared" si="79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75"/>
        <v>0</v>
      </c>
      <c r="M801" s="154">
        <f t="shared" si="76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77"/>
        <v>0</v>
      </c>
      <c r="R801" s="153">
        <f t="shared" si="78"/>
        <v>0</v>
      </c>
      <c r="S801" s="154">
        <f t="shared" si="79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75"/>
        <v>0</v>
      </c>
      <c r="M802" s="154">
        <f t="shared" si="76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77"/>
        <v>0</v>
      </c>
      <c r="R802" s="153">
        <f t="shared" si="78"/>
        <v>0</v>
      </c>
      <c r="S802" s="154">
        <f t="shared" si="79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75"/>
        <v>0</v>
      </c>
      <c r="M803" s="154">
        <f t="shared" si="76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77"/>
        <v>0</v>
      </c>
      <c r="R803" s="153">
        <f t="shared" si="78"/>
        <v>0</v>
      </c>
      <c r="S803" s="154">
        <f t="shared" si="79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75"/>
        <v>0</v>
      </c>
      <c r="M804" s="154">
        <f t="shared" si="76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77"/>
        <v>0</v>
      </c>
      <c r="R804" s="153">
        <f t="shared" si="78"/>
        <v>0</v>
      </c>
      <c r="S804" s="154">
        <f t="shared" si="79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75"/>
        <v>0</v>
      </c>
      <c r="M805" s="154">
        <f t="shared" si="76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77"/>
        <v>0</v>
      </c>
      <c r="R805" s="153">
        <f t="shared" si="78"/>
        <v>0</v>
      </c>
      <c r="S805" s="154">
        <f t="shared" si="79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75"/>
        <v>0</v>
      </c>
      <c r="M806" s="154">
        <f t="shared" si="76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77"/>
        <v>0</v>
      </c>
      <c r="R806" s="153">
        <f t="shared" si="78"/>
        <v>0</v>
      </c>
      <c r="S806" s="154">
        <f t="shared" si="79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75"/>
        <v>0</v>
      </c>
      <c r="M807" s="154">
        <f t="shared" si="76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77"/>
        <v>0</v>
      </c>
      <c r="R807" s="153">
        <f t="shared" si="78"/>
        <v>0</v>
      </c>
      <c r="S807" s="154">
        <f t="shared" si="79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75"/>
        <v>0</v>
      </c>
      <c r="M808" s="154">
        <f t="shared" si="76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77"/>
        <v>0</v>
      </c>
      <c r="R808" s="153">
        <f t="shared" si="78"/>
        <v>0</v>
      </c>
      <c r="S808" s="154">
        <f t="shared" si="79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75"/>
        <v>0</v>
      </c>
      <c r="M809" s="154">
        <f t="shared" si="76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77"/>
        <v>0</v>
      </c>
      <c r="R809" s="153">
        <f t="shared" si="78"/>
        <v>0</v>
      </c>
      <c r="S809" s="154">
        <f t="shared" si="79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75"/>
        <v>0</v>
      </c>
      <c r="M810" s="154">
        <f t="shared" si="76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77"/>
        <v>0</v>
      </c>
      <c r="R810" s="153">
        <f t="shared" si="78"/>
        <v>0</v>
      </c>
      <c r="S810" s="154">
        <f t="shared" si="79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75"/>
        <v>0</v>
      </c>
      <c r="M811" s="154">
        <f t="shared" si="76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77"/>
        <v>0</v>
      </c>
      <c r="R811" s="153">
        <f t="shared" si="78"/>
        <v>0</v>
      </c>
      <c r="S811" s="154">
        <f t="shared" si="79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75"/>
        <v>0</v>
      </c>
      <c r="M812" s="154">
        <f t="shared" si="76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77"/>
        <v>0</v>
      </c>
      <c r="R812" s="153">
        <f t="shared" si="78"/>
        <v>0</v>
      </c>
      <c r="S812" s="154">
        <f t="shared" si="79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75"/>
        <v>0</v>
      </c>
      <c r="M813" s="154">
        <f t="shared" si="76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77"/>
        <v>0</v>
      </c>
      <c r="R813" s="153">
        <f t="shared" si="78"/>
        <v>0</v>
      </c>
      <c r="S813" s="154">
        <f t="shared" si="79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75"/>
        <v>0</v>
      </c>
      <c r="M814" s="154">
        <f t="shared" si="76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77"/>
        <v>0</v>
      </c>
      <c r="R814" s="153">
        <f t="shared" si="78"/>
        <v>0</v>
      </c>
      <c r="S814" s="154">
        <f t="shared" si="79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75"/>
        <v>0</v>
      </c>
      <c r="M815" s="154">
        <f t="shared" si="76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77"/>
        <v>0</v>
      </c>
      <c r="R815" s="153">
        <f t="shared" si="78"/>
        <v>0</v>
      </c>
      <c r="S815" s="154">
        <f t="shared" si="79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75"/>
        <v>0</v>
      </c>
      <c r="M816" s="154">
        <f t="shared" si="76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77"/>
        <v>0</v>
      </c>
      <c r="R816" s="153">
        <f t="shared" si="78"/>
        <v>0</v>
      </c>
      <c r="S816" s="154">
        <f t="shared" si="79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75"/>
        <v>0</v>
      </c>
      <c r="M817" s="154">
        <f t="shared" si="76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77"/>
        <v>0</v>
      </c>
      <c r="R817" s="153">
        <f t="shared" si="78"/>
        <v>0</v>
      </c>
      <c r="S817" s="154">
        <f t="shared" si="79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75"/>
        <v>0</v>
      </c>
      <c r="M818" s="154">
        <f t="shared" si="76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77"/>
        <v>0</v>
      </c>
      <c r="R818" s="153">
        <f t="shared" si="78"/>
        <v>0</v>
      </c>
      <c r="S818" s="154">
        <f t="shared" si="7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75"/>
        <v>0</v>
      </c>
      <c r="M819" s="154">
        <f t="shared" si="76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77"/>
        <v>0</v>
      </c>
      <c r="R819" s="153">
        <f t="shared" si="78"/>
        <v>0</v>
      </c>
      <c r="S819" s="154">
        <f t="shared" si="7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75"/>
        <v>0</v>
      </c>
      <c r="M820" s="154">
        <f t="shared" si="76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77"/>
        <v>0</v>
      </c>
      <c r="R820" s="153">
        <f t="shared" si="78"/>
        <v>0</v>
      </c>
      <c r="S820" s="154">
        <f t="shared" si="7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75"/>
        <v>0</v>
      </c>
      <c r="M821" s="154">
        <f t="shared" si="76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77"/>
        <v>0</v>
      </c>
      <c r="R821" s="153">
        <f t="shared" si="78"/>
        <v>0</v>
      </c>
      <c r="S821" s="154">
        <f t="shared" si="7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75"/>
        <v>0</v>
      </c>
      <c r="M822" s="154">
        <f t="shared" si="76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77"/>
        <v>0</v>
      </c>
      <c r="R822" s="153">
        <f t="shared" si="78"/>
        <v>0</v>
      </c>
      <c r="S822" s="154">
        <f t="shared" si="7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75"/>
        <v>0</v>
      </c>
      <c r="M823" s="154">
        <f t="shared" si="76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77"/>
        <v>0</v>
      </c>
      <c r="R823" s="153">
        <f t="shared" si="78"/>
        <v>0</v>
      </c>
      <c r="S823" s="154">
        <f t="shared" si="7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75"/>
        <v>0</v>
      </c>
      <c r="M824" s="154">
        <f t="shared" si="76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77"/>
        <v>0</v>
      </c>
      <c r="R824" s="153">
        <f t="shared" si="78"/>
        <v>0</v>
      </c>
      <c r="S824" s="154">
        <f t="shared" si="7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75"/>
        <v>0</v>
      </c>
      <c r="M825" s="154">
        <f t="shared" si="76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77"/>
        <v>0</v>
      </c>
      <c r="R825" s="153">
        <f t="shared" si="78"/>
        <v>0</v>
      </c>
      <c r="S825" s="154">
        <f t="shared" si="7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75"/>
        <v>0</v>
      </c>
      <c r="M826" s="154">
        <f t="shared" si="76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77"/>
        <v>0</v>
      </c>
      <c r="R826" s="153">
        <f t="shared" si="78"/>
        <v>0</v>
      </c>
      <c r="S826" s="154">
        <f t="shared" si="7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75"/>
        <v>0</v>
      </c>
      <c r="M827" s="154">
        <f t="shared" si="76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77"/>
        <v>0</v>
      </c>
      <c r="R827" s="153">
        <f t="shared" si="78"/>
        <v>0</v>
      </c>
      <c r="S827" s="154">
        <f t="shared" si="7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75"/>
        <v>0</v>
      </c>
      <c r="M828" s="154">
        <f t="shared" si="76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77"/>
        <v>0</v>
      </c>
      <c r="R828" s="153">
        <f t="shared" si="78"/>
        <v>0</v>
      </c>
      <c r="S828" s="154">
        <f t="shared" si="7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75"/>
        <v>0</v>
      </c>
      <c r="M829" s="154">
        <f t="shared" si="76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77"/>
        <v>0</v>
      </c>
      <c r="R829" s="153">
        <f t="shared" si="78"/>
        <v>0</v>
      </c>
      <c r="S829" s="154">
        <f t="shared" si="7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75"/>
        <v>0</v>
      </c>
      <c r="M830" s="154">
        <f t="shared" si="76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77"/>
        <v>0</v>
      </c>
      <c r="R830" s="153">
        <f t="shared" si="78"/>
        <v>0</v>
      </c>
      <c r="S830" s="154">
        <f t="shared" si="7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75"/>
        <v>0</v>
      </c>
      <c r="M831" s="154">
        <f t="shared" si="76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77"/>
        <v>0</v>
      </c>
      <c r="R831" s="153">
        <f t="shared" si="78"/>
        <v>0</v>
      </c>
      <c r="S831" s="154">
        <f t="shared" si="7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75"/>
        <v>0</v>
      </c>
      <c r="M832" s="154">
        <f t="shared" si="76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77"/>
        <v>0</v>
      </c>
      <c r="R832" s="153">
        <f t="shared" si="78"/>
        <v>0</v>
      </c>
      <c r="S832" s="154">
        <f t="shared" si="7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75"/>
        <v>0</v>
      </c>
      <c r="M833" s="154">
        <f t="shared" si="76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77"/>
        <v>0</v>
      </c>
      <c r="R833" s="153">
        <f t="shared" si="78"/>
        <v>0</v>
      </c>
      <c r="S833" s="154">
        <f t="shared" si="7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80">+B834</f>
        <v>0</v>
      </c>
      <c r="M834" s="154">
        <f t="shared" ref="M834:M897" si="81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82">+F834</f>
        <v>0</v>
      </c>
      <c r="R834" s="153">
        <f t="shared" ref="R834:R897" si="83">+G834</f>
        <v>0</v>
      </c>
      <c r="S834" s="154">
        <f t="shared" ref="S834:S897" si="84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80"/>
        <v>0</v>
      </c>
      <c r="M835" s="154">
        <f t="shared" si="81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82"/>
        <v>0</v>
      </c>
      <c r="R835" s="153">
        <f t="shared" si="83"/>
        <v>0</v>
      </c>
      <c r="S835" s="154">
        <f t="shared" si="84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80"/>
        <v>0</v>
      </c>
      <c r="M836" s="154">
        <f t="shared" si="81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82"/>
        <v>0</v>
      </c>
      <c r="R836" s="153">
        <f t="shared" si="83"/>
        <v>0</v>
      </c>
      <c r="S836" s="154">
        <f t="shared" si="84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80"/>
        <v>0</v>
      </c>
      <c r="M837" s="154">
        <f t="shared" si="81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82"/>
        <v>0</v>
      </c>
      <c r="R837" s="153">
        <f t="shared" si="83"/>
        <v>0</v>
      </c>
      <c r="S837" s="154">
        <f t="shared" si="84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80"/>
        <v>0</v>
      </c>
      <c r="M838" s="154">
        <f t="shared" si="81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82"/>
        <v>0</v>
      </c>
      <c r="R838" s="153">
        <f t="shared" si="83"/>
        <v>0</v>
      </c>
      <c r="S838" s="154">
        <f t="shared" si="84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80"/>
        <v>0</v>
      </c>
      <c r="M839" s="154">
        <f t="shared" si="81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82"/>
        <v>0</v>
      </c>
      <c r="R839" s="153">
        <f t="shared" si="83"/>
        <v>0</v>
      </c>
      <c r="S839" s="154">
        <f t="shared" si="84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80"/>
        <v>0</v>
      </c>
      <c r="M840" s="154">
        <f t="shared" si="81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82"/>
        <v>0</v>
      </c>
      <c r="R840" s="153">
        <f t="shared" si="83"/>
        <v>0</v>
      </c>
      <c r="S840" s="154">
        <f t="shared" si="84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80"/>
        <v>0</v>
      </c>
      <c r="M841" s="154">
        <f t="shared" si="81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82"/>
        <v>0</v>
      </c>
      <c r="R841" s="153">
        <f t="shared" si="83"/>
        <v>0</v>
      </c>
      <c r="S841" s="154">
        <f t="shared" si="84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80"/>
        <v>0</v>
      </c>
      <c r="M842" s="154">
        <f t="shared" si="81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82"/>
        <v>0</v>
      </c>
      <c r="R842" s="153">
        <f t="shared" si="83"/>
        <v>0</v>
      </c>
      <c r="S842" s="154">
        <f t="shared" si="84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80"/>
        <v>0</v>
      </c>
      <c r="M843" s="154">
        <f t="shared" si="81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82"/>
        <v>0</v>
      </c>
      <c r="R843" s="153">
        <f t="shared" si="83"/>
        <v>0</v>
      </c>
      <c r="S843" s="154">
        <f t="shared" si="84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80"/>
        <v>0</v>
      </c>
      <c r="M844" s="154">
        <f t="shared" si="81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82"/>
        <v>0</v>
      </c>
      <c r="R844" s="153">
        <f t="shared" si="83"/>
        <v>0</v>
      </c>
      <c r="S844" s="154">
        <f t="shared" si="84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80"/>
        <v>0</v>
      </c>
      <c r="M845" s="154">
        <f t="shared" si="81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82"/>
        <v>0</v>
      </c>
      <c r="R845" s="153">
        <f t="shared" si="83"/>
        <v>0</v>
      </c>
      <c r="S845" s="154">
        <f t="shared" si="84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80"/>
        <v>0</v>
      </c>
      <c r="M846" s="154">
        <f t="shared" si="81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82"/>
        <v>0</v>
      </c>
      <c r="R846" s="153">
        <f t="shared" si="83"/>
        <v>0</v>
      </c>
      <c r="S846" s="154">
        <f t="shared" si="84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80"/>
        <v>0</v>
      </c>
      <c r="M847" s="154">
        <f t="shared" si="81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82"/>
        <v>0</v>
      </c>
      <c r="R847" s="153">
        <f t="shared" si="83"/>
        <v>0</v>
      </c>
      <c r="S847" s="154">
        <f t="shared" si="84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80"/>
        <v>0</v>
      </c>
      <c r="M848" s="154">
        <f t="shared" si="81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82"/>
        <v>0</v>
      </c>
      <c r="R848" s="153">
        <f t="shared" si="83"/>
        <v>0</v>
      </c>
      <c r="S848" s="154">
        <f t="shared" si="84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80"/>
        <v>0</v>
      </c>
      <c r="M849" s="154">
        <f t="shared" si="81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82"/>
        <v>0</v>
      </c>
      <c r="R849" s="153">
        <f t="shared" si="83"/>
        <v>0</v>
      </c>
      <c r="S849" s="154">
        <f t="shared" si="84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80"/>
        <v>0</v>
      </c>
      <c r="M850" s="154">
        <f t="shared" si="81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82"/>
        <v>0</v>
      </c>
      <c r="R850" s="153">
        <f t="shared" si="83"/>
        <v>0</v>
      </c>
      <c r="S850" s="154">
        <f t="shared" si="84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80"/>
        <v>0</v>
      </c>
      <c r="M851" s="154">
        <f t="shared" si="81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82"/>
        <v>0</v>
      </c>
      <c r="R851" s="153">
        <f t="shared" si="83"/>
        <v>0</v>
      </c>
      <c r="S851" s="154">
        <f t="shared" si="84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80"/>
        <v>0</v>
      </c>
      <c r="M852" s="154">
        <f t="shared" si="81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82"/>
        <v>0</v>
      </c>
      <c r="R852" s="153">
        <f t="shared" si="83"/>
        <v>0</v>
      </c>
      <c r="S852" s="154">
        <f t="shared" si="84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80"/>
        <v>0</v>
      </c>
      <c r="M853" s="154">
        <f t="shared" si="81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82"/>
        <v>0</v>
      </c>
      <c r="R853" s="153">
        <f t="shared" si="83"/>
        <v>0</v>
      </c>
      <c r="S853" s="154">
        <f t="shared" si="84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80"/>
        <v>0</v>
      </c>
      <c r="M854" s="154">
        <f t="shared" si="81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82"/>
        <v>0</v>
      </c>
      <c r="R854" s="153">
        <f t="shared" si="83"/>
        <v>0</v>
      </c>
      <c r="S854" s="154">
        <f t="shared" si="84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80"/>
        <v>0</v>
      </c>
      <c r="M855" s="154">
        <f t="shared" si="81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82"/>
        <v>0</v>
      </c>
      <c r="R855" s="153">
        <f t="shared" si="83"/>
        <v>0</v>
      </c>
      <c r="S855" s="154">
        <f t="shared" si="84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80"/>
        <v>0</v>
      </c>
      <c r="M856" s="154">
        <f t="shared" si="81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82"/>
        <v>0</v>
      </c>
      <c r="R856" s="153">
        <f t="shared" si="83"/>
        <v>0</v>
      </c>
      <c r="S856" s="154">
        <f t="shared" si="84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80"/>
        <v>0</v>
      </c>
      <c r="M857" s="154">
        <f t="shared" si="81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82"/>
        <v>0</v>
      </c>
      <c r="R857" s="153">
        <f t="shared" si="83"/>
        <v>0</v>
      </c>
      <c r="S857" s="154">
        <f t="shared" si="84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80"/>
        <v>0</v>
      </c>
      <c r="M858" s="154">
        <f t="shared" si="81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82"/>
        <v>0</v>
      </c>
      <c r="R858" s="153">
        <f t="shared" si="83"/>
        <v>0</v>
      </c>
      <c r="S858" s="154">
        <f t="shared" si="84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80"/>
        <v>0</v>
      </c>
      <c r="M859" s="154">
        <f t="shared" si="81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82"/>
        <v>0</v>
      </c>
      <c r="R859" s="153">
        <f t="shared" si="83"/>
        <v>0</v>
      </c>
      <c r="S859" s="154">
        <f t="shared" si="84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80"/>
        <v>0</v>
      </c>
      <c r="M860" s="154">
        <f t="shared" si="81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82"/>
        <v>0</v>
      </c>
      <c r="R860" s="153">
        <f t="shared" si="83"/>
        <v>0</v>
      </c>
      <c r="S860" s="154">
        <f t="shared" si="84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80"/>
        <v>0</v>
      </c>
      <c r="M861" s="154">
        <f t="shared" si="81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82"/>
        <v>0</v>
      </c>
      <c r="R861" s="153">
        <f t="shared" si="83"/>
        <v>0</v>
      </c>
      <c r="S861" s="154">
        <f t="shared" si="84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80"/>
        <v>0</v>
      </c>
      <c r="M862" s="154">
        <f t="shared" si="81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82"/>
        <v>0</v>
      </c>
      <c r="R862" s="153">
        <f t="shared" si="83"/>
        <v>0</v>
      </c>
      <c r="S862" s="154">
        <f t="shared" si="84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80"/>
        <v>0</v>
      </c>
      <c r="M863" s="154">
        <f t="shared" si="81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82"/>
        <v>0</v>
      </c>
      <c r="R863" s="153">
        <f t="shared" si="83"/>
        <v>0</v>
      </c>
      <c r="S863" s="154">
        <f t="shared" si="84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80"/>
        <v>0</v>
      </c>
      <c r="M864" s="154">
        <f t="shared" si="81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82"/>
        <v>0</v>
      </c>
      <c r="R864" s="153">
        <f t="shared" si="83"/>
        <v>0</v>
      </c>
      <c r="S864" s="154">
        <f t="shared" si="84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80"/>
        <v>0</v>
      </c>
      <c r="M865" s="154">
        <f t="shared" si="81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82"/>
        <v>0</v>
      </c>
      <c r="R865" s="153">
        <f t="shared" si="83"/>
        <v>0</v>
      </c>
      <c r="S865" s="154">
        <f t="shared" si="84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80"/>
        <v>0</v>
      </c>
      <c r="M866" s="154">
        <f t="shared" si="81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82"/>
        <v>0</v>
      </c>
      <c r="R866" s="153">
        <f t="shared" si="83"/>
        <v>0</v>
      </c>
      <c r="S866" s="154">
        <f t="shared" si="84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80"/>
        <v>0</v>
      </c>
      <c r="M867" s="154">
        <f t="shared" si="81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82"/>
        <v>0</v>
      </c>
      <c r="R867" s="153">
        <f t="shared" si="83"/>
        <v>0</v>
      </c>
      <c r="S867" s="154">
        <f t="shared" si="84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80"/>
        <v>0</v>
      </c>
      <c r="M868" s="154">
        <f t="shared" si="81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82"/>
        <v>0</v>
      </c>
      <c r="R868" s="153">
        <f t="shared" si="83"/>
        <v>0</v>
      </c>
      <c r="S868" s="154">
        <f t="shared" si="84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80"/>
        <v>0</v>
      </c>
      <c r="M869" s="154">
        <f t="shared" si="81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82"/>
        <v>0</v>
      </c>
      <c r="R869" s="153">
        <f t="shared" si="83"/>
        <v>0</v>
      </c>
      <c r="S869" s="154">
        <f t="shared" si="84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80"/>
        <v>0</v>
      </c>
      <c r="M870" s="154">
        <f t="shared" si="81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82"/>
        <v>0</v>
      </c>
      <c r="R870" s="153">
        <f t="shared" si="83"/>
        <v>0</v>
      </c>
      <c r="S870" s="154">
        <f t="shared" si="84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80"/>
        <v>0</v>
      </c>
      <c r="M871" s="154">
        <f t="shared" si="81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82"/>
        <v>0</v>
      </c>
      <c r="R871" s="153">
        <f t="shared" si="83"/>
        <v>0</v>
      </c>
      <c r="S871" s="154">
        <f t="shared" si="84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80"/>
        <v>0</v>
      </c>
      <c r="M872" s="154">
        <f t="shared" si="81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82"/>
        <v>0</v>
      </c>
      <c r="R872" s="153">
        <f t="shared" si="83"/>
        <v>0</v>
      </c>
      <c r="S872" s="154">
        <f t="shared" si="84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80"/>
        <v>0</v>
      </c>
      <c r="M873" s="154">
        <f t="shared" si="81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82"/>
        <v>0</v>
      </c>
      <c r="R873" s="153">
        <f t="shared" si="83"/>
        <v>0</v>
      </c>
      <c r="S873" s="154">
        <f t="shared" si="84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80"/>
        <v>0</v>
      </c>
      <c r="M874" s="154">
        <f t="shared" si="81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82"/>
        <v>0</v>
      </c>
      <c r="R874" s="153">
        <f t="shared" si="83"/>
        <v>0</v>
      </c>
      <c r="S874" s="154">
        <f t="shared" si="84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80"/>
        <v>0</v>
      </c>
      <c r="M875" s="154">
        <f t="shared" si="81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82"/>
        <v>0</v>
      </c>
      <c r="R875" s="153">
        <f t="shared" si="83"/>
        <v>0</v>
      </c>
      <c r="S875" s="154">
        <f t="shared" si="84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80"/>
        <v>0</v>
      </c>
      <c r="M876" s="154">
        <f t="shared" si="81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82"/>
        <v>0</v>
      </c>
      <c r="R876" s="153">
        <f t="shared" si="83"/>
        <v>0</v>
      </c>
      <c r="S876" s="154">
        <f t="shared" si="84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80"/>
        <v>0</v>
      </c>
      <c r="M877" s="154">
        <f t="shared" si="81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82"/>
        <v>0</v>
      </c>
      <c r="R877" s="153">
        <f t="shared" si="83"/>
        <v>0</v>
      </c>
      <c r="S877" s="154">
        <f t="shared" si="84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80"/>
        <v>0</v>
      </c>
      <c r="M878" s="154">
        <f t="shared" si="81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82"/>
        <v>0</v>
      </c>
      <c r="R878" s="153">
        <f t="shared" si="83"/>
        <v>0</v>
      </c>
      <c r="S878" s="154">
        <f t="shared" si="84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80"/>
        <v>0</v>
      </c>
      <c r="M879" s="154">
        <f t="shared" si="81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82"/>
        <v>0</v>
      </c>
      <c r="R879" s="153">
        <f t="shared" si="83"/>
        <v>0</v>
      </c>
      <c r="S879" s="154">
        <f t="shared" si="84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80"/>
        <v>0</v>
      </c>
      <c r="M880" s="154">
        <f t="shared" si="81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82"/>
        <v>0</v>
      </c>
      <c r="R880" s="153">
        <f t="shared" si="83"/>
        <v>0</v>
      </c>
      <c r="S880" s="154">
        <f t="shared" si="84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80"/>
        <v>0</v>
      </c>
      <c r="M881" s="154">
        <f t="shared" si="81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82"/>
        <v>0</v>
      </c>
      <c r="R881" s="153">
        <f t="shared" si="83"/>
        <v>0</v>
      </c>
      <c r="S881" s="154">
        <f t="shared" si="84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80"/>
        <v>0</v>
      </c>
      <c r="M882" s="154">
        <f t="shared" si="81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82"/>
        <v>0</v>
      </c>
      <c r="R882" s="153">
        <f t="shared" si="83"/>
        <v>0</v>
      </c>
      <c r="S882" s="154">
        <f t="shared" si="84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80"/>
        <v>0</v>
      </c>
      <c r="M883" s="154">
        <f t="shared" si="81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82"/>
        <v>0</v>
      </c>
      <c r="R883" s="153">
        <f t="shared" si="83"/>
        <v>0</v>
      </c>
      <c r="S883" s="154">
        <f t="shared" si="84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80"/>
        <v>0</v>
      </c>
      <c r="M884" s="154">
        <f t="shared" si="81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82"/>
        <v>0</v>
      </c>
      <c r="R884" s="153">
        <f t="shared" si="83"/>
        <v>0</v>
      </c>
      <c r="S884" s="154">
        <f t="shared" si="84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80"/>
        <v>0</v>
      </c>
      <c r="M885" s="154">
        <f t="shared" si="81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82"/>
        <v>0</v>
      </c>
      <c r="R885" s="153">
        <f t="shared" si="83"/>
        <v>0</v>
      </c>
      <c r="S885" s="154">
        <f t="shared" si="84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80"/>
        <v>0</v>
      </c>
      <c r="M886" s="154">
        <f t="shared" si="81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82"/>
        <v>0</v>
      </c>
      <c r="R886" s="153">
        <f t="shared" si="83"/>
        <v>0</v>
      </c>
      <c r="S886" s="154">
        <f t="shared" si="84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80"/>
        <v>0</v>
      </c>
      <c r="M887" s="154">
        <f t="shared" si="81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82"/>
        <v>0</v>
      </c>
      <c r="R887" s="153">
        <f t="shared" si="83"/>
        <v>0</v>
      </c>
      <c r="S887" s="154">
        <f t="shared" si="84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80"/>
        <v>0</v>
      </c>
      <c r="M888" s="154">
        <f t="shared" si="81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82"/>
        <v>0</v>
      </c>
      <c r="R888" s="153">
        <f t="shared" si="83"/>
        <v>0</v>
      </c>
      <c r="S888" s="154">
        <f t="shared" si="84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80"/>
        <v>0</v>
      </c>
      <c r="M889" s="154">
        <f t="shared" si="81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82"/>
        <v>0</v>
      </c>
      <c r="R889" s="153">
        <f t="shared" si="83"/>
        <v>0</v>
      </c>
      <c r="S889" s="154">
        <f t="shared" si="84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80"/>
        <v>0</v>
      </c>
      <c r="M890" s="154">
        <f t="shared" si="81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82"/>
        <v>0</v>
      </c>
      <c r="R890" s="153">
        <f t="shared" si="83"/>
        <v>0</v>
      </c>
      <c r="S890" s="154">
        <f t="shared" si="84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80"/>
        <v>0</v>
      </c>
      <c r="M891" s="154">
        <f t="shared" si="81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82"/>
        <v>0</v>
      </c>
      <c r="R891" s="153">
        <f t="shared" si="83"/>
        <v>0</v>
      </c>
      <c r="S891" s="154">
        <f t="shared" si="84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80"/>
        <v>0</v>
      </c>
      <c r="M892" s="154">
        <f t="shared" si="81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82"/>
        <v>0</v>
      </c>
      <c r="R892" s="153">
        <f t="shared" si="83"/>
        <v>0</v>
      </c>
      <c r="S892" s="154">
        <f t="shared" si="84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80"/>
        <v>0</v>
      </c>
      <c r="M893" s="154">
        <f t="shared" si="81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82"/>
        <v>0</v>
      </c>
      <c r="R893" s="153">
        <f t="shared" si="83"/>
        <v>0</v>
      </c>
      <c r="S893" s="154">
        <f t="shared" si="84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80"/>
        <v>0</v>
      </c>
      <c r="M894" s="154">
        <f t="shared" si="81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82"/>
        <v>0</v>
      </c>
      <c r="R894" s="153">
        <f t="shared" si="83"/>
        <v>0</v>
      </c>
      <c r="S894" s="154">
        <f t="shared" si="84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80"/>
        <v>0</v>
      </c>
      <c r="M895" s="154">
        <f t="shared" si="81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82"/>
        <v>0</v>
      </c>
      <c r="R895" s="153">
        <f t="shared" si="83"/>
        <v>0</v>
      </c>
      <c r="S895" s="154">
        <f t="shared" si="84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80"/>
        <v>0</v>
      </c>
      <c r="M896" s="154">
        <f t="shared" si="81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82"/>
        <v>0</v>
      </c>
      <c r="R896" s="153">
        <f t="shared" si="83"/>
        <v>0</v>
      </c>
      <c r="S896" s="154">
        <f t="shared" si="84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80"/>
        <v>0</v>
      </c>
      <c r="M897" s="154">
        <f t="shared" si="81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82"/>
        <v>0</v>
      </c>
      <c r="R897" s="153">
        <f t="shared" si="83"/>
        <v>0</v>
      </c>
      <c r="S897" s="154">
        <f t="shared" si="84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85">+B898</f>
        <v>0</v>
      </c>
      <c r="M898" s="154">
        <f t="shared" ref="M898:M961" si="86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87">+F898</f>
        <v>0</v>
      </c>
      <c r="R898" s="153">
        <f t="shared" ref="R898:R961" si="88">+G898</f>
        <v>0</v>
      </c>
      <c r="S898" s="154">
        <f t="shared" ref="S898:S961" si="89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85"/>
        <v>0</v>
      </c>
      <c r="M899" s="154">
        <f t="shared" si="86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87"/>
        <v>0</v>
      </c>
      <c r="R899" s="153">
        <f t="shared" si="88"/>
        <v>0</v>
      </c>
      <c r="S899" s="154">
        <f t="shared" si="89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85"/>
        <v>0</v>
      </c>
      <c r="M900" s="154">
        <f t="shared" si="86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87"/>
        <v>0</v>
      </c>
      <c r="R900" s="153">
        <f t="shared" si="88"/>
        <v>0</v>
      </c>
      <c r="S900" s="154">
        <f t="shared" si="89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85"/>
        <v>0</v>
      </c>
      <c r="M901" s="154">
        <f t="shared" si="86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87"/>
        <v>0</v>
      </c>
      <c r="R901" s="153">
        <f t="shared" si="88"/>
        <v>0</v>
      </c>
      <c r="S901" s="154">
        <f t="shared" si="89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85"/>
        <v>0</v>
      </c>
      <c r="M902" s="154">
        <f t="shared" si="86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87"/>
        <v>0</v>
      </c>
      <c r="R902" s="153">
        <f t="shared" si="88"/>
        <v>0</v>
      </c>
      <c r="S902" s="154">
        <f t="shared" si="89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85"/>
        <v>0</v>
      </c>
      <c r="M903" s="154">
        <f t="shared" si="86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87"/>
        <v>0</v>
      </c>
      <c r="R903" s="153">
        <f t="shared" si="88"/>
        <v>0</v>
      </c>
      <c r="S903" s="154">
        <f t="shared" si="89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85"/>
        <v>0</v>
      </c>
      <c r="M904" s="154">
        <f t="shared" si="86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87"/>
        <v>0</v>
      </c>
      <c r="R904" s="153">
        <f t="shared" si="88"/>
        <v>0</v>
      </c>
      <c r="S904" s="154">
        <f t="shared" si="89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85"/>
        <v>0</v>
      </c>
      <c r="M905" s="154">
        <f t="shared" si="86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87"/>
        <v>0</v>
      </c>
      <c r="R905" s="153">
        <f t="shared" si="88"/>
        <v>0</v>
      </c>
      <c r="S905" s="154">
        <f t="shared" si="89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85"/>
        <v>0</v>
      </c>
      <c r="M906" s="154">
        <f t="shared" si="86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87"/>
        <v>0</v>
      </c>
      <c r="R906" s="153">
        <f t="shared" si="88"/>
        <v>0</v>
      </c>
      <c r="S906" s="154">
        <f t="shared" si="89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85"/>
        <v>0</v>
      </c>
      <c r="M907" s="154">
        <f t="shared" si="86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87"/>
        <v>0</v>
      </c>
      <c r="R907" s="153">
        <f t="shared" si="88"/>
        <v>0</v>
      </c>
      <c r="S907" s="154">
        <f t="shared" si="89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85"/>
        <v>0</v>
      </c>
      <c r="M908" s="154">
        <f t="shared" si="86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87"/>
        <v>0</v>
      </c>
      <c r="R908" s="153">
        <f t="shared" si="88"/>
        <v>0</v>
      </c>
      <c r="S908" s="154">
        <f t="shared" si="89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85"/>
        <v>0</v>
      </c>
      <c r="M909" s="154">
        <f t="shared" si="86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87"/>
        <v>0</v>
      </c>
      <c r="R909" s="153">
        <f t="shared" si="88"/>
        <v>0</v>
      </c>
      <c r="S909" s="154">
        <f t="shared" si="89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85"/>
        <v>0</v>
      </c>
      <c r="M910" s="154">
        <f t="shared" si="86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87"/>
        <v>0</v>
      </c>
      <c r="R910" s="153">
        <f t="shared" si="88"/>
        <v>0</v>
      </c>
      <c r="S910" s="154">
        <f t="shared" si="89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85"/>
        <v>0</v>
      </c>
      <c r="M911" s="154">
        <f t="shared" si="86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87"/>
        <v>0</v>
      </c>
      <c r="R911" s="153">
        <f t="shared" si="88"/>
        <v>0</v>
      </c>
      <c r="S911" s="154">
        <f t="shared" si="89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85"/>
        <v>0</v>
      </c>
      <c r="M912" s="154">
        <f t="shared" si="86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87"/>
        <v>0</v>
      </c>
      <c r="R912" s="153">
        <f t="shared" si="88"/>
        <v>0</v>
      </c>
      <c r="S912" s="154">
        <f t="shared" si="89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85"/>
        <v>0</v>
      </c>
      <c r="M913" s="154">
        <f t="shared" si="86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87"/>
        <v>0</v>
      </c>
      <c r="R913" s="153">
        <f t="shared" si="88"/>
        <v>0</v>
      </c>
      <c r="S913" s="154">
        <f t="shared" si="89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85"/>
        <v>0</v>
      </c>
      <c r="M914" s="154">
        <f t="shared" si="86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87"/>
        <v>0</v>
      </c>
      <c r="R914" s="153">
        <f t="shared" si="88"/>
        <v>0</v>
      </c>
      <c r="S914" s="154">
        <f t="shared" si="89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85"/>
        <v>0</v>
      </c>
      <c r="M915" s="154">
        <f t="shared" si="86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87"/>
        <v>0</v>
      </c>
      <c r="R915" s="153">
        <f t="shared" si="88"/>
        <v>0</v>
      </c>
      <c r="S915" s="154">
        <f t="shared" si="89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85"/>
        <v>0</v>
      </c>
      <c r="M916" s="154">
        <f t="shared" si="86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87"/>
        <v>0</v>
      </c>
      <c r="R916" s="153">
        <f t="shared" si="88"/>
        <v>0</v>
      </c>
      <c r="S916" s="154">
        <f t="shared" si="89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85"/>
        <v>0</v>
      </c>
      <c r="M917" s="154">
        <f t="shared" si="86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87"/>
        <v>0</v>
      </c>
      <c r="R917" s="153">
        <f t="shared" si="88"/>
        <v>0</v>
      </c>
      <c r="S917" s="154">
        <f t="shared" si="89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85"/>
        <v>0</v>
      </c>
      <c r="M918" s="154">
        <f t="shared" si="86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87"/>
        <v>0</v>
      </c>
      <c r="R918" s="153">
        <f t="shared" si="88"/>
        <v>0</v>
      </c>
      <c r="S918" s="154">
        <f t="shared" si="89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85"/>
        <v>0</v>
      </c>
      <c r="M919" s="154">
        <f t="shared" si="86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87"/>
        <v>0</v>
      </c>
      <c r="R919" s="153">
        <f t="shared" si="88"/>
        <v>0</v>
      </c>
      <c r="S919" s="154">
        <f t="shared" si="89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85"/>
        <v>0</v>
      </c>
      <c r="M920" s="154">
        <f t="shared" si="86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87"/>
        <v>0</v>
      </c>
      <c r="R920" s="153">
        <f t="shared" si="88"/>
        <v>0</v>
      </c>
      <c r="S920" s="154">
        <f t="shared" si="89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85"/>
        <v>0</v>
      </c>
      <c r="M921" s="154">
        <f t="shared" si="86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87"/>
        <v>0</v>
      </c>
      <c r="R921" s="153">
        <f t="shared" si="88"/>
        <v>0</v>
      </c>
      <c r="S921" s="154">
        <f t="shared" si="89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85"/>
        <v>0</v>
      </c>
      <c r="M922" s="154">
        <f t="shared" si="86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87"/>
        <v>0</v>
      </c>
      <c r="R922" s="153">
        <f t="shared" si="88"/>
        <v>0</v>
      </c>
      <c r="S922" s="154">
        <f t="shared" si="89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85"/>
        <v>0</v>
      </c>
      <c r="M923" s="154">
        <f t="shared" si="86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87"/>
        <v>0</v>
      </c>
      <c r="R923" s="153">
        <f t="shared" si="88"/>
        <v>0</v>
      </c>
      <c r="S923" s="154">
        <f t="shared" si="89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85"/>
        <v>0</v>
      </c>
      <c r="M924" s="154">
        <f t="shared" si="86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87"/>
        <v>0</v>
      </c>
      <c r="R924" s="153">
        <f t="shared" si="88"/>
        <v>0</v>
      </c>
      <c r="S924" s="154">
        <f t="shared" si="89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85"/>
        <v>0</v>
      </c>
      <c r="M925" s="154">
        <f t="shared" si="86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87"/>
        <v>0</v>
      </c>
      <c r="R925" s="153">
        <f t="shared" si="88"/>
        <v>0</v>
      </c>
      <c r="S925" s="154">
        <f t="shared" si="89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85"/>
        <v>0</v>
      </c>
      <c r="M926" s="154">
        <f t="shared" si="86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87"/>
        <v>0</v>
      </c>
      <c r="R926" s="153">
        <f t="shared" si="88"/>
        <v>0</v>
      </c>
      <c r="S926" s="154">
        <f t="shared" si="89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85"/>
        <v>0</v>
      </c>
      <c r="M927" s="154">
        <f t="shared" si="86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87"/>
        <v>0</v>
      </c>
      <c r="R927" s="153">
        <f t="shared" si="88"/>
        <v>0</v>
      </c>
      <c r="S927" s="154">
        <f t="shared" si="89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85"/>
        <v>0</v>
      </c>
      <c r="M928" s="154">
        <f t="shared" si="86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87"/>
        <v>0</v>
      </c>
      <c r="R928" s="153">
        <f t="shared" si="88"/>
        <v>0</v>
      </c>
      <c r="S928" s="154">
        <f t="shared" si="89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85"/>
        <v>0</v>
      </c>
      <c r="M929" s="154">
        <f t="shared" si="86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87"/>
        <v>0</v>
      </c>
      <c r="R929" s="153">
        <f t="shared" si="88"/>
        <v>0</v>
      </c>
      <c r="S929" s="154">
        <f t="shared" si="89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85"/>
        <v>0</v>
      </c>
      <c r="M930" s="154">
        <f t="shared" si="86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87"/>
        <v>0</v>
      </c>
      <c r="R930" s="153">
        <f t="shared" si="88"/>
        <v>0</v>
      </c>
      <c r="S930" s="154">
        <f t="shared" si="89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85"/>
        <v>0</v>
      </c>
      <c r="M931" s="154">
        <f t="shared" si="86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87"/>
        <v>0</v>
      </c>
      <c r="R931" s="153">
        <f t="shared" si="88"/>
        <v>0</v>
      </c>
      <c r="S931" s="154">
        <f t="shared" si="89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85"/>
        <v>0</v>
      </c>
      <c r="M932" s="154">
        <f t="shared" si="86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87"/>
        <v>0</v>
      </c>
      <c r="R932" s="153">
        <f t="shared" si="88"/>
        <v>0</v>
      </c>
      <c r="S932" s="154">
        <f t="shared" si="89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85"/>
        <v>0</v>
      </c>
      <c r="M933" s="154">
        <f t="shared" si="86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87"/>
        <v>0</v>
      </c>
      <c r="R933" s="153">
        <f t="shared" si="88"/>
        <v>0</v>
      </c>
      <c r="S933" s="154">
        <f t="shared" si="89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85"/>
        <v>0</v>
      </c>
      <c r="M934" s="154">
        <f t="shared" si="86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87"/>
        <v>0</v>
      </c>
      <c r="R934" s="153">
        <f t="shared" si="88"/>
        <v>0</v>
      </c>
      <c r="S934" s="154">
        <f t="shared" si="89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85"/>
        <v>0</v>
      </c>
      <c r="M935" s="154">
        <f t="shared" si="86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87"/>
        <v>0</v>
      </c>
      <c r="R935" s="153">
        <f t="shared" si="88"/>
        <v>0</v>
      </c>
      <c r="S935" s="154">
        <f t="shared" si="89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85"/>
        <v>0</v>
      </c>
      <c r="M936" s="154">
        <f t="shared" si="86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87"/>
        <v>0</v>
      </c>
      <c r="R936" s="153">
        <f t="shared" si="88"/>
        <v>0</v>
      </c>
      <c r="S936" s="154">
        <f t="shared" si="89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85"/>
        <v>0</v>
      </c>
      <c r="M937" s="154">
        <f t="shared" si="86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87"/>
        <v>0</v>
      </c>
      <c r="R937" s="153">
        <f t="shared" si="88"/>
        <v>0</v>
      </c>
      <c r="S937" s="154">
        <f t="shared" si="89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85"/>
        <v>0</v>
      </c>
      <c r="M938" s="154">
        <f t="shared" si="86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87"/>
        <v>0</v>
      </c>
      <c r="R938" s="153">
        <f t="shared" si="88"/>
        <v>0</v>
      </c>
      <c r="S938" s="154">
        <f t="shared" si="89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85"/>
        <v>0</v>
      </c>
      <c r="M939" s="154">
        <f t="shared" si="86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87"/>
        <v>0</v>
      </c>
      <c r="R939" s="153">
        <f t="shared" si="88"/>
        <v>0</v>
      </c>
      <c r="S939" s="154">
        <f t="shared" si="89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85"/>
        <v>0</v>
      </c>
      <c r="M940" s="154">
        <f t="shared" si="86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87"/>
        <v>0</v>
      </c>
      <c r="R940" s="153">
        <f t="shared" si="88"/>
        <v>0</v>
      </c>
      <c r="S940" s="154">
        <f t="shared" si="89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85"/>
        <v>0</v>
      </c>
      <c r="M941" s="154">
        <f t="shared" si="86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87"/>
        <v>0</v>
      </c>
      <c r="R941" s="153">
        <f t="shared" si="88"/>
        <v>0</v>
      </c>
      <c r="S941" s="154">
        <f t="shared" si="89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85"/>
        <v>0</v>
      </c>
      <c r="M942" s="154">
        <f t="shared" si="86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87"/>
        <v>0</v>
      </c>
      <c r="R942" s="153">
        <f t="shared" si="88"/>
        <v>0</v>
      </c>
      <c r="S942" s="154">
        <f t="shared" si="89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85"/>
        <v>0</v>
      </c>
      <c r="M943" s="154">
        <f t="shared" si="86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87"/>
        <v>0</v>
      </c>
      <c r="R943" s="153">
        <f t="shared" si="88"/>
        <v>0</v>
      </c>
      <c r="S943" s="154">
        <f t="shared" si="89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85"/>
        <v>0</v>
      </c>
      <c r="M944" s="154">
        <f t="shared" si="86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87"/>
        <v>0</v>
      </c>
      <c r="R944" s="153">
        <f t="shared" si="88"/>
        <v>0</v>
      </c>
      <c r="S944" s="154">
        <f t="shared" si="89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85"/>
        <v>0</v>
      </c>
      <c r="M945" s="154">
        <f t="shared" si="86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87"/>
        <v>0</v>
      </c>
      <c r="R945" s="153">
        <f t="shared" si="88"/>
        <v>0</v>
      </c>
      <c r="S945" s="154">
        <f t="shared" si="89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85"/>
        <v>0</v>
      </c>
      <c r="M946" s="154">
        <f t="shared" si="86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87"/>
        <v>0</v>
      </c>
      <c r="R946" s="153">
        <f t="shared" si="88"/>
        <v>0</v>
      </c>
      <c r="S946" s="154">
        <f t="shared" si="89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85"/>
        <v>0</v>
      </c>
      <c r="M947" s="154">
        <f t="shared" si="86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87"/>
        <v>0</v>
      </c>
      <c r="R947" s="153">
        <f t="shared" si="88"/>
        <v>0</v>
      </c>
      <c r="S947" s="154">
        <f t="shared" si="89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85"/>
        <v>0</v>
      </c>
      <c r="M948" s="154">
        <f t="shared" si="86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87"/>
        <v>0</v>
      </c>
      <c r="R948" s="153">
        <f t="shared" si="88"/>
        <v>0</v>
      </c>
      <c r="S948" s="154">
        <f t="shared" si="89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85"/>
        <v>0</v>
      </c>
      <c r="M949" s="154">
        <f t="shared" si="86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87"/>
        <v>0</v>
      </c>
      <c r="R949" s="153">
        <f t="shared" si="88"/>
        <v>0</v>
      </c>
      <c r="S949" s="154">
        <f t="shared" si="89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85"/>
        <v>0</v>
      </c>
      <c r="M950" s="154">
        <f t="shared" si="86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87"/>
        <v>0</v>
      </c>
      <c r="R950" s="153">
        <f t="shared" si="88"/>
        <v>0</v>
      </c>
      <c r="S950" s="154">
        <f t="shared" si="89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85"/>
        <v>0</v>
      </c>
      <c r="M951" s="154">
        <f t="shared" si="86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87"/>
        <v>0</v>
      </c>
      <c r="R951" s="153">
        <f t="shared" si="88"/>
        <v>0</v>
      </c>
      <c r="S951" s="154">
        <f t="shared" si="89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85"/>
        <v>0</v>
      </c>
      <c r="M952" s="154">
        <f t="shared" si="86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87"/>
        <v>0</v>
      </c>
      <c r="R952" s="153">
        <f t="shared" si="88"/>
        <v>0</v>
      </c>
      <c r="S952" s="154">
        <f t="shared" si="89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85"/>
        <v>0</v>
      </c>
      <c r="M953" s="154">
        <f t="shared" si="86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87"/>
        <v>0</v>
      </c>
      <c r="R953" s="153">
        <f t="shared" si="88"/>
        <v>0</v>
      </c>
      <c r="S953" s="154">
        <f t="shared" si="89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85"/>
        <v>0</v>
      </c>
      <c r="M954" s="154">
        <f t="shared" si="86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87"/>
        <v>0</v>
      </c>
      <c r="R954" s="153">
        <f t="shared" si="88"/>
        <v>0</v>
      </c>
      <c r="S954" s="154">
        <f t="shared" si="89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85"/>
        <v>0</v>
      </c>
      <c r="M955" s="154">
        <f t="shared" si="86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87"/>
        <v>0</v>
      </c>
      <c r="R955" s="153">
        <f t="shared" si="88"/>
        <v>0</v>
      </c>
      <c r="S955" s="154">
        <f t="shared" si="89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85"/>
        <v>0</v>
      </c>
      <c r="M956" s="154">
        <f t="shared" si="86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87"/>
        <v>0</v>
      </c>
      <c r="R956" s="153">
        <f t="shared" si="88"/>
        <v>0</v>
      </c>
      <c r="S956" s="154">
        <f t="shared" si="89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85"/>
        <v>0</v>
      </c>
      <c r="M957" s="154">
        <f t="shared" si="86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87"/>
        <v>0</v>
      </c>
      <c r="R957" s="153">
        <f t="shared" si="88"/>
        <v>0</v>
      </c>
      <c r="S957" s="154">
        <f t="shared" si="89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85"/>
        <v>0</v>
      </c>
      <c r="M958" s="154">
        <f t="shared" si="86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87"/>
        <v>0</v>
      </c>
      <c r="R958" s="153">
        <f t="shared" si="88"/>
        <v>0</v>
      </c>
      <c r="S958" s="154">
        <f t="shared" si="89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85"/>
        <v>0</v>
      </c>
      <c r="M959" s="154">
        <f t="shared" si="86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87"/>
        <v>0</v>
      </c>
      <c r="R959" s="153">
        <f t="shared" si="88"/>
        <v>0</v>
      </c>
      <c r="S959" s="154">
        <f t="shared" si="89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85"/>
        <v>0</v>
      </c>
      <c r="M960" s="154">
        <f t="shared" si="86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87"/>
        <v>0</v>
      </c>
      <c r="R960" s="153">
        <f t="shared" si="88"/>
        <v>0</v>
      </c>
      <c r="S960" s="154">
        <f t="shared" si="89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85"/>
        <v>0</v>
      </c>
      <c r="M961" s="154">
        <f t="shared" si="86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87"/>
        <v>0</v>
      </c>
      <c r="R961" s="153">
        <f t="shared" si="88"/>
        <v>0</v>
      </c>
      <c r="S961" s="154">
        <f t="shared" si="89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90">+B962</f>
        <v>0</v>
      </c>
      <c r="M962" s="154">
        <f t="shared" ref="M962:M1025" si="91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92">+F962</f>
        <v>0</v>
      </c>
      <c r="R962" s="153">
        <f t="shared" ref="R962:R1025" si="93">+G962</f>
        <v>0</v>
      </c>
      <c r="S962" s="154">
        <f t="shared" ref="S962:S1025" si="94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90"/>
        <v>0</v>
      </c>
      <c r="M963" s="154">
        <f t="shared" si="91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92"/>
        <v>0</v>
      </c>
      <c r="R963" s="153">
        <f t="shared" si="93"/>
        <v>0</v>
      </c>
      <c r="S963" s="154">
        <f t="shared" si="94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90"/>
        <v>0</v>
      </c>
      <c r="M964" s="154">
        <f t="shared" si="91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92"/>
        <v>0</v>
      </c>
      <c r="R964" s="153">
        <f t="shared" si="93"/>
        <v>0</v>
      </c>
      <c r="S964" s="154">
        <f t="shared" si="94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90"/>
        <v>0</v>
      </c>
      <c r="M965" s="154">
        <f t="shared" si="91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92"/>
        <v>0</v>
      </c>
      <c r="R965" s="153">
        <f t="shared" si="93"/>
        <v>0</v>
      </c>
      <c r="S965" s="154">
        <f t="shared" si="94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90"/>
        <v>0</v>
      </c>
      <c r="M966" s="154">
        <f t="shared" si="91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92"/>
        <v>0</v>
      </c>
      <c r="R966" s="153">
        <f t="shared" si="93"/>
        <v>0</v>
      </c>
      <c r="S966" s="154">
        <f t="shared" si="94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90"/>
        <v>0</v>
      </c>
      <c r="M967" s="154">
        <f t="shared" si="91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92"/>
        <v>0</v>
      </c>
      <c r="R967" s="153">
        <f t="shared" si="93"/>
        <v>0</v>
      </c>
      <c r="S967" s="154">
        <f t="shared" si="94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90"/>
        <v>0</v>
      </c>
      <c r="M968" s="154">
        <f t="shared" si="91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92"/>
        <v>0</v>
      </c>
      <c r="R968" s="153">
        <f t="shared" si="93"/>
        <v>0</v>
      </c>
      <c r="S968" s="154">
        <f t="shared" si="94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90"/>
        <v>0</v>
      </c>
      <c r="M969" s="154">
        <f t="shared" si="91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92"/>
        <v>0</v>
      </c>
      <c r="R969" s="153">
        <f t="shared" si="93"/>
        <v>0</v>
      </c>
      <c r="S969" s="154">
        <f t="shared" si="94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90"/>
        <v>0</v>
      </c>
      <c r="M970" s="154">
        <f t="shared" si="91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92"/>
        <v>0</v>
      </c>
      <c r="R970" s="153">
        <f t="shared" si="93"/>
        <v>0</v>
      </c>
      <c r="S970" s="154">
        <f t="shared" si="94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90"/>
        <v>0</v>
      </c>
      <c r="M971" s="154">
        <f t="shared" si="91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92"/>
        <v>0</v>
      </c>
      <c r="R971" s="153">
        <f t="shared" si="93"/>
        <v>0</v>
      </c>
      <c r="S971" s="154">
        <f t="shared" si="94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90"/>
        <v>0</v>
      </c>
      <c r="M972" s="154">
        <f t="shared" si="91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92"/>
        <v>0</v>
      </c>
      <c r="R972" s="153">
        <f t="shared" si="93"/>
        <v>0</v>
      </c>
      <c r="S972" s="154">
        <f t="shared" si="94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90"/>
        <v>0</v>
      </c>
      <c r="M973" s="154">
        <f t="shared" si="91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92"/>
        <v>0</v>
      </c>
      <c r="R973" s="153">
        <f t="shared" si="93"/>
        <v>0</v>
      </c>
      <c r="S973" s="154">
        <f t="shared" si="94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90"/>
        <v>0</v>
      </c>
      <c r="M974" s="154">
        <f t="shared" si="91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92"/>
        <v>0</v>
      </c>
      <c r="R974" s="153">
        <f t="shared" si="93"/>
        <v>0</v>
      </c>
      <c r="S974" s="154">
        <f t="shared" si="94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90"/>
        <v>0</v>
      </c>
      <c r="M975" s="154">
        <f t="shared" si="91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92"/>
        <v>0</v>
      </c>
      <c r="R975" s="153">
        <f t="shared" si="93"/>
        <v>0</v>
      </c>
      <c r="S975" s="154">
        <f t="shared" si="94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90"/>
        <v>0</v>
      </c>
      <c r="M976" s="154">
        <f t="shared" si="91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92"/>
        <v>0</v>
      </c>
      <c r="R976" s="153">
        <f t="shared" si="93"/>
        <v>0</v>
      </c>
      <c r="S976" s="154">
        <f t="shared" si="94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90"/>
        <v>0</v>
      </c>
      <c r="M977" s="154">
        <f t="shared" si="91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92"/>
        <v>0</v>
      </c>
      <c r="R977" s="153">
        <f t="shared" si="93"/>
        <v>0</v>
      </c>
      <c r="S977" s="154">
        <f t="shared" si="94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90"/>
        <v>0</v>
      </c>
      <c r="M978" s="154">
        <f t="shared" si="91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92"/>
        <v>0</v>
      </c>
      <c r="R978" s="153">
        <f t="shared" si="93"/>
        <v>0</v>
      </c>
      <c r="S978" s="154">
        <f t="shared" si="94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90"/>
        <v>0</v>
      </c>
      <c r="M979" s="154">
        <f t="shared" si="91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92"/>
        <v>0</v>
      </c>
      <c r="R979" s="153">
        <f t="shared" si="93"/>
        <v>0</v>
      </c>
      <c r="S979" s="154">
        <f t="shared" si="94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90"/>
        <v>0</v>
      </c>
      <c r="M980" s="154">
        <f t="shared" si="91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92"/>
        <v>0</v>
      </c>
      <c r="R980" s="153">
        <f t="shared" si="93"/>
        <v>0</v>
      </c>
      <c r="S980" s="154">
        <f t="shared" si="94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90"/>
        <v>0</v>
      </c>
      <c r="M981" s="154">
        <f t="shared" si="91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92"/>
        <v>0</v>
      </c>
      <c r="R981" s="153">
        <f t="shared" si="93"/>
        <v>0</v>
      </c>
      <c r="S981" s="154">
        <f t="shared" si="94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90"/>
        <v>0</v>
      </c>
      <c r="M982" s="154">
        <f t="shared" si="91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92"/>
        <v>0</v>
      </c>
      <c r="R982" s="153">
        <f t="shared" si="93"/>
        <v>0</v>
      </c>
      <c r="S982" s="154">
        <f t="shared" si="94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90"/>
        <v>0</v>
      </c>
      <c r="M983" s="154">
        <f t="shared" si="91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92"/>
        <v>0</v>
      </c>
      <c r="R983" s="153">
        <f t="shared" si="93"/>
        <v>0</v>
      </c>
      <c r="S983" s="154">
        <f t="shared" si="94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90"/>
        <v>0</v>
      </c>
      <c r="M984" s="154">
        <f t="shared" si="91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92"/>
        <v>0</v>
      </c>
      <c r="R984" s="153">
        <f t="shared" si="93"/>
        <v>0</v>
      </c>
      <c r="S984" s="154">
        <f t="shared" si="94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90"/>
        <v>0</v>
      </c>
      <c r="M985" s="154">
        <f t="shared" si="91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92"/>
        <v>0</v>
      </c>
      <c r="R985" s="153">
        <f t="shared" si="93"/>
        <v>0</v>
      </c>
      <c r="S985" s="154">
        <f t="shared" si="94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90"/>
        <v>0</v>
      </c>
      <c r="M986" s="154">
        <f t="shared" si="91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92"/>
        <v>0</v>
      </c>
      <c r="R986" s="153">
        <f t="shared" si="93"/>
        <v>0</v>
      </c>
      <c r="S986" s="154">
        <f t="shared" si="94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90"/>
        <v>0</v>
      </c>
      <c r="M987" s="154">
        <f t="shared" si="91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92"/>
        <v>0</v>
      </c>
      <c r="R987" s="153">
        <f t="shared" si="93"/>
        <v>0</v>
      </c>
      <c r="S987" s="154">
        <f t="shared" si="94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90"/>
        <v>0</v>
      </c>
      <c r="M988" s="154">
        <f t="shared" si="91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92"/>
        <v>0</v>
      </c>
      <c r="R988" s="153">
        <f t="shared" si="93"/>
        <v>0</v>
      </c>
      <c r="S988" s="154">
        <f t="shared" si="94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90"/>
        <v>0</v>
      </c>
      <c r="M989" s="154">
        <f t="shared" si="91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92"/>
        <v>0</v>
      </c>
      <c r="R989" s="153">
        <f t="shared" si="93"/>
        <v>0</v>
      </c>
      <c r="S989" s="154">
        <f t="shared" si="94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90"/>
        <v>0</v>
      </c>
      <c r="M990" s="154">
        <f t="shared" si="91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92"/>
        <v>0</v>
      </c>
      <c r="R990" s="153">
        <f t="shared" si="93"/>
        <v>0</v>
      </c>
      <c r="S990" s="154">
        <f t="shared" si="94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90"/>
        <v>0</v>
      </c>
      <c r="M991" s="154">
        <f t="shared" si="91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92"/>
        <v>0</v>
      </c>
      <c r="R991" s="153">
        <f t="shared" si="93"/>
        <v>0</v>
      </c>
      <c r="S991" s="154">
        <f t="shared" si="94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90"/>
        <v>0</v>
      </c>
      <c r="M992" s="154">
        <f t="shared" si="91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92"/>
        <v>0</v>
      </c>
      <c r="R992" s="153">
        <f t="shared" si="93"/>
        <v>0</v>
      </c>
      <c r="S992" s="154">
        <f t="shared" si="94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90"/>
        <v>0</v>
      </c>
      <c r="M993" s="154">
        <f t="shared" si="91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92"/>
        <v>0</v>
      </c>
      <c r="R993" s="153">
        <f t="shared" si="93"/>
        <v>0</v>
      </c>
      <c r="S993" s="154">
        <f t="shared" si="94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90"/>
        <v>0</v>
      </c>
      <c r="M994" s="154">
        <f t="shared" si="91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92"/>
        <v>0</v>
      </c>
      <c r="R994" s="153">
        <f t="shared" si="93"/>
        <v>0</v>
      </c>
      <c r="S994" s="154">
        <f t="shared" si="94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90"/>
        <v>0</v>
      </c>
      <c r="M995" s="154">
        <f t="shared" si="91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92"/>
        <v>0</v>
      </c>
      <c r="R995" s="153">
        <f t="shared" si="93"/>
        <v>0</v>
      </c>
      <c r="S995" s="154">
        <f t="shared" si="94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90"/>
        <v>0</v>
      </c>
      <c r="M996" s="154">
        <f t="shared" si="91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92"/>
        <v>0</v>
      </c>
      <c r="R996" s="153">
        <f t="shared" si="93"/>
        <v>0</v>
      </c>
      <c r="S996" s="154">
        <f t="shared" si="94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90"/>
        <v>0</v>
      </c>
      <c r="M997" s="154">
        <f t="shared" si="91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92"/>
        <v>0</v>
      </c>
      <c r="R997" s="153">
        <f t="shared" si="93"/>
        <v>0</v>
      </c>
      <c r="S997" s="154">
        <f t="shared" si="94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90"/>
        <v>0</v>
      </c>
      <c r="M998" s="154">
        <f t="shared" si="91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92"/>
        <v>0</v>
      </c>
      <c r="R998" s="153">
        <f t="shared" si="93"/>
        <v>0</v>
      </c>
      <c r="S998" s="154">
        <f t="shared" si="94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90"/>
        <v>0</v>
      </c>
      <c r="M999" s="154">
        <f t="shared" si="91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92"/>
        <v>0</v>
      </c>
      <c r="R999" s="153">
        <f t="shared" si="93"/>
        <v>0</v>
      </c>
      <c r="S999" s="154">
        <f t="shared" si="94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90"/>
        <v>0</v>
      </c>
      <c r="M1000" s="154">
        <f t="shared" si="91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92"/>
        <v>0</v>
      </c>
      <c r="R1000" s="153">
        <f t="shared" si="93"/>
        <v>0</v>
      </c>
      <c r="S1000" s="154">
        <f t="shared" si="94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90"/>
        <v>0</v>
      </c>
      <c r="M1001" s="154">
        <f t="shared" si="91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92"/>
        <v>0</v>
      </c>
      <c r="R1001" s="153">
        <f t="shared" si="93"/>
        <v>0</v>
      </c>
      <c r="S1001" s="154">
        <f t="shared" si="94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90"/>
        <v>0</v>
      </c>
      <c r="M1002" s="154">
        <f t="shared" si="91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92"/>
        <v>0</v>
      </c>
      <c r="R1002" s="153">
        <f t="shared" si="93"/>
        <v>0</v>
      </c>
      <c r="S1002" s="154">
        <f t="shared" si="94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90"/>
        <v>0</v>
      </c>
      <c r="M1003" s="154">
        <f t="shared" si="91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92"/>
        <v>0</v>
      </c>
      <c r="R1003" s="153">
        <f t="shared" si="93"/>
        <v>0</v>
      </c>
      <c r="S1003" s="154">
        <f t="shared" si="94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90"/>
        <v>0</v>
      </c>
      <c r="M1004" s="154">
        <f t="shared" si="91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92"/>
        <v>0</v>
      </c>
      <c r="R1004" s="153">
        <f t="shared" si="93"/>
        <v>0</v>
      </c>
      <c r="S1004" s="154">
        <f t="shared" si="94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90"/>
        <v>0</v>
      </c>
      <c r="M1005" s="154">
        <f t="shared" si="91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92"/>
        <v>0</v>
      </c>
      <c r="R1005" s="153">
        <f t="shared" si="93"/>
        <v>0</v>
      </c>
      <c r="S1005" s="154">
        <f t="shared" si="94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90"/>
        <v>0</v>
      </c>
      <c r="M1006" s="154">
        <f t="shared" si="91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92"/>
        <v>0</v>
      </c>
      <c r="R1006" s="153">
        <f t="shared" si="93"/>
        <v>0</v>
      </c>
      <c r="S1006" s="154">
        <f t="shared" si="94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90"/>
        <v>0</v>
      </c>
      <c r="M1007" s="154">
        <f t="shared" si="91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92"/>
        <v>0</v>
      </c>
      <c r="R1007" s="153">
        <f t="shared" si="93"/>
        <v>0</v>
      </c>
      <c r="S1007" s="154">
        <f t="shared" si="94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90"/>
        <v>0</v>
      </c>
      <c r="M1008" s="154">
        <f t="shared" si="91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92"/>
        <v>0</v>
      </c>
      <c r="R1008" s="153">
        <f t="shared" si="93"/>
        <v>0</v>
      </c>
      <c r="S1008" s="154">
        <f t="shared" si="94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90"/>
        <v>0</v>
      </c>
      <c r="M1009" s="154">
        <f t="shared" si="91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92"/>
        <v>0</v>
      </c>
      <c r="R1009" s="153">
        <f t="shared" si="93"/>
        <v>0</v>
      </c>
      <c r="S1009" s="154">
        <f t="shared" si="94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90"/>
        <v>0</v>
      </c>
      <c r="M1010" s="154">
        <f t="shared" si="91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92"/>
        <v>0</v>
      </c>
      <c r="R1010" s="153">
        <f t="shared" si="93"/>
        <v>0</v>
      </c>
      <c r="S1010" s="154">
        <f t="shared" si="94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90"/>
        <v>0</v>
      </c>
      <c r="M1011" s="154">
        <f t="shared" si="91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92"/>
        <v>0</v>
      </c>
      <c r="R1011" s="153">
        <f t="shared" si="93"/>
        <v>0</v>
      </c>
      <c r="S1011" s="154">
        <f t="shared" si="94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90"/>
        <v>0</v>
      </c>
      <c r="M1012" s="154">
        <f t="shared" si="91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92"/>
        <v>0</v>
      </c>
      <c r="R1012" s="153">
        <f t="shared" si="93"/>
        <v>0</v>
      </c>
      <c r="S1012" s="154">
        <f t="shared" si="94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90"/>
        <v>0</v>
      </c>
      <c r="M1013" s="154">
        <f t="shared" si="91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92"/>
        <v>0</v>
      </c>
      <c r="R1013" s="153">
        <f t="shared" si="93"/>
        <v>0</v>
      </c>
      <c r="S1013" s="154">
        <f t="shared" si="94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90"/>
        <v>0</v>
      </c>
      <c r="M1014" s="154">
        <f t="shared" si="91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92"/>
        <v>0</v>
      </c>
      <c r="R1014" s="153">
        <f t="shared" si="93"/>
        <v>0</v>
      </c>
      <c r="S1014" s="154">
        <f t="shared" si="94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90"/>
        <v>0</v>
      </c>
      <c r="M1015" s="154">
        <f t="shared" si="91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92"/>
        <v>0</v>
      </c>
      <c r="R1015" s="153">
        <f t="shared" si="93"/>
        <v>0</v>
      </c>
      <c r="S1015" s="154">
        <f t="shared" si="94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90"/>
        <v>0</v>
      </c>
      <c r="M1016" s="154">
        <f t="shared" si="91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92"/>
        <v>0</v>
      </c>
      <c r="R1016" s="153">
        <f t="shared" si="93"/>
        <v>0</v>
      </c>
      <c r="S1016" s="154">
        <f t="shared" si="94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90"/>
        <v>0</v>
      </c>
      <c r="M1017" s="154">
        <f t="shared" si="91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92"/>
        <v>0</v>
      </c>
      <c r="R1017" s="153">
        <f t="shared" si="93"/>
        <v>0</v>
      </c>
      <c r="S1017" s="154">
        <f t="shared" si="94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90"/>
        <v>0</v>
      </c>
      <c r="M1018" s="154">
        <f t="shared" si="91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92"/>
        <v>0</v>
      </c>
      <c r="R1018" s="153">
        <f t="shared" si="93"/>
        <v>0</v>
      </c>
      <c r="S1018" s="154">
        <f t="shared" si="94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90"/>
        <v>0</v>
      </c>
      <c r="M1019" s="154">
        <f t="shared" si="91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92"/>
        <v>0</v>
      </c>
      <c r="R1019" s="153">
        <f t="shared" si="93"/>
        <v>0</v>
      </c>
      <c r="S1019" s="154">
        <f t="shared" si="94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90"/>
        <v>0</v>
      </c>
      <c r="M1020" s="154">
        <f t="shared" si="91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92"/>
        <v>0</v>
      </c>
      <c r="R1020" s="153">
        <f t="shared" si="93"/>
        <v>0</v>
      </c>
      <c r="S1020" s="154">
        <f t="shared" si="94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90"/>
        <v>0</v>
      </c>
      <c r="M1021" s="154">
        <f t="shared" si="91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92"/>
        <v>0</v>
      </c>
      <c r="R1021" s="153">
        <f t="shared" si="93"/>
        <v>0</v>
      </c>
      <c r="S1021" s="154">
        <f t="shared" si="94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90"/>
        <v>0</v>
      </c>
      <c r="M1022" s="154">
        <f t="shared" si="91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92"/>
        <v>0</v>
      </c>
      <c r="R1022" s="153">
        <f t="shared" si="93"/>
        <v>0</v>
      </c>
      <c r="S1022" s="154">
        <f t="shared" si="94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90"/>
        <v>0</v>
      </c>
      <c r="M1023" s="154">
        <f t="shared" si="91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92"/>
        <v>0</v>
      </c>
      <c r="R1023" s="153">
        <f t="shared" si="93"/>
        <v>0</v>
      </c>
      <c r="S1023" s="154">
        <f t="shared" si="94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90"/>
        <v>0</v>
      </c>
      <c r="M1024" s="154">
        <f t="shared" si="91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92"/>
        <v>0</v>
      </c>
      <c r="R1024" s="153">
        <f t="shared" si="93"/>
        <v>0</v>
      </c>
      <c r="S1024" s="154">
        <f t="shared" si="94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90"/>
        <v>0</v>
      </c>
      <c r="M1025" s="154">
        <f t="shared" si="91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92"/>
        <v>0</v>
      </c>
      <c r="R1025" s="153">
        <f t="shared" si="93"/>
        <v>0</v>
      </c>
      <c r="S1025" s="154">
        <f t="shared" si="94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95">+B1026</f>
        <v>0</v>
      </c>
      <c r="M1026" s="154">
        <f t="shared" ref="M1026:M1055" si="96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97">+F1026</f>
        <v>0</v>
      </c>
      <c r="R1026" s="153">
        <f t="shared" ref="R1026:R1055" si="98">+G1026</f>
        <v>0</v>
      </c>
      <c r="S1026" s="154">
        <f t="shared" ref="S1026:S1055" si="99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95"/>
        <v>0</v>
      </c>
      <c r="M1027" s="154">
        <f t="shared" si="96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97"/>
        <v>0</v>
      </c>
      <c r="R1027" s="153">
        <f t="shared" si="98"/>
        <v>0</v>
      </c>
      <c r="S1027" s="154">
        <f t="shared" si="99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95"/>
        <v>0</v>
      </c>
      <c r="M1028" s="154">
        <f t="shared" si="96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97"/>
        <v>0</v>
      </c>
      <c r="R1028" s="153">
        <f t="shared" si="98"/>
        <v>0</v>
      </c>
      <c r="S1028" s="154">
        <f t="shared" si="99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95"/>
        <v>0</v>
      </c>
      <c r="M1029" s="154">
        <f t="shared" si="96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97"/>
        <v>0</v>
      </c>
      <c r="R1029" s="153">
        <f t="shared" si="98"/>
        <v>0</v>
      </c>
      <c r="S1029" s="154">
        <f t="shared" si="99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95"/>
        <v>0</v>
      </c>
      <c r="M1030" s="154">
        <f t="shared" si="96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97"/>
        <v>0</v>
      </c>
      <c r="R1030" s="153">
        <f t="shared" si="98"/>
        <v>0</v>
      </c>
      <c r="S1030" s="154">
        <f t="shared" si="99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95"/>
        <v>0</v>
      </c>
      <c r="M1031" s="154">
        <f t="shared" si="96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97"/>
        <v>0</v>
      </c>
      <c r="R1031" s="153">
        <f t="shared" si="98"/>
        <v>0</v>
      </c>
      <c r="S1031" s="154">
        <f t="shared" si="99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95"/>
        <v>0</v>
      </c>
      <c r="M1032" s="154">
        <f t="shared" si="96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97"/>
        <v>0</v>
      </c>
      <c r="R1032" s="153">
        <f t="shared" si="98"/>
        <v>0</v>
      </c>
      <c r="S1032" s="154">
        <f t="shared" si="99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95"/>
        <v>0</v>
      </c>
      <c r="M1033" s="154">
        <f t="shared" si="96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97"/>
        <v>0</v>
      </c>
      <c r="R1033" s="153">
        <f t="shared" si="98"/>
        <v>0</v>
      </c>
      <c r="S1033" s="154">
        <f t="shared" si="99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95"/>
        <v>0</v>
      </c>
      <c r="M1034" s="154">
        <f t="shared" si="96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97"/>
        <v>0</v>
      </c>
      <c r="R1034" s="153">
        <f t="shared" si="98"/>
        <v>0</v>
      </c>
      <c r="S1034" s="154">
        <f t="shared" si="99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95"/>
        <v>0</v>
      </c>
      <c r="M1035" s="154">
        <f t="shared" si="96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97"/>
        <v>0</v>
      </c>
      <c r="R1035" s="153">
        <f t="shared" si="98"/>
        <v>0</v>
      </c>
      <c r="S1035" s="154">
        <f t="shared" si="99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95"/>
        <v>0</v>
      </c>
      <c r="M1036" s="154">
        <f t="shared" si="96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97"/>
        <v>0</v>
      </c>
      <c r="R1036" s="153">
        <f t="shared" si="98"/>
        <v>0</v>
      </c>
      <c r="S1036" s="154">
        <f t="shared" si="99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95"/>
        <v>0</v>
      </c>
      <c r="M1037" s="154">
        <f t="shared" si="96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97"/>
        <v>0</v>
      </c>
      <c r="R1037" s="153">
        <f t="shared" si="98"/>
        <v>0</v>
      </c>
      <c r="S1037" s="154">
        <f t="shared" si="99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95"/>
        <v>0</v>
      </c>
      <c r="M1038" s="154">
        <f t="shared" si="96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97"/>
        <v>0</v>
      </c>
      <c r="R1038" s="153">
        <f t="shared" si="98"/>
        <v>0</v>
      </c>
      <c r="S1038" s="154">
        <f t="shared" si="99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95"/>
        <v>0</v>
      </c>
      <c r="M1039" s="154">
        <f t="shared" si="96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97"/>
        <v>0</v>
      </c>
      <c r="R1039" s="153">
        <f t="shared" si="98"/>
        <v>0</v>
      </c>
      <c r="S1039" s="154">
        <f t="shared" si="99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95"/>
        <v>0</v>
      </c>
      <c r="M1040" s="154">
        <f t="shared" si="96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97"/>
        <v>0</v>
      </c>
      <c r="R1040" s="153">
        <f t="shared" si="98"/>
        <v>0</v>
      </c>
      <c r="S1040" s="154">
        <f t="shared" si="99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95"/>
        <v>0</v>
      </c>
      <c r="M1041" s="154">
        <f t="shared" si="96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97"/>
        <v>0</v>
      </c>
      <c r="R1041" s="153">
        <f t="shared" si="98"/>
        <v>0</v>
      </c>
      <c r="S1041" s="154">
        <f t="shared" si="99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95"/>
        <v>0</v>
      </c>
      <c r="M1042" s="154">
        <f t="shared" si="96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97"/>
        <v>0</v>
      </c>
      <c r="R1042" s="153">
        <f t="shared" si="98"/>
        <v>0</v>
      </c>
      <c r="S1042" s="154">
        <f t="shared" si="99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95"/>
        <v>0</v>
      </c>
      <c r="M1043" s="154">
        <f t="shared" si="96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97"/>
        <v>0</v>
      </c>
      <c r="R1043" s="153">
        <f t="shared" si="98"/>
        <v>0</v>
      </c>
      <c r="S1043" s="154">
        <f t="shared" si="99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95"/>
        <v>0</v>
      </c>
      <c r="M1044" s="154">
        <f t="shared" si="96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97"/>
        <v>0</v>
      </c>
      <c r="R1044" s="153">
        <f t="shared" si="98"/>
        <v>0</v>
      </c>
      <c r="S1044" s="154">
        <f t="shared" si="99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95"/>
        <v>0</v>
      </c>
      <c r="M1045" s="154">
        <f t="shared" si="96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97"/>
        <v>0</v>
      </c>
      <c r="R1045" s="153">
        <f t="shared" si="98"/>
        <v>0</v>
      </c>
      <c r="S1045" s="154">
        <f t="shared" si="99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95"/>
        <v>0</v>
      </c>
      <c r="M1046" s="154">
        <f t="shared" si="96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97"/>
        <v>0</v>
      </c>
      <c r="R1046" s="153">
        <f t="shared" si="98"/>
        <v>0</v>
      </c>
      <c r="S1046" s="154">
        <f t="shared" si="99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95"/>
        <v>0</v>
      </c>
      <c r="M1047" s="154">
        <f t="shared" si="96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97"/>
        <v>0</v>
      </c>
      <c r="R1047" s="153">
        <f t="shared" si="98"/>
        <v>0</v>
      </c>
      <c r="S1047" s="154">
        <f t="shared" si="99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95"/>
        <v>0</v>
      </c>
      <c r="M1048" s="154">
        <f t="shared" si="96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97"/>
        <v>0</v>
      </c>
      <c r="R1048" s="153">
        <f t="shared" si="98"/>
        <v>0</v>
      </c>
      <c r="S1048" s="154">
        <f t="shared" si="99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95"/>
        <v>0</v>
      </c>
      <c r="M1049" s="154">
        <f t="shared" si="96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97"/>
        <v>0</v>
      </c>
      <c r="R1049" s="153">
        <f t="shared" si="98"/>
        <v>0</v>
      </c>
      <c r="S1049" s="154">
        <f t="shared" si="99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95"/>
        <v>0</v>
      </c>
      <c r="M1050" s="154">
        <f t="shared" si="96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97"/>
        <v>0</v>
      </c>
      <c r="R1050" s="153">
        <f t="shared" si="98"/>
        <v>0</v>
      </c>
      <c r="S1050" s="154">
        <f t="shared" si="99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95"/>
        <v>0</v>
      </c>
      <c r="M1051" s="154">
        <f t="shared" si="96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97"/>
        <v>0</v>
      </c>
      <c r="R1051" s="153">
        <f t="shared" si="98"/>
        <v>0</v>
      </c>
      <c r="S1051" s="154">
        <f t="shared" si="99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95"/>
        <v>0</v>
      </c>
      <c r="M1052" s="154">
        <f t="shared" si="96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97"/>
        <v>0</v>
      </c>
      <c r="R1052" s="153">
        <f t="shared" si="98"/>
        <v>0</v>
      </c>
      <c r="S1052" s="154">
        <f t="shared" si="99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95"/>
        <v>0</v>
      </c>
      <c r="M1053" s="154">
        <f t="shared" si="96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97"/>
        <v>0</v>
      </c>
      <c r="R1053" s="153">
        <f t="shared" si="98"/>
        <v>0</v>
      </c>
      <c r="S1053" s="154">
        <f t="shared" si="99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95"/>
        <v>0</v>
      </c>
      <c r="M1054" s="154">
        <f t="shared" si="96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97"/>
        <v>0</v>
      </c>
      <c r="R1054" s="153">
        <f t="shared" si="98"/>
        <v>0</v>
      </c>
      <c r="S1054" s="154">
        <f t="shared" si="99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5" spans="1:24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95"/>
        <v>0</v>
      </c>
      <c r="M1055" s="154">
        <f t="shared" si="96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97"/>
        <v>0</v>
      </c>
      <c r="R1055" s="153">
        <f t="shared" si="98"/>
        <v>0</v>
      </c>
      <c r="S1055" s="154">
        <f t="shared" si="99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  <c r="X1055" s="156" t="e">
        <f>+VLOOKUP($L1055,Data_Validation!$A:$F,6,0)</f>
        <v>#N/A</v>
      </c>
    </row>
  </sheetData>
  <autoFilter ref="A1:X1055" xr:uid="{00000000-0009-0000-0000-000007000000}"/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458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4" t="s">
        <v>2205</v>
      </c>
      <c r="B2" s="1014" t="s">
        <v>2206</v>
      </c>
      <c r="C2" s="1015"/>
      <c r="D2" s="1015"/>
      <c r="E2" s="1015"/>
      <c r="F2" s="1014" t="s">
        <v>1</v>
      </c>
      <c r="G2" s="1014" t="s">
        <v>2207</v>
      </c>
      <c r="H2" s="1015"/>
      <c r="I2" s="1016">
        <v>9933</v>
      </c>
      <c r="J2" s="1016">
        <v>0</v>
      </c>
      <c r="K2" s="1016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customHeight="1">
      <c r="A3" s="1014" t="s">
        <v>2208</v>
      </c>
      <c r="B3" s="1014" t="s">
        <v>2209</v>
      </c>
      <c r="C3" s="1015"/>
      <c r="D3" s="1015"/>
      <c r="E3" s="1015"/>
      <c r="F3" s="1014" t="s">
        <v>1</v>
      </c>
      <c r="G3" s="1014" t="s">
        <v>2207</v>
      </c>
      <c r="H3" s="1015"/>
      <c r="I3" s="1016">
        <v>-43919</v>
      </c>
      <c r="J3" s="1016">
        <v>0</v>
      </c>
      <c r="K3" s="1016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-43919</v>
      </c>
      <c r="O3" s="575">
        <f>+IF(OR($Q3=Parametres!$G$2,$Q3=Parametres!$G$3),J3,D3)</f>
        <v>0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4" t="s">
        <v>2210</v>
      </c>
      <c r="B4" s="1014" t="s">
        <v>2211</v>
      </c>
      <c r="C4" s="1015"/>
      <c r="D4" s="1015"/>
      <c r="E4" s="1015"/>
      <c r="F4" s="1014" t="s">
        <v>1</v>
      </c>
      <c r="G4" s="1014" t="s">
        <v>2207</v>
      </c>
      <c r="H4" s="1015"/>
      <c r="I4" s="1016">
        <v>0</v>
      </c>
      <c r="J4" s="1016">
        <v>2859</v>
      </c>
      <c r="K4" s="1016">
        <v>2859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0</v>
      </c>
      <c r="O4" s="575">
        <f>+IF(OR($Q4=Parametres!$G$2,$Q4=Parametres!$G$3),J4,D4)</f>
        <v>2859</v>
      </c>
      <c r="P4" s="155">
        <f>+IF(OR($Q4=Parametres!$G$2,$Q4=Parametres!$G$3),K4,E4)</f>
        <v>2859</v>
      </c>
      <c r="Q4" s="154" t="str">
        <f t="shared" si="2"/>
        <v>1-Mémo</v>
      </c>
      <c r="R4" s="153" t="str">
        <f t="shared" si="2"/>
        <v>1</v>
      </c>
      <c r="S4" s="154">
        <f t="shared" si="2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4" t="s">
        <v>2228</v>
      </c>
      <c r="B5" s="1014" t="s">
        <v>2229</v>
      </c>
      <c r="C5" s="1015"/>
      <c r="D5" s="1015"/>
      <c r="E5" s="1015"/>
      <c r="F5" s="1014" t="s">
        <v>1</v>
      </c>
      <c r="G5" s="1014" t="s">
        <v>2230</v>
      </c>
      <c r="H5" s="1015"/>
      <c r="I5" s="1016">
        <v>2.0699999999999998</v>
      </c>
      <c r="J5" s="1016">
        <v>2.3199999999999998</v>
      </c>
      <c r="K5" s="1016">
        <v>4.3899999999999997</v>
      </c>
      <c r="L5" s="153" t="str">
        <f t="shared" si="0"/>
        <v>229</v>
      </c>
      <c r="M5" s="154" t="str">
        <f t="shared" si="1"/>
        <v>CUMUL. VIS. CARR. VW</v>
      </c>
      <c r="N5" s="155">
        <f>+IF(OR($Q5=Parametres!$G$2,$Q5=Parametres!$G$3),I5,C5)</f>
        <v>2.0699999999999998</v>
      </c>
      <c r="O5" s="575">
        <f>+IF(OR($Q5=Parametres!$G$2,$Q5=Parametres!$G$3),J5,D5)</f>
        <v>2.3199999999999998</v>
      </c>
      <c r="P5" s="155">
        <f>+IF(OR($Q5=Parametres!$G$2,$Q5=Parametres!$G$3),K5,E5)</f>
        <v>4.3899999999999997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229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14" t="s">
        <v>2231</v>
      </c>
      <c r="B6" s="1014" t="s">
        <v>2232</v>
      </c>
      <c r="C6" s="1015"/>
      <c r="D6" s="1015"/>
      <c r="E6" s="1015"/>
      <c r="F6" s="1014" t="s">
        <v>1</v>
      </c>
      <c r="G6" s="1014" t="s">
        <v>2230</v>
      </c>
      <c r="H6" s="1015"/>
      <c r="I6" s="1016">
        <v>23.83</v>
      </c>
      <c r="J6" s="1016">
        <v>24.03</v>
      </c>
      <c r="K6" s="1016">
        <v>47.86</v>
      </c>
      <c r="L6" s="153" t="str">
        <f t="shared" si="0"/>
        <v>230</v>
      </c>
      <c r="M6" s="154" t="str">
        <f t="shared" si="1"/>
        <v>CUMUL. VIS. VEH. SERV. VW</v>
      </c>
      <c r="N6" s="155">
        <f>+IF(OR($Q6=Parametres!$G$2,$Q6=Parametres!$G$3),I6,C6)</f>
        <v>23.83</v>
      </c>
      <c r="O6" s="155">
        <f>+IF(OR($Q6=Parametres!$G$2,$Q6=Parametres!$G$3),J6,D6)</f>
        <v>24.03</v>
      </c>
      <c r="P6" s="155">
        <f>+IF(OR($Q6=Parametres!$G$2,$Q6=Parametres!$G$3),K6,E6)</f>
        <v>47.86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230</v>
      </c>
      <c r="U6" s="156">
        <f>+VLOOKUP($L6,Data_Validation!$A:$D,3,0)</f>
        <v>0</v>
      </c>
      <c r="V6" s="156">
        <f>+VLOOKUP($L6,Data_Validation!$A:$D,4,0)</f>
        <v>0</v>
      </c>
      <c r="W6" s="156" t="str">
        <f>+VLOOKUP($L6,Data_Validation!$A:$E,5,0)</f>
        <v>$</v>
      </c>
      <c r="X6" s="156">
        <f>+VLOOKUP($L6,Data_Validation!$A:$F,6,0)</f>
        <v>0</v>
      </c>
    </row>
    <row r="7" spans="1:24" ht="15" customHeight="1">
      <c r="A7" s="1014" t="s">
        <v>2233</v>
      </c>
      <c r="B7" s="1014" t="s">
        <v>2234</v>
      </c>
      <c r="C7" s="1015"/>
      <c r="D7" s="1015"/>
      <c r="E7" s="1015"/>
      <c r="F7" s="1014" t="s">
        <v>1</v>
      </c>
      <c r="G7" s="1014" t="s">
        <v>2230</v>
      </c>
      <c r="H7" s="1015"/>
      <c r="I7" s="1016">
        <v>46.78</v>
      </c>
      <c r="J7" s="1016">
        <v>21.42</v>
      </c>
      <c r="K7" s="1016">
        <v>68.2</v>
      </c>
      <c r="L7" s="153" t="str">
        <f t="shared" si="0"/>
        <v>234</v>
      </c>
      <c r="M7" s="154" t="str">
        <f t="shared" si="1"/>
        <v>TOTAL HRES PROD. SERVICE</v>
      </c>
      <c r="N7" s="155">
        <f>+IF(OR($Q7=Parametres!$G$2,$Q7=Parametres!$G$3),I7,C7)</f>
        <v>46.78</v>
      </c>
      <c r="O7" s="575">
        <f>+IF(OR($Q7=Parametres!$G$2,$Q7=Parametres!$G$3),J7,D7)</f>
        <v>21.42</v>
      </c>
      <c r="P7" s="155">
        <f>+IF(OR($Q7=Parametres!$G$2,$Q7=Parametres!$G$3),K7,E7)</f>
        <v>68.2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234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4" t="s">
        <v>2235</v>
      </c>
      <c r="B8" s="1014" t="s">
        <v>2236</v>
      </c>
      <c r="C8" s="1015"/>
      <c r="D8" s="1015"/>
      <c r="E8" s="1015"/>
      <c r="F8" s="1014" t="s">
        <v>1</v>
      </c>
      <c r="G8" s="1014" t="s">
        <v>2230</v>
      </c>
      <c r="H8" s="1015"/>
      <c r="I8" s="1016">
        <v>29.71</v>
      </c>
      <c r="J8" s="1016">
        <v>16.07</v>
      </c>
      <c r="K8" s="1016">
        <v>45.78</v>
      </c>
      <c r="L8" s="153" t="str">
        <f t="shared" si="0"/>
        <v>236</v>
      </c>
      <c r="M8" s="154" t="str">
        <f t="shared" si="1"/>
        <v>HEURES VENDU VW - SERVICE</v>
      </c>
      <c r="N8" s="155">
        <f>+IF(OR($Q8=Parametres!$G$2,$Q8=Parametres!$G$3),I8,C8)</f>
        <v>29.71</v>
      </c>
      <c r="O8" s="575">
        <f>+IF(OR($Q8=Parametres!$G$2,$Q8=Parametres!$G$3),J8,D8)</f>
        <v>16.07</v>
      </c>
      <c r="P8" s="155">
        <f>+IF(OR($Q8=Parametres!$G$2,$Q8=Parametres!$G$3),K8,E8)</f>
        <v>45.78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236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4" t="s">
        <v>2237</v>
      </c>
      <c r="B9" s="1014" t="s">
        <v>2238</v>
      </c>
      <c r="C9" s="1015"/>
      <c r="D9" s="1015"/>
      <c r="E9" s="1015"/>
      <c r="F9" s="1014" t="s">
        <v>1</v>
      </c>
      <c r="G9" s="1014" t="s">
        <v>2230</v>
      </c>
      <c r="H9" s="1015"/>
      <c r="I9" s="1016">
        <v>55.04</v>
      </c>
      <c r="J9" s="1016">
        <v>25.2</v>
      </c>
      <c r="K9" s="1016">
        <v>80.239999999999995</v>
      </c>
      <c r="L9" s="153" t="str">
        <f t="shared" si="0"/>
        <v>238</v>
      </c>
      <c r="M9" s="154" t="str">
        <f t="shared" si="1"/>
        <v>TOT. HEURES DISP. SERVICE</v>
      </c>
      <c r="N9" s="155">
        <f>+IF(OR($Q9=Parametres!$G$2,$Q9=Parametres!$G$3),I9,C9)</f>
        <v>55.04</v>
      </c>
      <c r="O9" s="575">
        <f>+IF(OR($Q9=Parametres!$G$2,$Q9=Parametres!$G$3),J9,D9)</f>
        <v>25.2</v>
      </c>
      <c r="P9" s="155">
        <f>+IF(OR($Q9=Parametres!$G$2,$Q9=Parametres!$G$3),K9,E9)</f>
        <v>80.239999999999995</v>
      </c>
      <c r="Q9" s="154" t="str">
        <f t="shared" si="2"/>
        <v>1-Mémo</v>
      </c>
      <c r="R9" s="153" t="str">
        <f t="shared" si="2"/>
        <v>23</v>
      </c>
      <c r="S9" s="154">
        <f t="shared" si="2"/>
        <v>0</v>
      </c>
      <c r="T9" s="156" t="str">
        <f>+VLOOKUP($L9,Data_Validation!$A:$D,1,0)</f>
        <v>238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4" t="s">
        <v>2239</v>
      </c>
      <c r="B10" s="1014" t="s">
        <v>2240</v>
      </c>
      <c r="C10" s="1015"/>
      <c r="D10" s="1015"/>
      <c r="E10" s="1015"/>
      <c r="F10" s="1014" t="s">
        <v>1</v>
      </c>
      <c r="G10" s="1014" t="s">
        <v>2241</v>
      </c>
      <c r="H10" s="1015"/>
      <c r="I10" s="1016">
        <v>125</v>
      </c>
      <c r="J10" s="1016">
        <v>0</v>
      </c>
      <c r="K10" s="1016">
        <v>125</v>
      </c>
      <c r="L10" s="153" t="str">
        <f t="shared" si="0"/>
        <v>243</v>
      </c>
      <c r="M10" s="154" t="str">
        <f t="shared" si="1"/>
        <v>TAUX M/O CLIENT VW</v>
      </c>
      <c r="N10" s="155">
        <f>+IF(OR($Q10=Parametres!$G$2,$Q10=Parametres!$G$3),I10,C10)</f>
        <v>125</v>
      </c>
      <c r="O10" s="576">
        <f>+IF(OR($Q10=Parametres!$G$2,$Q10=Parametres!$G$3),J10,D10)</f>
        <v>0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243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4" t="s">
        <v>2242</v>
      </c>
      <c r="B11" s="1014" t="s">
        <v>2243</v>
      </c>
      <c r="C11" s="1015"/>
      <c r="D11" s="1015"/>
      <c r="E11" s="1015"/>
      <c r="F11" s="1014" t="s">
        <v>1</v>
      </c>
      <c r="G11" s="1014" t="s">
        <v>2241</v>
      </c>
      <c r="H11" s="1015"/>
      <c r="I11" s="1016">
        <v>115.09</v>
      </c>
      <c r="J11" s="1016">
        <v>0</v>
      </c>
      <c r="K11" s="1016">
        <v>115.09</v>
      </c>
      <c r="L11" s="153" t="str">
        <f t="shared" si="0"/>
        <v>244</v>
      </c>
      <c r="M11" s="154" t="str">
        <f t="shared" si="1"/>
        <v>TAUX M/O GARANTIE VW</v>
      </c>
      <c r="N11" s="155">
        <f>+IF(OR($Q11=Parametres!$G$2,$Q11=Parametres!$G$3),I11,C11)</f>
        <v>115.09</v>
      </c>
      <c r="O11" s="155">
        <f>+IF(OR($Q11=Parametres!$G$2,$Q11=Parametres!$G$3),J11,D11)</f>
        <v>0</v>
      </c>
      <c r="P11" s="155">
        <f>+IF(OR($Q11=Parametres!$G$2,$Q11=Parametres!$G$3),K11,E11)</f>
        <v>115.09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244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4" t="s">
        <v>2244</v>
      </c>
      <c r="B12" s="1014" t="s">
        <v>2245</v>
      </c>
      <c r="C12" s="1015"/>
      <c r="D12" s="1015"/>
      <c r="E12" s="1015"/>
      <c r="F12" s="1014" t="s">
        <v>1</v>
      </c>
      <c r="G12" s="1014" t="s">
        <v>2241</v>
      </c>
      <c r="H12" s="1015"/>
      <c r="I12" s="1016">
        <v>125</v>
      </c>
      <c r="J12" s="1016">
        <v>0</v>
      </c>
      <c r="K12" s="1016">
        <v>125</v>
      </c>
      <c r="L12" s="153" t="str">
        <f t="shared" si="0"/>
        <v>245</v>
      </c>
      <c r="M12" s="154" t="str">
        <f t="shared" si="1"/>
        <v>TAUX M/O INTERNE VW</v>
      </c>
      <c r="N12" s="155">
        <f>+IF(OR($Q12=Parametres!$G$2,$Q12=Parametres!$G$3),I12,C12)</f>
        <v>125</v>
      </c>
      <c r="O12" s="155">
        <f>+IF(OR($Q12=Parametres!$G$2,$Q12=Parametres!$G$3),J12,D12)</f>
        <v>0</v>
      </c>
      <c r="P12" s="155">
        <f>+IF(OR($Q12=Parametres!$G$2,$Q12=Parametres!$G$3),K12,E12)</f>
        <v>125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4" t="s">
        <v>2246</v>
      </c>
      <c r="B13" s="1014" t="s">
        <v>2247</v>
      </c>
      <c r="C13" s="1015"/>
      <c r="D13" s="1015"/>
      <c r="E13" s="1015"/>
      <c r="F13" s="1014" t="s">
        <v>1</v>
      </c>
      <c r="G13" s="1014" t="s">
        <v>2241</v>
      </c>
      <c r="H13" s="1015"/>
      <c r="I13" s="1016">
        <v>60</v>
      </c>
      <c r="J13" s="1016">
        <v>0</v>
      </c>
      <c r="K13" s="1016">
        <v>60</v>
      </c>
      <c r="L13" s="153" t="str">
        <f t="shared" si="0"/>
        <v>246</v>
      </c>
      <c r="M13" s="154" t="str">
        <f t="shared" si="1"/>
        <v>TAUX M/O CARR. VW</v>
      </c>
      <c r="N13" s="155">
        <f>+IF(OR($Q13=Parametres!$G$2,$Q13=Parametres!$G$3),I13,C13)</f>
        <v>60</v>
      </c>
      <c r="O13" s="575">
        <f>+IF(OR($Q13=Parametres!$G$2,$Q13=Parametres!$G$3),J13,D13)</f>
        <v>0</v>
      </c>
      <c r="P13" s="155">
        <f>+IF(OR($Q13=Parametres!$G$2,$Q13=Parametres!$G$3),K13,E13)</f>
        <v>60</v>
      </c>
      <c r="Q13" s="154" t="str">
        <f t="shared" si="2"/>
        <v>1-Mémo</v>
      </c>
      <c r="R13" s="153" t="str">
        <f t="shared" si="2"/>
        <v>24</v>
      </c>
      <c r="S13" s="154">
        <f t="shared" si="2"/>
        <v>0</v>
      </c>
      <c r="T13" s="156" t="str">
        <f>+VLOOKUP($L13,Data_Validation!$A:$D,1,0)</f>
        <v>246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4" t="s">
        <v>2248</v>
      </c>
      <c r="B14" s="1014" t="s">
        <v>2249</v>
      </c>
      <c r="C14" s="1015"/>
      <c r="D14" s="1015"/>
      <c r="E14" s="1015"/>
      <c r="F14" s="1014" t="s">
        <v>1</v>
      </c>
      <c r="G14" s="1014" t="s">
        <v>2249</v>
      </c>
      <c r="H14" s="1015"/>
      <c r="I14" s="1016">
        <v>0.08</v>
      </c>
      <c r="J14" s="1016">
        <v>0</v>
      </c>
      <c r="K14" s="1016">
        <v>0.08</v>
      </c>
      <c r="L14" s="153" t="str">
        <f t="shared" si="0"/>
        <v>255</v>
      </c>
      <c r="M14" s="154" t="str">
        <f t="shared" si="1"/>
        <v>BAIES TRAVAIL PRODUCTIVES - SERVICE VW</v>
      </c>
      <c r="N14" s="155">
        <f>+IF(OR($Q14=Parametres!$G$2,$Q14=Parametres!$G$3),I14,C14)</f>
        <v>0.08</v>
      </c>
      <c r="O14" s="575">
        <f>+IF(OR($Q14=Parametres!$G$2,$Q14=Parametres!$G$3),J14,D14)</f>
        <v>0</v>
      </c>
      <c r="P14" s="155">
        <f>+IF(OR($Q14=Parametres!$G$2,$Q14=Parametres!$G$3),K14,E14)</f>
        <v>0.08</v>
      </c>
      <c r="Q14" s="154" t="str">
        <f t="shared" si="2"/>
        <v>1-Mémo</v>
      </c>
      <c r="R14" s="153" t="str">
        <f t="shared" si="2"/>
        <v>255</v>
      </c>
      <c r="S14" s="154">
        <f t="shared" si="2"/>
        <v>0</v>
      </c>
      <c r="T14" s="156" t="str">
        <f>+VLOOKUP($L14,Data_Validation!$A:$D,1,0)</f>
        <v>255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4" t="s">
        <v>2250</v>
      </c>
      <c r="B15" s="1014" t="s">
        <v>2251</v>
      </c>
      <c r="C15" s="1015"/>
      <c r="D15" s="1015"/>
      <c r="E15" s="1015"/>
      <c r="F15" s="1014" t="s">
        <v>1</v>
      </c>
      <c r="G15" s="1014" t="s">
        <v>2251</v>
      </c>
      <c r="H15" s="1015"/>
      <c r="I15" s="1016">
        <v>0</v>
      </c>
      <c r="J15" s="1016">
        <v>661</v>
      </c>
      <c r="K15" s="1016">
        <v>661</v>
      </c>
      <c r="L15" s="153" t="str">
        <f t="shared" si="0"/>
        <v>257</v>
      </c>
      <c r="M15" s="154" t="str">
        <f t="shared" si="1"/>
        <v>HEURES VENDUES - SERVICE - CLIENT VW</v>
      </c>
      <c r="N15" s="155">
        <f>+IF(OR($Q15=Parametres!$G$2,$Q15=Parametres!$G$3),I15,C15)</f>
        <v>0</v>
      </c>
      <c r="O15" s="575">
        <f>+IF(OR($Q15=Parametres!$G$2,$Q15=Parametres!$G$3),J15,D15)</f>
        <v>661</v>
      </c>
      <c r="P15" s="155">
        <f>+IF(OR($Q15=Parametres!$G$2,$Q15=Parametres!$G$3),K15,E15)</f>
        <v>661</v>
      </c>
      <c r="Q15" s="154" t="str">
        <f t="shared" si="2"/>
        <v>1-Mémo</v>
      </c>
      <c r="R15" s="153" t="str">
        <f t="shared" si="2"/>
        <v>257</v>
      </c>
      <c r="S15" s="154">
        <f t="shared" si="2"/>
        <v>0</v>
      </c>
      <c r="T15" s="156" t="str">
        <f>+VLOOKUP($L15,Data_Validation!$A:$D,1,0)</f>
        <v>257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4" t="s">
        <v>2252</v>
      </c>
      <c r="B16" s="1014" t="s">
        <v>2253</v>
      </c>
      <c r="C16" s="1015"/>
      <c r="D16" s="1015"/>
      <c r="E16" s="1015"/>
      <c r="F16" s="1014" t="s">
        <v>1</v>
      </c>
      <c r="G16" s="1014" t="s">
        <v>2251</v>
      </c>
      <c r="H16" s="1015"/>
      <c r="I16" s="1016">
        <v>0</v>
      </c>
      <c r="J16" s="1016">
        <v>438</v>
      </c>
      <c r="K16" s="1016">
        <v>438</v>
      </c>
      <c r="L16" s="153" t="str">
        <f t="shared" si="0"/>
        <v>258</v>
      </c>
      <c r="M16" s="154" t="str">
        <f t="shared" si="1"/>
        <v>HEURES VENDUES - SERVICE - GARANTIE VW</v>
      </c>
      <c r="N16" s="155">
        <f>+IF(OR($Q16=Parametres!$G$2,$Q16=Parametres!$G$3),I16,C16)</f>
        <v>0</v>
      </c>
      <c r="O16" s="575">
        <f>+IF(OR($Q16=Parametres!$G$2,$Q16=Parametres!$G$3),J16,D16)</f>
        <v>438</v>
      </c>
      <c r="P16" s="155">
        <f>+IF(OR($Q16=Parametres!$G$2,$Q16=Parametres!$G$3),K16,E16)</f>
        <v>438</v>
      </c>
      <c r="Q16" s="154" t="str">
        <f t="shared" si="2"/>
        <v>1-Mémo</v>
      </c>
      <c r="R16" s="153" t="str">
        <f t="shared" si="2"/>
        <v>257</v>
      </c>
      <c r="S16" s="154">
        <f t="shared" si="2"/>
        <v>0</v>
      </c>
      <c r="T16" s="156" t="str">
        <f>+VLOOKUP($L16,Data_Validation!$A:$D,1,0)</f>
        <v>258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4" t="s">
        <v>2254</v>
      </c>
      <c r="B17" s="1014" t="s">
        <v>2255</v>
      </c>
      <c r="C17" s="1015"/>
      <c r="D17" s="1015"/>
      <c r="E17" s="1015"/>
      <c r="F17" s="1014" t="s">
        <v>1</v>
      </c>
      <c r="G17" s="1014" t="s">
        <v>2251</v>
      </c>
      <c r="H17" s="1015"/>
      <c r="I17" s="1016">
        <v>0</v>
      </c>
      <c r="J17" s="1016">
        <v>507</v>
      </c>
      <c r="K17" s="1016">
        <v>507</v>
      </c>
      <c r="L17" s="153" t="str">
        <f t="shared" si="0"/>
        <v>259</v>
      </c>
      <c r="M17" s="154" t="str">
        <f t="shared" si="1"/>
        <v>HEURES VENDUES - SERVICE - INTERNE VW</v>
      </c>
      <c r="N17" s="155">
        <f>+IF(OR($Q17=Parametres!$G$2,$Q17=Parametres!$G$3),I17,C17)</f>
        <v>0</v>
      </c>
      <c r="O17" s="575">
        <f>+IF(OR($Q17=Parametres!$G$2,$Q17=Parametres!$G$3),J17,D17)</f>
        <v>507</v>
      </c>
      <c r="P17" s="155">
        <f>+IF(OR($Q17=Parametres!$G$2,$Q17=Parametres!$G$3),K17,E17)</f>
        <v>507</v>
      </c>
      <c r="Q17" s="154" t="str">
        <f t="shared" si="2"/>
        <v>1-Mémo</v>
      </c>
      <c r="R17" s="153" t="str">
        <f t="shared" si="2"/>
        <v>257</v>
      </c>
      <c r="S17" s="154">
        <f t="shared" si="2"/>
        <v>0</v>
      </c>
      <c r="T17" s="156" t="str">
        <f>+VLOOKUP($L17,Data_Validation!$A:$D,1,0)</f>
        <v>259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4" t="s">
        <v>2256</v>
      </c>
      <c r="B18" s="1014" t="s">
        <v>2257</v>
      </c>
      <c r="C18" s="1015"/>
      <c r="D18" s="1015"/>
      <c r="E18" s="1015"/>
      <c r="F18" s="1014" t="s">
        <v>1</v>
      </c>
      <c r="G18" s="1014" t="s">
        <v>2211</v>
      </c>
      <c r="H18" s="1015"/>
      <c r="I18" s="1016">
        <v>195.95</v>
      </c>
      <c r="J18" s="1016">
        <v>0</v>
      </c>
      <c r="K18" s="1016">
        <v>195.95</v>
      </c>
      <c r="L18" s="153" t="str">
        <f t="shared" si="0"/>
        <v>300</v>
      </c>
      <c r="M18" s="154" t="str">
        <f t="shared" si="1"/>
        <v>REC VEH PASSE DU 30-60</v>
      </c>
      <c r="N18" s="155">
        <f>+IF(OR($Q18=Parametres!$G$2,$Q18=Parametres!$G$3),I18,C18)</f>
        <v>195.95</v>
      </c>
      <c r="O18" s="155">
        <f>+IF(OR($Q18=Parametres!$G$2,$Q18=Parametres!$G$3),J18,D18)</f>
        <v>0</v>
      </c>
      <c r="P18" s="155">
        <f>+IF(OR($Q18=Parametres!$G$2,$Q18=Parametres!$G$3),K18,E18)</f>
        <v>195.95</v>
      </c>
      <c r="Q18" s="154" t="str">
        <f t="shared" ref="Q18:S33" si="3">+F18</f>
        <v>1-Mémo</v>
      </c>
      <c r="R18" s="153" t="str">
        <f t="shared" si="3"/>
        <v>30</v>
      </c>
      <c r="S18" s="154">
        <f t="shared" si="3"/>
        <v>0</v>
      </c>
      <c r="T18" s="156" t="str">
        <f>+VLOOKUP($L18,Data_Validation!$A:$D,1,0)</f>
        <v>300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4" t="s">
        <v>2258</v>
      </c>
      <c r="B19" s="1014" t="s">
        <v>2259</v>
      </c>
      <c r="C19" s="1015"/>
      <c r="D19" s="1015"/>
      <c r="E19" s="1015"/>
      <c r="F19" s="1014" t="s">
        <v>1</v>
      </c>
      <c r="G19" s="1014" t="s">
        <v>2211</v>
      </c>
      <c r="H19" s="1015"/>
      <c r="I19" s="1016">
        <v>77256.479999999996</v>
      </c>
      <c r="J19" s="1016">
        <v>31988.98</v>
      </c>
      <c r="K19" s="1016">
        <v>109245.46</v>
      </c>
      <c r="L19" s="153" t="str">
        <f t="shared" si="0"/>
        <v>301</v>
      </c>
      <c r="M19" s="154" t="str">
        <f t="shared" si="1"/>
        <v>CLIENT S P ET A PASSE DU 30-60</v>
      </c>
      <c r="N19" s="155">
        <f>+IF(OR($Q19=Parametres!$G$2,$Q19=Parametres!$G$3),I19,C19)</f>
        <v>77256.479999999996</v>
      </c>
      <c r="O19" s="575">
        <f>+IF(OR($Q19=Parametres!$G$2,$Q19=Parametres!$G$3),J19,D19)</f>
        <v>31988.98</v>
      </c>
      <c r="P19" s="155">
        <f>+IF(OR($Q19=Parametres!$G$2,$Q19=Parametres!$G$3),K19,E19)</f>
        <v>109245.46</v>
      </c>
      <c r="Q19" s="154" t="str">
        <f t="shared" si="3"/>
        <v>1-Mémo</v>
      </c>
      <c r="R19" s="153" t="str">
        <f t="shared" si="3"/>
        <v>30</v>
      </c>
      <c r="S19" s="154">
        <f t="shared" si="3"/>
        <v>0</v>
      </c>
      <c r="T19" s="156" t="str">
        <f>+VLOOKUP($L19,Data_Validation!$A:$D,1,0)</f>
        <v>301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4" t="s">
        <v>2260</v>
      </c>
      <c r="B20" s="1014" t="s">
        <v>2261</v>
      </c>
      <c r="C20" s="1015"/>
      <c r="D20" s="1015"/>
      <c r="E20" s="1015"/>
      <c r="F20" s="1014" t="s">
        <v>1</v>
      </c>
      <c r="G20" s="1014" t="s">
        <v>2211</v>
      </c>
      <c r="H20" s="1015"/>
      <c r="I20" s="1016">
        <v>36770.67</v>
      </c>
      <c r="J20" s="1016">
        <v>16488.52</v>
      </c>
      <c r="K20" s="1016">
        <v>53259.19</v>
      </c>
      <c r="L20" s="153" t="str">
        <f t="shared" si="0"/>
        <v>302</v>
      </c>
      <c r="M20" s="154" t="str">
        <f t="shared" si="1"/>
        <v>RECLAM GARANTIE VW PASSE DU 30-60</v>
      </c>
      <c r="N20" s="155">
        <f>+IF(OR($Q20=Parametres!$G$2,$Q20=Parametres!$G$3),I20,C20)</f>
        <v>36770.67</v>
      </c>
      <c r="O20" s="575">
        <f>+IF(OR($Q20=Parametres!$G$2,$Q20=Parametres!$G$3),J20,D20)</f>
        <v>16488.52</v>
      </c>
      <c r="P20" s="155">
        <f>+IF(OR($Q20=Parametres!$G$2,$Q20=Parametres!$G$3),K20,E20)</f>
        <v>53259.19</v>
      </c>
      <c r="Q20" s="154" t="str">
        <f t="shared" si="3"/>
        <v>1-Mémo</v>
      </c>
      <c r="R20" s="153" t="str">
        <f t="shared" si="3"/>
        <v>30</v>
      </c>
      <c r="S20" s="154">
        <f t="shared" si="3"/>
        <v>0</v>
      </c>
      <c r="T20" s="156" t="str">
        <f>+VLOOKUP($L20,Data_Validation!$A:$D,1,0)</f>
        <v>302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4" t="s">
        <v>2262</v>
      </c>
      <c r="B21" s="1014" t="s">
        <v>2263</v>
      </c>
      <c r="C21" s="1015"/>
      <c r="D21" s="1015"/>
      <c r="E21" s="1015"/>
      <c r="F21" s="1014" t="s">
        <v>1</v>
      </c>
      <c r="G21" s="1014" t="s">
        <v>2211</v>
      </c>
      <c r="H21" s="1015"/>
      <c r="I21" s="1016">
        <v>129412.43</v>
      </c>
      <c r="J21" s="1016">
        <v>0</v>
      </c>
      <c r="K21" s="1016">
        <v>129412.43</v>
      </c>
      <c r="L21" s="153" t="str">
        <f t="shared" si="0"/>
        <v>307</v>
      </c>
      <c r="M21" s="154" t="str">
        <f t="shared" si="1"/>
        <v>AUTRE REC MANUFACTURIER VW PASSE DU 30-60</v>
      </c>
      <c r="N21" s="155">
        <f>+IF(OR($Q21=Parametres!$G$2,$Q21=Parametres!$G$3),I21,C21)</f>
        <v>129412.43</v>
      </c>
      <c r="O21" s="155">
        <f>+IF(OR($Q21=Parametres!$G$2,$Q21=Parametres!$G$3),J21,D21)</f>
        <v>0</v>
      </c>
      <c r="P21" s="155">
        <f>+IF(OR($Q21=Parametres!$G$2,$Q21=Parametres!$G$3),K21,E21)</f>
        <v>129412.43</v>
      </c>
      <c r="Q21" s="154" t="str">
        <f t="shared" si="3"/>
        <v>1-Mémo</v>
      </c>
      <c r="R21" s="153" t="str">
        <f t="shared" si="3"/>
        <v>30</v>
      </c>
      <c r="S21" s="154">
        <f t="shared" si="3"/>
        <v>0</v>
      </c>
      <c r="T21" s="156" t="str">
        <f>+VLOOKUP($L21,Data_Validation!$A:$D,1,0)</f>
        <v>307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4" t="s">
        <v>2264</v>
      </c>
      <c r="B22" s="1014" t="s">
        <v>2265</v>
      </c>
      <c r="C22" s="1015"/>
      <c r="D22" s="1015"/>
      <c r="E22" s="1015"/>
      <c r="F22" s="1014" t="s">
        <v>1</v>
      </c>
      <c r="G22" s="1014" t="s">
        <v>2266</v>
      </c>
      <c r="H22" s="1015"/>
      <c r="I22" s="1016">
        <v>27348.59</v>
      </c>
      <c r="J22" s="1016">
        <v>16534.62</v>
      </c>
      <c r="K22" s="1016">
        <v>43883.21</v>
      </c>
      <c r="L22" s="153" t="str">
        <f t="shared" si="0"/>
        <v>311</v>
      </c>
      <c r="M22" s="154" t="str">
        <f t="shared" si="1"/>
        <v>CLIENT VEH PLUS DE 60</v>
      </c>
      <c r="N22" s="155">
        <f>+IF(OR($Q22=Parametres!$G$2,$Q22=Parametres!$G$3),I22,C22)</f>
        <v>27348.59</v>
      </c>
      <c r="O22" s="575">
        <f>+IF(OR($Q22=Parametres!$G$2,$Q22=Parametres!$G$3),J22,D22)</f>
        <v>16534.62</v>
      </c>
      <c r="P22" s="155">
        <f>+IF(OR($Q22=Parametres!$G$2,$Q22=Parametres!$G$3),K22,E22)</f>
        <v>43883.21</v>
      </c>
      <c r="Q22" s="154" t="str">
        <f t="shared" si="3"/>
        <v>1-Mémo</v>
      </c>
      <c r="R22" s="153" t="str">
        <f t="shared" si="3"/>
        <v>31</v>
      </c>
      <c r="S22" s="154">
        <f t="shared" si="3"/>
        <v>0</v>
      </c>
      <c r="T22" s="156" t="str">
        <f>+VLOOKUP($L22,Data_Validation!$A:$D,1,0)</f>
        <v>311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4" t="s">
        <v>2267</v>
      </c>
      <c r="B23" s="1014" t="s">
        <v>2268</v>
      </c>
      <c r="C23" s="1015"/>
      <c r="D23" s="1015"/>
      <c r="E23" s="1015"/>
      <c r="F23" s="1014" t="s">
        <v>1</v>
      </c>
      <c r="G23" s="1014" t="s">
        <v>2266</v>
      </c>
      <c r="H23" s="1015"/>
      <c r="I23" s="1016">
        <v>10885.18</v>
      </c>
      <c r="J23" s="1016">
        <v>30184.32</v>
      </c>
      <c r="K23" s="1016">
        <v>41069.5</v>
      </c>
      <c r="L23" s="153" t="str">
        <f t="shared" si="0"/>
        <v>312</v>
      </c>
      <c r="M23" s="154" t="str">
        <f t="shared" si="1"/>
        <v>CLIENT S P ET A PLUS DE 60</v>
      </c>
      <c r="N23" s="155">
        <f>+IF(OR($Q23=Parametres!$G$2,$Q23=Parametres!$G$3),I23,C23)</f>
        <v>10885.18</v>
      </c>
      <c r="O23" s="575">
        <f>+IF(OR($Q23=Parametres!$G$2,$Q23=Parametres!$G$3),J23,D23)</f>
        <v>30184.32</v>
      </c>
      <c r="P23" s="155">
        <f>+IF(OR($Q23=Parametres!$G$2,$Q23=Parametres!$G$3),K23,E23)</f>
        <v>41069.5</v>
      </c>
      <c r="Q23" s="154" t="str">
        <f t="shared" si="3"/>
        <v>1-Mémo</v>
      </c>
      <c r="R23" s="153" t="str">
        <f t="shared" si="3"/>
        <v>31</v>
      </c>
      <c r="S23" s="154">
        <f t="shared" si="3"/>
        <v>0</v>
      </c>
      <c r="T23" s="156" t="str">
        <f>+VLOOKUP($L23,Data_Validation!$A:$D,1,0)</f>
        <v>312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4" t="s">
        <v>2269</v>
      </c>
      <c r="B24" s="1014" t="s">
        <v>2270</v>
      </c>
      <c r="C24" s="1015"/>
      <c r="D24" s="1015"/>
      <c r="E24" s="1015"/>
      <c r="F24" s="1014" t="s">
        <v>1</v>
      </c>
      <c r="G24" s="1014" t="s">
        <v>2266</v>
      </c>
      <c r="H24" s="1015"/>
      <c r="I24" s="1016">
        <v>88496.68</v>
      </c>
      <c r="J24" s="1016">
        <v>51410.28</v>
      </c>
      <c r="K24" s="1016">
        <v>139906.96</v>
      </c>
      <c r="L24" s="153" t="str">
        <f t="shared" si="0"/>
        <v>313</v>
      </c>
      <c r="M24" s="154" t="str">
        <f t="shared" si="1"/>
        <v>RECLAMATIONS DE GARATIE VW PLUS DE 60</v>
      </c>
      <c r="N24" s="155">
        <f>+IF(OR($Q24=Parametres!$G$2,$Q24=Parametres!$G$3),I24,C24)</f>
        <v>88496.68</v>
      </c>
      <c r="O24" s="575">
        <f>+IF(OR($Q24=Parametres!$G$2,$Q24=Parametres!$G$3),J24,D24)</f>
        <v>51410.28</v>
      </c>
      <c r="P24" s="155">
        <f>+IF(OR($Q24=Parametres!$G$2,$Q24=Parametres!$G$3),K24,E24)</f>
        <v>139906.96</v>
      </c>
      <c r="Q24" s="154" t="str">
        <f t="shared" si="3"/>
        <v>1-Mémo</v>
      </c>
      <c r="R24" s="153" t="str">
        <f t="shared" si="3"/>
        <v>31</v>
      </c>
      <c r="S24" s="154">
        <f t="shared" si="3"/>
        <v>0</v>
      </c>
      <c r="T24" s="156" t="str">
        <f>+VLOOKUP($L24,Data_Validation!$A:$D,1,0)</f>
        <v>313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4" t="s">
        <v>2271</v>
      </c>
      <c r="B25" s="1014" t="s">
        <v>2272</v>
      </c>
      <c r="C25" s="1015"/>
      <c r="D25" s="1015"/>
      <c r="E25" s="1015"/>
      <c r="F25" s="1014" t="s">
        <v>1</v>
      </c>
      <c r="G25" s="1014" t="s">
        <v>2266</v>
      </c>
      <c r="H25" s="1015"/>
      <c r="I25" s="1016">
        <v>78088.05</v>
      </c>
      <c r="J25" s="1016">
        <v>45171.81</v>
      </c>
      <c r="K25" s="1016">
        <v>123259.86</v>
      </c>
      <c r="L25" s="153" t="str">
        <f t="shared" si="0"/>
        <v>316</v>
      </c>
      <c r="M25" s="154" t="str">
        <f t="shared" si="1"/>
        <v>AUTRE REC MANUFACTURIER VW PLUS DE 60</v>
      </c>
      <c r="N25" s="155">
        <f>+IF(OR($Q25=Parametres!$G$2,$Q25=Parametres!$G$3),I25,C25)</f>
        <v>78088.05</v>
      </c>
      <c r="O25" s="575">
        <f>+IF(OR($Q25=Parametres!$G$2,$Q25=Parametres!$G$3),J25,D25)</f>
        <v>45171.81</v>
      </c>
      <c r="P25" s="155">
        <f>+IF(OR($Q25=Parametres!$G$2,$Q25=Parametres!$G$3),K25,E25)</f>
        <v>123259.86</v>
      </c>
      <c r="Q25" s="154" t="str">
        <f t="shared" si="3"/>
        <v>1-Mémo</v>
      </c>
      <c r="R25" s="153" t="str">
        <f t="shared" si="3"/>
        <v>31</v>
      </c>
      <c r="S25" s="154">
        <f t="shared" si="3"/>
        <v>0</v>
      </c>
      <c r="T25" s="156" t="str">
        <f>+VLOOKUP($L25,Data_Validation!$A:$D,1,0)</f>
        <v>316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4" t="s">
        <v>2938</v>
      </c>
      <c r="B26" s="1014" t="s">
        <v>2939</v>
      </c>
      <c r="C26" s="1015"/>
      <c r="D26" s="1015"/>
      <c r="E26" s="1015"/>
      <c r="F26" s="1014" t="s">
        <v>1</v>
      </c>
      <c r="G26" s="1014" t="s">
        <v>2940</v>
      </c>
      <c r="H26" s="1015"/>
      <c r="I26" s="1016">
        <v>0</v>
      </c>
      <c r="J26" s="1016">
        <v>1474130</v>
      </c>
      <c r="K26" s="1016">
        <v>1474130</v>
      </c>
      <c r="L26" s="153" t="str">
        <f t="shared" si="0"/>
        <v>320</v>
      </c>
      <c r="M26" s="154" t="str">
        <f t="shared" si="1"/>
        <v>UNITES NEUVES-VW EN INV.</v>
      </c>
      <c r="N26" s="155">
        <f>+IF(OR($Q26=Parametres!$G$2,$Q26=Parametres!$G$3),I26,C26)</f>
        <v>0</v>
      </c>
      <c r="O26" s="575">
        <f>+IF(OR($Q26=Parametres!$G$2,$Q26=Parametres!$G$3),J26,D26)</f>
        <v>1474130</v>
      </c>
      <c r="P26" s="155">
        <f>+IF(OR($Q26=Parametres!$G$2,$Q26=Parametres!$G$3),K26,E26)</f>
        <v>1474130</v>
      </c>
      <c r="Q26" s="154" t="str">
        <f t="shared" si="3"/>
        <v>1-Mémo</v>
      </c>
      <c r="R26" s="153" t="str">
        <f t="shared" si="3"/>
        <v>32</v>
      </c>
      <c r="S26" s="154">
        <f t="shared" si="3"/>
        <v>0</v>
      </c>
      <c r="T26" s="156" t="e">
        <f>+VLOOKUP($L26,Data_Validation!$A:$D,1,0)</f>
        <v>#N/A</v>
      </c>
      <c r="U26" s="156" t="e">
        <f>+VLOOKUP($L26,Data_Validation!$A:$D,3,0)</f>
        <v>#N/A</v>
      </c>
      <c r="V26" s="156" t="e">
        <f>+VLOOKUP($L26,Data_Validation!$A:$D,4,0)</f>
        <v>#N/A</v>
      </c>
      <c r="W26" s="156" t="e">
        <f>+VLOOKUP($L26,Data_Validation!$A:$E,5,0)</f>
        <v>#N/A</v>
      </c>
      <c r="X26" s="156" t="e">
        <f>+VLOOKUP($L26,Data_Validation!$A:$F,6,0)</f>
        <v>#N/A</v>
      </c>
    </row>
    <row r="27" spans="1:24" ht="15" customHeight="1">
      <c r="A27" s="1014" t="s">
        <v>2941</v>
      </c>
      <c r="B27" s="1014" t="s">
        <v>2942</v>
      </c>
      <c r="C27" s="1015"/>
      <c r="D27" s="1015"/>
      <c r="E27" s="1015"/>
      <c r="F27" s="1014" t="s">
        <v>1</v>
      </c>
      <c r="G27" s="1014" t="s">
        <v>2940</v>
      </c>
      <c r="H27" s="1015"/>
      <c r="I27" s="1016">
        <v>0</v>
      </c>
      <c r="J27" s="1016">
        <v>0.47</v>
      </c>
      <c r="K27" s="1016">
        <v>0.47</v>
      </c>
      <c r="L27" s="153" t="str">
        <f t="shared" si="0"/>
        <v>329</v>
      </c>
      <c r="M27" s="154" t="str">
        <f t="shared" si="1"/>
        <v>UNITES NEUVES-A.M. EN INV.</v>
      </c>
      <c r="N27" s="155">
        <f>+IF(OR($Q27=Parametres!$G$2,$Q27=Parametres!$G$3),I27,C27)</f>
        <v>0</v>
      </c>
      <c r="O27" s="575">
        <f>+IF(OR($Q27=Parametres!$G$2,$Q27=Parametres!$G$3),J27,D27)</f>
        <v>0.47</v>
      </c>
      <c r="P27" s="155">
        <f>+IF(OR($Q27=Parametres!$G$2,$Q27=Parametres!$G$3),K27,E27)</f>
        <v>0.47</v>
      </c>
      <c r="Q27" s="154" t="str">
        <f t="shared" si="3"/>
        <v>1-Mémo</v>
      </c>
      <c r="R27" s="153" t="str">
        <f t="shared" si="3"/>
        <v>32</v>
      </c>
      <c r="S27" s="154">
        <f t="shared" si="3"/>
        <v>0</v>
      </c>
      <c r="T27" s="156" t="e">
        <f>+VLOOKUP($L27,Data_Validation!$A:$D,1,0)</f>
        <v>#N/A</v>
      </c>
      <c r="U27" s="156" t="e">
        <f>+VLOOKUP($L27,Data_Validation!$A:$D,3,0)</f>
        <v>#N/A</v>
      </c>
      <c r="V27" s="156" t="e">
        <f>+VLOOKUP($L27,Data_Validation!$A:$D,4,0)</f>
        <v>#N/A</v>
      </c>
      <c r="W27" s="156" t="e">
        <f>+VLOOKUP($L27,Data_Validation!$A:$E,5,0)</f>
        <v>#N/A</v>
      </c>
      <c r="X27" s="156" t="e">
        <f>+VLOOKUP($L27,Data_Validation!$A:$F,6,0)</f>
        <v>#N/A</v>
      </c>
    </row>
    <row r="28" spans="1:24" ht="15" customHeight="1">
      <c r="A28" s="1014" t="s">
        <v>2273</v>
      </c>
      <c r="B28" s="1014" t="s">
        <v>2274</v>
      </c>
      <c r="C28" s="1015"/>
      <c r="D28" s="1015"/>
      <c r="E28" s="1015"/>
      <c r="F28" s="1014" t="s">
        <v>1</v>
      </c>
      <c r="G28" s="1014" t="s">
        <v>2275</v>
      </c>
      <c r="H28" s="1015"/>
      <c r="I28" s="1016">
        <v>0.88</v>
      </c>
      <c r="J28" s="1016">
        <v>0.06</v>
      </c>
      <c r="K28" s="1016">
        <v>0.94</v>
      </c>
      <c r="L28" s="153" t="str">
        <f t="shared" si="0"/>
        <v>350</v>
      </c>
      <c r="M28" s="154" t="str">
        <f t="shared" si="1"/>
        <v>UNITES USAGES +30JRS</v>
      </c>
      <c r="N28" s="155">
        <f>+IF(OR($Q28=Parametres!$G$2,$Q28=Parametres!$G$3),I28,C28)</f>
        <v>0.88</v>
      </c>
      <c r="O28" s="576">
        <f>+IF(OR($Q28=Parametres!$G$2,$Q28=Parametres!$G$3),J28,D28)</f>
        <v>0.06</v>
      </c>
      <c r="P28" s="155">
        <f>+IF(OR($Q28=Parametres!$G$2,$Q28=Parametres!$G$3),K28,E28)</f>
        <v>0.94</v>
      </c>
      <c r="Q28" s="154" t="str">
        <f t="shared" si="3"/>
        <v>1-Mémo</v>
      </c>
      <c r="R28" s="153" t="str">
        <f t="shared" si="3"/>
        <v>35</v>
      </c>
      <c r="S28" s="154">
        <f t="shared" si="3"/>
        <v>0</v>
      </c>
      <c r="T28" s="156" t="str">
        <f>+VLOOKUP($L28,Data_Validation!$A:$D,1,0)</f>
        <v>350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4" t="s">
        <v>2276</v>
      </c>
      <c r="B29" s="1014" t="s">
        <v>2277</v>
      </c>
      <c r="C29" s="1015"/>
      <c r="D29" s="1015"/>
      <c r="E29" s="1015"/>
      <c r="F29" s="1014" t="s">
        <v>1</v>
      </c>
      <c r="G29" s="1014" t="s">
        <v>2278</v>
      </c>
      <c r="H29" s="1015"/>
      <c r="I29" s="1016">
        <v>607579.24</v>
      </c>
      <c r="J29" s="1016">
        <v>121169.52</v>
      </c>
      <c r="K29" s="1016">
        <v>728748.76</v>
      </c>
      <c r="L29" s="153" t="str">
        <f t="shared" si="0"/>
        <v>360</v>
      </c>
      <c r="M29" s="154" t="str">
        <f t="shared" si="1"/>
        <v>OCCASION VW + 60 JRS</v>
      </c>
      <c r="N29" s="155">
        <f>+IF(OR($Q29=Parametres!$G$2,$Q29=Parametres!$G$3),I29,C29)</f>
        <v>607579.24</v>
      </c>
      <c r="O29" s="576">
        <f>+IF(OR($Q29=Parametres!$G$2,$Q29=Parametres!$G$3),J29,D29)</f>
        <v>121169.52</v>
      </c>
      <c r="P29" s="155">
        <f>+IF(OR($Q29=Parametres!$G$2,$Q29=Parametres!$G$3),K29,E29)</f>
        <v>728748.76</v>
      </c>
      <c r="Q29" s="154" t="str">
        <f t="shared" si="3"/>
        <v>1-Mémo</v>
      </c>
      <c r="R29" s="153" t="str">
        <f t="shared" si="3"/>
        <v>36</v>
      </c>
      <c r="S29" s="154">
        <f t="shared" si="3"/>
        <v>0</v>
      </c>
      <c r="T29" s="156" t="str">
        <f>+VLOOKUP($L29,Data_Validation!$A:$D,1,0)</f>
        <v>360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4" t="s">
        <v>2279</v>
      </c>
      <c r="B30" s="1014" t="s">
        <v>2280</v>
      </c>
      <c r="C30" s="1015"/>
      <c r="D30" s="1015"/>
      <c r="E30" s="1015"/>
      <c r="F30" s="1014" t="s">
        <v>1</v>
      </c>
      <c r="G30" s="1014" t="s">
        <v>2907</v>
      </c>
      <c r="H30" s="1015"/>
      <c r="I30" s="1016">
        <v>425000</v>
      </c>
      <c r="J30" s="1016">
        <v>0</v>
      </c>
      <c r="K30" s="1016">
        <v>425000</v>
      </c>
      <c r="L30" s="153" t="str">
        <f t="shared" si="0"/>
        <v>370</v>
      </c>
      <c r="M30" s="154" t="str">
        <f t="shared" si="1"/>
        <v>AVOIR DU PROP. MIM. REQUIS</v>
      </c>
      <c r="N30" s="155">
        <f>+IF(OR($Q30=Parametres!$G$2,$Q30=Parametres!$G$3),I30,C30)</f>
        <v>425000</v>
      </c>
      <c r="O30" s="575">
        <f>+IF(OR($Q30=Parametres!$G$2,$Q30=Parametres!$G$3),J30,D30)</f>
        <v>0</v>
      </c>
      <c r="P30" s="155">
        <f>+IF(OR($Q30=Parametres!$G$2,$Q30=Parametres!$G$3),K30,E30)</f>
        <v>425000</v>
      </c>
      <c r="Q30" s="154" t="str">
        <f t="shared" si="3"/>
        <v>1-Mémo</v>
      </c>
      <c r="R30" s="153" t="str">
        <f t="shared" si="3"/>
        <v>37</v>
      </c>
      <c r="S30" s="154">
        <f t="shared" si="3"/>
        <v>0</v>
      </c>
      <c r="T30" s="156" t="str">
        <f>+VLOOKUP($L30,Data_Validation!$A:$D,1,0)</f>
        <v>370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14" t="s">
        <v>2281</v>
      </c>
      <c r="B31" s="1014" t="s">
        <v>2282</v>
      </c>
      <c r="C31" s="1015"/>
      <c r="D31" s="1015"/>
      <c r="E31" s="1015"/>
      <c r="F31" s="1014" t="s">
        <v>1</v>
      </c>
      <c r="G31" s="1014" t="s">
        <v>2907</v>
      </c>
      <c r="H31" s="1015"/>
      <c r="I31" s="1016">
        <v>737500</v>
      </c>
      <c r="J31" s="1016">
        <v>0</v>
      </c>
      <c r="K31" s="1016">
        <v>737500</v>
      </c>
      <c r="L31" s="153" t="str">
        <f t="shared" si="0"/>
        <v>372</v>
      </c>
      <c r="M31" s="154" t="str">
        <f t="shared" si="1"/>
        <v>FONDS DE ROULEMENT/MIN. REQUIS</v>
      </c>
      <c r="N31" s="155">
        <f>+IF(OR($Q31=Parametres!$G$2,$Q31=Parametres!$G$3),I31,C31)</f>
        <v>737500</v>
      </c>
      <c r="O31" s="155">
        <f>+IF(OR($Q31=Parametres!$G$2,$Q31=Parametres!$G$3),J31,D31)</f>
        <v>0</v>
      </c>
      <c r="P31" s="155">
        <f>+IF(OR($Q31=Parametres!$G$2,$Q31=Parametres!$G$3),K31,E31)</f>
        <v>737500</v>
      </c>
      <c r="Q31" s="154" t="str">
        <f t="shared" si="3"/>
        <v>1-Mémo</v>
      </c>
      <c r="R31" s="153" t="str">
        <f t="shared" si="3"/>
        <v>37</v>
      </c>
      <c r="S31" s="154">
        <f t="shared" si="3"/>
        <v>0</v>
      </c>
      <c r="T31" s="156" t="str">
        <f>+VLOOKUP($L31,Data_Validation!$A:$D,1,0)</f>
        <v>372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14" t="s">
        <v>2283</v>
      </c>
      <c r="B32" s="1014" t="s">
        <v>2284</v>
      </c>
      <c r="C32" s="1015"/>
      <c r="D32" s="1015"/>
      <c r="E32" s="1015"/>
      <c r="F32" s="1014" t="s">
        <v>1</v>
      </c>
      <c r="G32" s="1014" t="s">
        <v>2213</v>
      </c>
      <c r="H32" s="1015"/>
      <c r="I32" s="1016">
        <v>0.66</v>
      </c>
      <c r="J32" s="1016">
        <v>0</v>
      </c>
      <c r="K32" s="1016">
        <v>0.66</v>
      </c>
      <c r="L32" s="153" t="str">
        <f t="shared" si="0"/>
        <v>401</v>
      </c>
      <c r="M32" s="154" t="str">
        <f t="shared" si="1"/>
        <v>UNITES NEUVES VENDUES JANVIER</v>
      </c>
      <c r="N32" s="155">
        <f>+IF(OR($Q32=Parametres!$G$2,$Q32=Parametres!$G$3),I32,C32)</f>
        <v>0.66</v>
      </c>
      <c r="O32" s="576">
        <f>+IF(OR($Q32=Parametres!$G$2,$Q32=Parametres!$G$3),J32,D32)</f>
        <v>0</v>
      </c>
      <c r="P32" s="155">
        <f>+IF(OR($Q32=Parametres!$G$2,$Q32=Parametres!$G$3),K32,E32)</f>
        <v>0.66</v>
      </c>
      <c r="Q32" s="154" t="str">
        <f t="shared" si="3"/>
        <v>1-Mémo</v>
      </c>
      <c r="R32" s="153" t="str">
        <f t="shared" si="3"/>
        <v>40</v>
      </c>
      <c r="S32" s="154">
        <f t="shared" si="3"/>
        <v>0</v>
      </c>
      <c r="T32" s="156" t="str">
        <f>+VLOOKUP($L32,Data_Validation!$A:$D,1,0)</f>
        <v>401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14" t="s">
        <v>2285</v>
      </c>
      <c r="B33" s="1014" t="s">
        <v>2286</v>
      </c>
      <c r="C33" s="1015"/>
      <c r="D33" s="1015"/>
      <c r="E33" s="1015"/>
      <c r="F33" s="1014" t="s">
        <v>1</v>
      </c>
      <c r="G33" s="1014" t="s">
        <v>2213</v>
      </c>
      <c r="H33" s="1015"/>
      <c r="I33" s="1016">
        <v>0.5</v>
      </c>
      <c r="J33" s="1016">
        <v>0</v>
      </c>
      <c r="K33" s="1016">
        <v>0.5</v>
      </c>
      <c r="L33" s="153" t="str">
        <f t="shared" si="0"/>
        <v>402</v>
      </c>
      <c r="M33" s="154" t="str">
        <f t="shared" si="1"/>
        <v>UNITES NEUVES VENDUES FEVRIER</v>
      </c>
      <c r="N33" s="155">
        <f>+IF(OR($Q33=Parametres!$G$2,$Q33=Parametres!$G$3),I33,C33)</f>
        <v>0.5</v>
      </c>
      <c r="O33" s="576">
        <f>+IF(OR($Q33=Parametres!$G$2,$Q33=Parametres!$G$3),J33,D33)</f>
        <v>0</v>
      </c>
      <c r="P33" s="155">
        <f>+IF(OR($Q33=Parametres!$G$2,$Q33=Parametres!$G$3),K33,E33)</f>
        <v>0.5</v>
      </c>
      <c r="Q33" s="154" t="str">
        <f t="shared" si="3"/>
        <v>1-Mémo</v>
      </c>
      <c r="R33" s="153" t="str">
        <f t="shared" si="3"/>
        <v>40</v>
      </c>
      <c r="S33" s="154">
        <f t="shared" si="3"/>
        <v>0</v>
      </c>
      <c r="T33" s="156" t="str">
        <f>+VLOOKUP($L33,Data_Validation!$A:$D,1,0)</f>
        <v>402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customHeight="1">
      <c r="A34" s="1014" t="s">
        <v>2287</v>
      </c>
      <c r="B34" s="1014" t="s">
        <v>2288</v>
      </c>
      <c r="C34" s="1015"/>
      <c r="D34" s="1015"/>
      <c r="E34" s="1015"/>
      <c r="F34" s="1014" t="s">
        <v>1</v>
      </c>
      <c r="G34" s="1014" t="s">
        <v>2213</v>
      </c>
      <c r="H34" s="1015"/>
      <c r="I34" s="1016">
        <v>0</v>
      </c>
      <c r="J34" s="1016">
        <v>0.78</v>
      </c>
      <c r="K34" s="1016">
        <v>0.78</v>
      </c>
      <c r="L34" s="153" t="str">
        <f t="shared" si="0"/>
        <v>403</v>
      </c>
      <c r="M34" s="154" t="str">
        <f t="shared" si="1"/>
        <v>UNITES NEUVES VENDUES MARS</v>
      </c>
      <c r="N34" s="155">
        <f>+IF(OR($Q34=Parametres!$G$2,$Q34=Parametres!$G$3),I34,C34)</f>
        <v>0</v>
      </c>
      <c r="O34" s="575">
        <f>+IF(OR($Q34=Parametres!$G$2,$Q34=Parametres!$G$3),J34,D34)</f>
        <v>0.78</v>
      </c>
      <c r="P34" s="155">
        <f>+IF(OR($Q34=Parametres!$G$2,$Q34=Parametres!$G$3),K34,E34)</f>
        <v>0.78</v>
      </c>
      <c r="Q34" s="154" t="str">
        <f t="shared" ref="Q34:S49" si="4">+F34</f>
        <v>1-Mémo</v>
      </c>
      <c r="R34" s="153" t="str">
        <f t="shared" si="4"/>
        <v>40</v>
      </c>
      <c r="S34" s="154">
        <f t="shared" si="4"/>
        <v>0</v>
      </c>
      <c r="T34" s="156" t="str">
        <f>+VLOOKUP($L34,Data_Validation!$A:$D,1,0)</f>
        <v>403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customHeight="1">
      <c r="A35" s="1014" t="s">
        <v>2304</v>
      </c>
      <c r="B35" s="1014" t="s">
        <v>2305</v>
      </c>
      <c r="C35" s="1015"/>
      <c r="D35" s="1015"/>
      <c r="E35" s="1015"/>
      <c r="F35" s="1014" t="s">
        <v>1</v>
      </c>
      <c r="G35" s="1014" t="s">
        <v>2306</v>
      </c>
      <c r="H35" s="1015"/>
      <c r="I35" s="1016">
        <v>0.18</v>
      </c>
      <c r="J35" s="1016">
        <v>0</v>
      </c>
      <c r="K35" s="1016">
        <v>0.18</v>
      </c>
      <c r="L35" s="153" t="str">
        <f t="shared" si="0"/>
        <v>421</v>
      </c>
      <c r="M35" s="154" t="str">
        <f t="shared" si="1"/>
        <v>UNITES USAGES DET./ JANV.</v>
      </c>
      <c r="N35" s="155">
        <f>+IF(OR($Q35=Parametres!$G$2,$Q35=Parametres!$G$3),I35,C35)</f>
        <v>0.18</v>
      </c>
      <c r="O35" s="155">
        <f>+IF(OR($Q35=Parametres!$G$2,$Q35=Parametres!$G$3),J35,D35)</f>
        <v>0</v>
      </c>
      <c r="P35" s="155">
        <f>+IF(OR($Q35=Parametres!$G$2,$Q35=Parametres!$G$3),K35,E35)</f>
        <v>0.18</v>
      </c>
      <c r="Q35" s="154" t="str">
        <f t="shared" si="4"/>
        <v>1-Mémo</v>
      </c>
      <c r="R35" s="153" t="str">
        <f t="shared" si="4"/>
        <v>42</v>
      </c>
      <c r="S35" s="154">
        <f t="shared" si="4"/>
        <v>0</v>
      </c>
      <c r="T35" s="156" t="str">
        <f>+VLOOKUP($L35,Data_Validation!$A:$D,1,0)</f>
        <v>421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customHeight="1">
      <c r="A36" s="1014" t="s">
        <v>2307</v>
      </c>
      <c r="B36" s="1014" t="s">
        <v>2308</v>
      </c>
      <c r="C36" s="1015"/>
      <c r="D36" s="1015"/>
      <c r="E36" s="1015"/>
      <c r="F36" s="1014" t="s">
        <v>1</v>
      </c>
      <c r="G36" s="1014" t="s">
        <v>2306</v>
      </c>
      <c r="H36" s="1015"/>
      <c r="I36" s="1016">
        <v>0.28000000000000003</v>
      </c>
      <c r="J36" s="1016">
        <v>0</v>
      </c>
      <c r="K36" s="1016">
        <v>0.28000000000000003</v>
      </c>
      <c r="L36" s="153" t="str">
        <f t="shared" si="0"/>
        <v>422</v>
      </c>
      <c r="M36" s="154" t="str">
        <f t="shared" si="1"/>
        <v>UNITES USAGES DET./ FEVR.</v>
      </c>
      <c r="N36" s="155">
        <f>+IF(OR($Q36=Parametres!$G$2,$Q36=Parametres!$G$3),I36,C36)</f>
        <v>0.28000000000000003</v>
      </c>
      <c r="O36" s="575">
        <f>+IF(OR($Q36=Parametres!$G$2,$Q36=Parametres!$G$3),J36,D36)</f>
        <v>0</v>
      </c>
      <c r="P36" s="155">
        <f>+IF(OR($Q36=Parametres!$G$2,$Q36=Parametres!$G$3),K36,E36)</f>
        <v>0.28000000000000003</v>
      </c>
      <c r="Q36" s="154" t="str">
        <f t="shared" si="4"/>
        <v>1-Mémo</v>
      </c>
      <c r="R36" s="153" t="str">
        <f t="shared" si="4"/>
        <v>42</v>
      </c>
      <c r="S36" s="154">
        <f t="shared" si="4"/>
        <v>0</v>
      </c>
      <c r="T36" s="156" t="str">
        <f>+VLOOKUP($L36,Data_Validation!$A:$D,1,0)</f>
        <v>422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customHeight="1">
      <c r="A37" s="1014" t="s">
        <v>2309</v>
      </c>
      <c r="B37" s="1014" t="s">
        <v>2310</v>
      </c>
      <c r="C37" s="1015"/>
      <c r="D37" s="1015"/>
      <c r="E37" s="1015"/>
      <c r="F37" s="1014" t="s">
        <v>1</v>
      </c>
      <c r="G37" s="1014" t="s">
        <v>2306</v>
      </c>
      <c r="H37" s="1015"/>
      <c r="I37" s="1016">
        <v>0</v>
      </c>
      <c r="J37" s="1016">
        <v>0.33</v>
      </c>
      <c r="K37" s="1016">
        <v>0.33</v>
      </c>
      <c r="L37" s="153" t="str">
        <f t="shared" si="0"/>
        <v>423</v>
      </c>
      <c r="M37" s="154" t="str">
        <f t="shared" si="1"/>
        <v>UNITES USAGES DET./ MARS</v>
      </c>
      <c r="N37" s="155">
        <f>+IF(OR($Q37=Parametres!$G$2,$Q37=Parametres!$G$3),I37,C37)</f>
        <v>0</v>
      </c>
      <c r="O37" s="155">
        <f>+IF(OR($Q37=Parametres!$G$2,$Q37=Parametres!$G$3),J37,D37)</f>
        <v>0.33</v>
      </c>
      <c r="P37" s="155">
        <f>+IF(OR($Q37=Parametres!$G$2,$Q37=Parametres!$G$3),K37,E37)</f>
        <v>0.33</v>
      </c>
      <c r="Q37" s="154" t="str">
        <f t="shared" si="4"/>
        <v>1-Mémo</v>
      </c>
      <c r="R37" s="153" t="str">
        <f t="shared" si="4"/>
        <v>42</v>
      </c>
      <c r="S37" s="154">
        <f t="shared" si="4"/>
        <v>0</v>
      </c>
      <c r="T37" s="156" t="str">
        <f>+VLOOKUP($L37,Data_Validation!$A:$D,1,0)</f>
        <v>423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customHeight="1">
      <c r="A38" s="1014" t="s">
        <v>2327</v>
      </c>
      <c r="B38" s="1014" t="s">
        <v>2328</v>
      </c>
      <c r="C38" s="1015"/>
      <c r="D38" s="1015"/>
      <c r="E38" s="1015"/>
      <c r="F38" s="1014" t="s">
        <v>1</v>
      </c>
      <c r="G38" s="1014" t="s">
        <v>2215</v>
      </c>
      <c r="H38" s="1015"/>
      <c r="I38" s="1016">
        <v>1</v>
      </c>
      <c r="J38" s="1016">
        <v>0</v>
      </c>
      <c r="K38" s="1016">
        <v>1</v>
      </c>
      <c r="L38" s="153" t="str">
        <f t="shared" si="0"/>
        <v>500</v>
      </c>
      <c r="M38" s="154" t="str">
        <f t="shared" si="1"/>
        <v>PROPRIETAIRES</v>
      </c>
      <c r="N38" s="155">
        <f>+IF(OR($Q38=Parametres!$G$2,$Q38=Parametres!$G$3),I38,C38)</f>
        <v>1</v>
      </c>
      <c r="O38" s="575">
        <f>+IF(OR($Q38=Parametres!$G$2,$Q38=Parametres!$G$3),J38,D38)</f>
        <v>0</v>
      </c>
      <c r="P38" s="155">
        <f>+IF(OR($Q38=Parametres!$G$2,$Q38=Parametres!$G$3),K38,E38)</f>
        <v>1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500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4" t="s">
        <v>2329</v>
      </c>
      <c r="B39" s="1014" t="s">
        <v>1526</v>
      </c>
      <c r="C39" s="1015"/>
      <c r="D39" s="1015"/>
      <c r="E39" s="1015"/>
      <c r="F39" s="1014" t="s">
        <v>1</v>
      </c>
      <c r="G39" s="1014" t="s">
        <v>2215</v>
      </c>
      <c r="H39" s="1015"/>
      <c r="I39" s="1016">
        <v>0.2</v>
      </c>
      <c r="J39" s="1016">
        <v>0</v>
      </c>
      <c r="K39" s="1016">
        <v>0.2</v>
      </c>
      <c r="L39" s="153" t="str">
        <f t="shared" si="0"/>
        <v>511</v>
      </c>
      <c r="M39" s="154" t="str">
        <f t="shared" si="1"/>
        <v>DIR. GENERAL NEUFS</v>
      </c>
      <c r="N39" s="155">
        <f>+IF(OR($Q39=Parametres!$G$2,$Q39=Parametres!$G$3),I39,C39)</f>
        <v>0.2</v>
      </c>
      <c r="O39" s="577">
        <f>+IF(OR($Q39=Parametres!$G$2,$Q39=Parametres!$G$3),J39,D39)</f>
        <v>0</v>
      </c>
      <c r="P39" s="155">
        <f>+IF(OR($Q39=Parametres!$G$2,$Q39=Parametres!$G$3),K39,E39)</f>
        <v>0.2</v>
      </c>
      <c r="Q39" s="154" t="str">
        <f t="shared" si="4"/>
        <v>1-Mémo</v>
      </c>
      <c r="R39" s="153" t="str">
        <f t="shared" si="4"/>
        <v>50</v>
      </c>
      <c r="S39" s="154">
        <f t="shared" si="4"/>
        <v>0</v>
      </c>
      <c r="T39" s="156" t="str">
        <f>+VLOOKUP($L39,Data_Validation!$A:$D,1,0)</f>
        <v>511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4" t="s">
        <v>2330</v>
      </c>
      <c r="B40" s="1014" t="s">
        <v>884</v>
      </c>
      <c r="C40" s="1015"/>
      <c r="D40" s="1015"/>
      <c r="E40" s="1015"/>
      <c r="F40" s="1014" t="s">
        <v>1</v>
      </c>
      <c r="G40" s="1014" t="s">
        <v>2215</v>
      </c>
      <c r="H40" s="1015"/>
      <c r="I40" s="1016">
        <v>0.2</v>
      </c>
      <c r="J40" s="1016">
        <v>0</v>
      </c>
      <c r="K40" s="1016">
        <v>0.2</v>
      </c>
      <c r="L40" s="153" t="str">
        <f t="shared" si="0"/>
        <v>512</v>
      </c>
      <c r="M40" s="154" t="str">
        <f t="shared" si="1"/>
        <v>DIR. GENERAL USAGES</v>
      </c>
      <c r="N40" s="155">
        <f>+IF(OR($Q40=Parametres!$G$2,$Q40=Parametres!$G$3),I40,C40)</f>
        <v>0.2</v>
      </c>
      <c r="O40" s="576">
        <f>+IF(OR($Q40=Parametres!$G$2,$Q40=Parametres!$G$3),J40,D40)</f>
        <v>0</v>
      </c>
      <c r="P40" s="155">
        <f>+IF(OR($Q40=Parametres!$G$2,$Q40=Parametres!$G$3),K40,E40)</f>
        <v>0.2</v>
      </c>
      <c r="Q40" s="154" t="str">
        <f t="shared" si="4"/>
        <v>1-Mémo</v>
      </c>
      <c r="R40" s="153" t="str">
        <f t="shared" si="4"/>
        <v>50</v>
      </c>
      <c r="S40" s="154">
        <f t="shared" si="4"/>
        <v>0</v>
      </c>
      <c r="T40" s="156" t="str">
        <f>+VLOOKUP($L40,Data_Validation!$A:$D,1,0)</f>
        <v>512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4" t="s">
        <v>2331</v>
      </c>
      <c r="B41" s="1014" t="s">
        <v>2332</v>
      </c>
      <c r="C41" s="1015"/>
      <c r="D41" s="1015"/>
      <c r="E41" s="1015"/>
      <c r="F41" s="1014" t="s">
        <v>1</v>
      </c>
      <c r="G41" s="1014" t="s">
        <v>2215</v>
      </c>
      <c r="H41" s="1015"/>
      <c r="I41" s="1016">
        <v>0.2</v>
      </c>
      <c r="J41" s="1016">
        <v>0</v>
      </c>
      <c r="K41" s="1016">
        <v>0.2</v>
      </c>
      <c r="L41" s="153" t="str">
        <f t="shared" si="0"/>
        <v>514</v>
      </c>
      <c r="M41" s="154" t="str">
        <f t="shared" si="1"/>
        <v>DIR. GENERAL SERVICE</v>
      </c>
      <c r="N41" s="155">
        <f>+IF(OR($Q41=Parametres!$G$2,$Q41=Parametres!$G$3),I41,C41)</f>
        <v>0.2</v>
      </c>
      <c r="O41" s="575">
        <f>+IF(OR($Q41=Parametres!$G$2,$Q41=Parametres!$G$3),J41,D41)</f>
        <v>0</v>
      </c>
      <c r="P41" s="155">
        <f>+IF(OR($Q41=Parametres!$G$2,$Q41=Parametres!$G$3),K41,E41)</f>
        <v>0.2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514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4" t="s">
        <v>2333</v>
      </c>
      <c r="B42" s="1014" t="s">
        <v>2334</v>
      </c>
      <c r="C42" s="1015"/>
      <c r="D42" s="1015"/>
      <c r="E42" s="1015"/>
      <c r="F42" s="1014" t="s">
        <v>1</v>
      </c>
      <c r="G42" s="1014" t="s">
        <v>2215</v>
      </c>
      <c r="H42" s="1015"/>
      <c r="I42" s="1016">
        <v>0.2</v>
      </c>
      <c r="J42" s="1016">
        <v>0</v>
      </c>
      <c r="K42" s="1016">
        <v>0.2</v>
      </c>
      <c r="L42" s="153" t="str">
        <f t="shared" si="0"/>
        <v>515</v>
      </c>
      <c r="M42" s="154" t="str">
        <f t="shared" si="1"/>
        <v>DIR. GENERAL CARROSS.</v>
      </c>
      <c r="N42" s="155">
        <f>+IF(OR($Q42=Parametres!$G$2,$Q42=Parametres!$G$3),I42,C42)</f>
        <v>0.2</v>
      </c>
      <c r="O42" s="576">
        <f>+IF(OR($Q42=Parametres!$G$2,$Q42=Parametres!$G$3),J42,D42)</f>
        <v>0</v>
      </c>
      <c r="P42" s="155">
        <f>+IF(OR($Q42=Parametres!$G$2,$Q42=Parametres!$G$3),K42,E42)</f>
        <v>0.2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515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4" t="s">
        <v>2335</v>
      </c>
      <c r="B43" s="1014" t="s">
        <v>2336</v>
      </c>
      <c r="C43" s="1015"/>
      <c r="D43" s="1015"/>
      <c r="E43" s="1015"/>
      <c r="F43" s="1014" t="s">
        <v>1</v>
      </c>
      <c r="G43" s="1014" t="s">
        <v>2215</v>
      </c>
      <c r="H43" s="1015"/>
      <c r="I43" s="1016">
        <v>0.2</v>
      </c>
      <c r="J43" s="1016">
        <v>0</v>
      </c>
      <c r="K43" s="1016">
        <v>0.2</v>
      </c>
      <c r="L43" s="153" t="str">
        <f t="shared" si="0"/>
        <v>517</v>
      </c>
      <c r="M43" s="154" t="str">
        <f t="shared" si="1"/>
        <v>DIR. GENERAL PIECES</v>
      </c>
      <c r="N43" s="155">
        <f>+IF(OR($Q43=Parametres!$G$2,$Q43=Parametres!$G$3),I43,C43)</f>
        <v>0.2</v>
      </c>
      <c r="O43" s="576">
        <f>+IF(OR($Q43=Parametres!$G$2,$Q43=Parametres!$G$3),J43,D43)</f>
        <v>0</v>
      </c>
      <c r="P43" s="155">
        <f>+IF(OR($Q43=Parametres!$G$2,$Q43=Parametres!$G$3),K43,E43)</f>
        <v>0.2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517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4" t="s">
        <v>2337</v>
      </c>
      <c r="B44" s="1014" t="s">
        <v>2338</v>
      </c>
      <c r="C44" s="1015"/>
      <c r="D44" s="1015"/>
      <c r="E44" s="1015"/>
      <c r="F44" s="1014" t="s">
        <v>1</v>
      </c>
      <c r="G44" s="1014" t="s">
        <v>2215</v>
      </c>
      <c r="H44" s="1015"/>
      <c r="I44" s="1016">
        <v>2</v>
      </c>
      <c r="J44" s="1016">
        <v>0</v>
      </c>
      <c r="K44" s="1016">
        <v>2</v>
      </c>
      <c r="L44" s="153" t="str">
        <f t="shared" si="0"/>
        <v>521</v>
      </c>
      <c r="M44" s="154" t="str">
        <f t="shared" si="1"/>
        <v>DIR. SERVICE NEUFS</v>
      </c>
      <c r="N44" s="155">
        <f>+IF(OR($Q44=Parametres!$G$2,$Q44=Parametres!$G$3),I44,C44)</f>
        <v>2</v>
      </c>
      <c r="O44" s="576">
        <f>+IF(OR($Q44=Parametres!$G$2,$Q44=Parametres!$G$3),J44,D44)</f>
        <v>0</v>
      </c>
      <c r="P44" s="155">
        <f>+IF(OR($Q44=Parametres!$G$2,$Q44=Parametres!$G$3),K44,E44)</f>
        <v>2</v>
      </c>
      <c r="Q44" s="154" t="str">
        <f t="shared" si="4"/>
        <v>1-Mémo</v>
      </c>
      <c r="R44" s="153" t="str">
        <f t="shared" si="4"/>
        <v>50</v>
      </c>
      <c r="S44" s="154">
        <f t="shared" si="4"/>
        <v>0</v>
      </c>
      <c r="T44" s="156" t="str">
        <f>+VLOOKUP($L44,Data_Validation!$A:$D,1,0)</f>
        <v>521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4" t="s">
        <v>2339</v>
      </c>
      <c r="B45" s="1014" t="s">
        <v>2340</v>
      </c>
      <c r="C45" s="1015"/>
      <c r="D45" s="1015"/>
      <c r="E45" s="1015"/>
      <c r="F45" s="1014" t="s">
        <v>1</v>
      </c>
      <c r="G45" s="1014" t="s">
        <v>2215</v>
      </c>
      <c r="H45" s="1015"/>
      <c r="I45" s="1016">
        <v>1</v>
      </c>
      <c r="J45" s="1016">
        <v>0</v>
      </c>
      <c r="K45" s="1016">
        <v>1</v>
      </c>
      <c r="L45" s="153" t="str">
        <f t="shared" si="0"/>
        <v>522</v>
      </c>
      <c r="M45" s="154" t="str">
        <f t="shared" si="1"/>
        <v>DIR. SERVICE USAGES</v>
      </c>
      <c r="N45" s="155">
        <f>+IF(OR($Q45=Parametres!$G$2,$Q45=Parametres!$G$3),I45,C45)</f>
        <v>1</v>
      </c>
      <c r="O45" s="576">
        <f>+IF(OR($Q45=Parametres!$G$2,$Q45=Parametres!$G$3),J45,D45)</f>
        <v>0</v>
      </c>
      <c r="P45" s="155">
        <f>+IF(OR($Q45=Parametres!$G$2,$Q45=Parametres!$G$3),K45,E45)</f>
        <v>1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522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4" t="s">
        <v>2341</v>
      </c>
      <c r="B46" s="1014" t="s">
        <v>2342</v>
      </c>
      <c r="C46" s="1015"/>
      <c r="D46" s="1015"/>
      <c r="E46" s="1015"/>
      <c r="F46" s="1014" t="s">
        <v>1</v>
      </c>
      <c r="G46" s="1014" t="s">
        <v>2215</v>
      </c>
      <c r="H46" s="1015"/>
      <c r="I46" s="1016">
        <v>1</v>
      </c>
      <c r="J46" s="1016">
        <v>0</v>
      </c>
      <c r="K46" s="1016">
        <v>1</v>
      </c>
      <c r="L46" s="153" t="str">
        <f t="shared" si="0"/>
        <v>524</v>
      </c>
      <c r="M46" s="154" t="str">
        <f t="shared" si="1"/>
        <v>DIR. SERVICE SERVICE</v>
      </c>
      <c r="N46" s="155">
        <f>+IF(OR($Q46=Parametres!$G$2,$Q46=Parametres!$G$3),I46,C46)</f>
        <v>1</v>
      </c>
      <c r="O46" s="576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524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4" t="s">
        <v>2343</v>
      </c>
      <c r="B47" s="1014" t="s">
        <v>2344</v>
      </c>
      <c r="C47" s="1015"/>
      <c r="D47" s="1015"/>
      <c r="E47" s="1015"/>
      <c r="F47" s="1014" t="s">
        <v>1</v>
      </c>
      <c r="G47" s="1014" t="s">
        <v>2215</v>
      </c>
      <c r="H47" s="1015"/>
      <c r="I47" s="1016">
        <v>1</v>
      </c>
      <c r="J47" s="1016">
        <v>0</v>
      </c>
      <c r="K47" s="1016">
        <v>1</v>
      </c>
      <c r="L47" s="153" t="str">
        <f t="shared" si="0"/>
        <v>527</v>
      </c>
      <c r="M47" s="154" t="str">
        <f t="shared" si="1"/>
        <v>DIR. SERVICE PIECES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527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4" t="s">
        <v>2345</v>
      </c>
      <c r="B48" s="1014" t="s">
        <v>2346</v>
      </c>
      <c r="C48" s="1015"/>
      <c r="D48" s="1015"/>
      <c r="E48" s="1015"/>
      <c r="F48" s="1014" t="s">
        <v>1</v>
      </c>
      <c r="G48" s="1014" t="s">
        <v>2347</v>
      </c>
      <c r="H48" s="1015"/>
      <c r="I48" s="1016">
        <v>8</v>
      </c>
      <c r="J48" s="1016">
        <v>0</v>
      </c>
      <c r="K48" s="1016">
        <v>8</v>
      </c>
      <c r="L48" s="153" t="str">
        <f t="shared" si="0"/>
        <v>541</v>
      </c>
      <c r="M48" s="154" t="str">
        <f t="shared" si="1"/>
        <v>VW REP. DES VENTES - NEUF</v>
      </c>
      <c r="N48" s="155">
        <f>+IF(OR($Q48=Parametres!$G$2,$Q48=Parametres!$G$3),I48,C48)</f>
        <v>8</v>
      </c>
      <c r="O48" s="155">
        <f>+IF(OR($Q48=Parametres!$G$2,$Q48=Parametres!$G$3),J48,D48)</f>
        <v>0</v>
      </c>
      <c r="P48" s="155">
        <f>+IF(OR($Q48=Parametres!$G$2,$Q48=Parametres!$G$3),K48,E48)</f>
        <v>8</v>
      </c>
      <c r="Q48" s="154" t="str">
        <f t="shared" si="4"/>
        <v>1-Mémo</v>
      </c>
      <c r="R48" s="153" t="str">
        <f t="shared" si="4"/>
        <v>54</v>
      </c>
      <c r="S48" s="154">
        <f t="shared" si="4"/>
        <v>0</v>
      </c>
      <c r="T48" s="156" t="str">
        <f>+VLOOKUP($L48,Data_Validation!$A:$D,1,0)</f>
        <v>541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4" t="s">
        <v>2348</v>
      </c>
      <c r="B49" s="1014" t="s">
        <v>2349</v>
      </c>
      <c r="C49" s="1015"/>
      <c r="D49" s="1015"/>
      <c r="E49" s="1015"/>
      <c r="F49" s="1014" t="s">
        <v>1</v>
      </c>
      <c r="G49" s="1014" t="s">
        <v>2215</v>
      </c>
      <c r="H49" s="1015"/>
      <c r="I49" s="1016">
        <v>3</v>
      </c>
      <c r="J49" s="1016">
        <v>0</v>
      </c>
      <c r="K49" s="1016">
        <v>3</v>
      </c>
      <c r="L49" s="153" t="str">
        <f t="shared" si="0"/>
        <v>542</v>
      </c>
      <c r="M49" s="154" t="str">
        <f t="shared" si="1"/>
        <v>VW REP. DES VENTES - OCC.</v>
      </c>
      <c r="N49" s="155">
        <f>+IF(OR($Q49=Parametres!$G$2,$Q49=Parametres!$G$3),I49,C49)</f>
        <v>3</v>
      </c>
      <c r="O49" s="575">
        <f>+IF(OR($Q49=Parametres!$G$2,$Q49=Parametres!$G$3),J49,D49)</f>
        <v>0</v>
      </c>
      <c r="P49" s="155">
        <f>+IF(OR($Q49=Parametres!$G$2,$Q49=Parametres!$G$3),K49,E49)</f>
        <v>3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542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4" t="s">
        <v>2350</v>
      </c>
      <c r="B50" s="1014" t="s">
        <v>2351</v>
      </c>
      <c r="C50" s="1015"/>
      <c r="D50" s="1015"/>
      <c r="E50" s="1015"/>
      <c r="F50" s="1014" t="s">
        <v>1</v>
      </c>
      <c r="G50" s="1014" t="s">
        <v>2215</v>
      </c>
      <c r="H50" s="1015"/>
      <c r="I50" s="1016">
        <v>1.5</v>
      </c>
      <c r="J50" s="1016">
        <v>0</v>
      </c>
      <c r="K50" s="1016">
        <v>1.5</v>
      </c>
      <c r="L50" s="153" t="str">
        <f t="shared" si="0"/>
        <v>551</v>
      </c>
      <c r="M50" s="154" t="str">
        <f t="shared" si="1"/>
        <v>DIR. COMMERCIAL NEUFS</v>
      </c>
      <c r="N50" s="155">
        <f>+IF(OR($Q50=Parametres!$G$2,$Q50=Parametres!$G$3),I50,C50)</f>
        <v>1.5</v>
      </c>
      <c r="O50" s="576">
        <f>+IF(OR($Q50=Parametres!$G$2,$Q50=Parametres!$G$3),J50,D50)</f>
        <v>0</v>
      </c>
      <c r="P50" s="155">
        <f>+IF(OR($Q50=Parametres!$G$2,$Q50=Parametres!$G$3),K50,E50)</f>
        <v>1.5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551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4" t="s">
        <v>2352</v>
      </c>
      <c r="B51" s="1014" t="s">
        <v>2353</v>
      </c>
      <c r="C51" s="1015"/>
      <c r="D51" s="1015"/>
      <c r="E51" s="1015"/>
      <c r="F51" s="1014" t="s">
        <v>1</v>
      </c>
      <c r="G51" s="1014" t="s">
        <v>2215</v>
      </c>
      <c r="H51" s="1015"/>
      <c r="I51" s="1016">
        <v>1.5</v>
      </c>
      <c r="J51" s="1016">
        <v>0</v>
      </c>
      <c r="K51" s="1016">
        <v>1.5</v>
      </c>
      <c r="L51" s="153" t="str">
        <f t="shared" si="0"/>
        <v>552</v>
      </c>
      <c r="M51" s="154" t="str">
        <f t="shared" si="1"/>
        <v>DIR. COMMERCIAL USAGES</v>
      </c>
      <c r="N51" s="155">
        <f>+IF(OR($Q51=Parametres!$G$2,$Q51=Parametres!$G$3),I51,C51)</f>
        <v>1.5</v>
      </c>
      <c r="O51" s="576">
        <f>+IF(OR($Q51=Parametres!$G$2,$Q51=Parametres!$G$3),J51,D51)</f>
        <v>0</v>
      </c>
      <c r="P51" s="155">
        <f>+IF(OR($Q51=Parametres!$G$2,$Q51=Parametres!$G$3),K51,E51)</f>
        <v>1.5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552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4" t="s">
        <v>2354</v>
      </c>
      <c r="B52" s="1014" t="s">
        <v>2355</v>
      </c>
      <c r="C52" s="1015"/>
      <c r="D52" s="1015"/>
      <c r="E52" s="1015"/>
      <c r="F52" s="1014" t="s">
        <v>1</v>
      </c>
      <c r="G52" s="1014" t="s">
        <v>2356</v>
      </c>
      <c r="H52" s="1015"/>
      <c r="I52" s="1016">
        <v>4</v>
      </c>
      <c r="J52" s="1016">
        <v>0</v>
      </c>
      <c r="K52" s="1016">
        <v>4</v>
      </c>
      <c r="L52" s="153" t="str">
        <f t="shared" si="0"/>
        <v>614</v>
      </c>
      <c r="M52" s="154" t="str">
        <f t="shared" si="1"/>
        <v>VW CONSEILLERS SERVICE -SERVICE</v>
      </c>
      <c r="N52" s="155">
        <f>+IF(OR($Q52=Parametres!$G$2,$Q52=Parametres!$G$3),I52,C52)</f>
        <v>4</v>
      </c>
      <c r="O52" s="155">
        <f>+IF(OR($Q52=Parametres!$G$2,$Q52=Parametres!$G$3),J52,D52)</f>
        <v>0</v>
      </c>
      <c r="P52" s="155">
        <f>+IF(OR($Q52=Parametres!$G$2,$Q52=Parametres!$G$3),K52,E52)</f>
        <v>4</v>
      </c>
      <c r="Q52" s="154" t="str">
        <f t="shared" si="5"/>
        <v>1-Mémo</v>
      </c>
      <c r="R52" s="153" t="str">
        <f t="shared" si="5"/>
        <v>61</v>
      </c>
      <c r="S52" s="154">
        <f t="shared" si="5"/>
        <v>0</v>
      </c>
      <c r="T52" s="156" t="str">
        <f>+VLOOKUP($L52,Data_Validation!$A:$D,1,0)</f>
        <v>614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4" t="s">
        <v>2357</v>
      </c>
      <c r="B53" s="1014" t="s">
        <v>2358</v>
      </c>
      <c r="C53" s="1015"/>
      <c r="D53" s="1015"/>
      <c r="E53" s="1015"/>
      <c r="F53" s="1014" t="s">
        <v>1</v>
      </c>
      <c r="G53" s="1014" t="s">
        <v>2356</v>
      </c>
      <c r="H53" s="1015"/>
      <c r="I53" s="1016">
        <v>3</v>
      </c>
      <c r="J53" s="1016">
        <v>0</v>
      </c>
      <c r="K53" s="1016">
        <v>3</v>
      </c>
      <c r="L53" s="153" t="str">
        <f t="shared" si="0"/>
        <v>615</v>
      </c>
      <c r="M53" s="154" t="str">
        <f t="shared" si="1"/>
        <v>VW CONSEILLERS SERVICE - PIEC. &amp; CARR.&lt;</v>
      </c>
      <c r="N53" s="155">
        <f>+IF(OR($Q53=Parametres!$G$2,$Q53=Parametres!$G$3),I53,C53)</f>
        <v>3</v>
      </c>
      <c r="O53" s="575">
        <f>+IF(OR($Q53=Parametres!$G$2,$Q53=Parametres!$G$3),J53,D53)</f>
        <v>0</v>
      </c>
      <c r="P53" s="155">
        <f>+IF(OR($Q53=Parametres!$G$2,$Q53=Parametres!$G$3),K53,E53)</f>
        <v>3</v>
      </c>
      <c r="Q53" s="154" t="str">
        <f t="shared" si="5"/>
        <v>1-Mémo</v>
      </c>
      <c r="R53" s="153" t="str">
        <f t="shared" si="5"/>
        <v>61</v>
      </c>
      <c r="S53" s="154">
        <f t="shared" si="5"/>
        <v>0</v>
      </c>
      <c r="T53" s="156" t="str">
        <f>+VLOOKUP($L53,Data_Validation!$A:$D,1,0)</f>
        <v>615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4" t="s">
        <v>2359</v>
      </c>
      <c r="B54" s="1014" t="s">
        <v>2360</v>
      </c>
      <c r="C54" s="1015"/>
      <c r="D54" s="1015"/>
      <c r="E54" s="1015"/>
      <c r="F54" s="1014" t="s">
        <v>1</v>
      </c>
      <c r="G54" s="1014" t="s">
        <v>2215</v>
      </c>
      <c r="H54" s="1015"/>
      <c r="I54" s="1016">
        <v>1</v>
      </c>
      <c r="J54" s="1016">
        <v>0</v>
      </c>
      <c r="K54" s="1016">
        <v>1</v>
      </c>
      <c r="L54" s="153" t="str">
        <f t="shared" si="0"/>
        <v>621</v>
      </c>
      <c r="M54" s="154" t="str">
        <f t="shared" si="1"/>
        <v>LAVEURS NEUFS</v>
      </c>
      <c r="N54" s="155">
        <f>+IF(OR($Q54=Parametres!$G$2,$Q54=Parametres!$G$3),I54,C54)</f>
        <v>1</v>
      </c>
      <c r="O54" s="155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5"/>
        <v>1-Mémo</v>
      </c>
      <c r="R54" s="153" t="str">
        <f t="shared" si="5"/>
        <v>50</v>
      </c>
      <c r="S54" s="154">
        <f t="shared" si="5"/>
        <v>0</v>
      </c>
      <c r="T54" s="156" t="str">
        <f>+VLOOKUP($L54,Data_Validation!$A:$D,1,0)</f>
        <v>621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4" t="s">
        <v>2361</v>
      </c>
      <c r="B55" s="1014" t="s">
        <v>2362</v>
      </c>
      <c r="C55" s="1015"/>
      <c r="D55" s="1015"/>
      <c r="E55" s="1015"/>
      <c r="F55" s="1014" t="s">
        <v>1</v>
      </c>
      <c r="G55" s="1014" t="s">
        <v>2215</v>
      </c>
      <c r="H55" s="1015"/>
      <c r="I55" s="1016">
        <v>1</v>
      </c>
      <c r="J55" s="1016">
        <v>0</v>
      </c>
      <c r="K55" s="1016">
        <v>1</v>
      </c>
      <c r="L55" s="153" t="str">
        <f t="shared" si="0"/>
        <v>622</v>
      </c>
      <c r="M55" s="154" t="str">
        <f t="shared" si="1"/>
        <v>LAVEURS USAGES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622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4" t="s">
        <v>2363</v>
      </c>
      <c r="B56" s="1014" t="s">
        <v>2364</v>
      </c>
      <c r="C56" s="1015"/>
      <c r="D56" s="1015"/>
      <c r="E56" s="1015"/>
      <c r="F56" s="1014" t="s">
        <v>1</v>
      </c>
      <c r="G56" s="1014" t="s">
        <v>2215</v>
      </c>
      <c r="H56" s="1015"/>
      <c r="I56" s="1016">
        <v>3</v>
      </c>
      <c r="J56" s="1016">
        <v>0</v>
      </c>
      <c r="K56" s="1016">
        <v>3</v>
      </c>
      <c r="L56" s="153" t="str">
        <f t="shared" si="0"/>
        <v>624</v>
      </c>
      <c r="M56" s="154" t="str">
        <f t="shared" si="1"/>
        <v>LAVEURS SERVICE</v>
      </c>
      <c r="N56" s="155">
        <f>+IF(OR($Q56=Parametres!$G$2,$Q56=Parametres!$G$3),I56,C56)</f>
        <v>3</v>
      </c>
      <c r="O56" s="575">
        <f>+IF(OR($Q56=Parametres!$G$2,$Q56=Parametres!$G$3),J56,D56)</f>
        <v>0</v>
      </c>
      <c r="P56" s="155">
        <f>+IF(OR($Q56=Parametres!$G$2,$Q56=Parametres!$G$3),K56,E56)</f>
        <v>3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624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4" t="s">
        <v>2365</v>
      </c>
      <c r="B57" s="1014" t="s">
        <v>2366</v>
      </c>
      <c r="C57" s="1015"/>
      <c r="D57" s="1015"/>
      <c r="E57" s="1015"/>
      <c r="F57" s="1014" t="s">
        <v>1</v>
      </c>
      <c r="G57" s="1014" t="s">
        <v>2367</v>
      </c>
      <c r="H57" s="1015"/>
      <c r="I57" s="1016">
        <v>13</v>
      </c>
      <c r="J57" s="1016">
        <v>0</v>
      </c>
      <c r="K57" s="1016">
        <v>13</v>
      </c>
      <c r="L57" s="153" t="str">
        <f t="shared" si="0"/>
        <v>644</v>
      </c>
      <c r="M57" s="154" t="str">
        <f t="shared" si="1"/>
        <v>VW TECHNICIENS - SERVICE</v>
      </c>
      <c r="N57" s="155">
        <f>+IF(OR($Q57=Parametres!$G$2,$Q57=Parametres!$G$3),I57,C57)</f>
        <v>13</v>
      </c>
      <c r="O57" s="155">
        <f>+IF(OR($Q57=Parametres!$G$2,$Q57=Parametres!$G$3),J57,D57)</f>
        <v>0</v>
      </c>
      <c r="P57" s="155">
        <f>+IF(OR($Q57=Parametres!$G$2,$Q57=Parametres!$G$3),K57,E57)</f>
        <v>13</v>
      </c>
      <c r="Q57" s="154" t="str">
        <f t="shared" si="5"/>
        <v>1-Mémo</v>
      </c>
      <c r="R57" s="153" t="str">
        <f t="shared" si="5"/>
        <v>64</v>
      </c>
      <c r="S57" s="154">
        <f t="shared" si="5"/>
        <v>0</v>
      </c>
      <c r="T57" s="156" t="str">
        <f>+VLOOKUP($L57,Data_Validation!$A:$D,1,0)</f>
        <v>644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4" t="s">
        <v>2368</v>
      </c>
      <c r="B58" s="1014" t="s">
        <v>2369</v>
      </c>
      <c r="C58" s="1015"/>
      <c r="D58" s="1015"/>
      <c r="E58" s="1015"/>
      <c r="F58" s="1014" t="s">
        <v>1</v>
      </c>
      <c r="G58" s="1014" t="s">
        <v>2215</v>
      </c>
      <c r="H58" s="1015"/>
      <c r="I58" s="1016">
        <v>0.2</v>
      </c>
      <c r="J58" s="1016">
        <v>0</v>
      </c>
      <c r="K58" s="1016">
        <v>0.2</v>
      </c>
      <c r="L58" s="153" t="str">
        <f t="shared" si="0"/>
        <v>651</v>
      </c>
      <c r="M58" s="154" t="str">
        <f t="shared" si="1"/>
        <v>DIR. ADMINIS. NEUFS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5"/>
        <v>1-Mémo</v>
      </c>
      <c r="R58" s="153" t="str">
        <f t="shared" si="5"/>
        <v>50</v>
      </c>
      <c r="S58" s="154">
        <f t="shared" si="5"/>
        <v>0</v>
      </c>
      <c r="T58" s="156" t="str">
        <f>+VLOOKUP($L58,Data_Validation!$A:$D,1,0)</f>
        <v>651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4" t="s">
        <v>2370</v>
      </c>
      <c r="B59" s="1014" t="s">
        <v>2371</v>
      </c>
      <c r="C59" s="1015"/>
      <c r="D59" s="1015"/>
      <c r="E59" s="1015"/>
      <c r="F59" s="1014" t="s">
        <v>1</v>
      </c>
      <c r="G59" s="1014" t="s">
        <v>2215</v>
      </c>
      <c r="H59" s="1015"/>
      <c r="I59" s="1016">
        <v>0.2</v>
      </c>
      <c r="J59" s="1016">
        <v>0</v>
      </c>
      <c r="K59" s="1016">
        <v>0.2</v>
      </c>
      <c r="L59" s="153" t="str">
        <f t="shared" si="0"/>
        <v>652</v>
      </c>
      <c r="M59" s="154" t="str">
        <f t="shared" si="1"/>
        <v>DIR. ADMINIS. USAGES</v>
      </c>
      <c r="N59" s="155">
        <f>+IF(OR($Q59=Parametres!$G$2,$Q59=Parametres!$G$3),I59,C59)</f>
        <v>0.2</v>
      </c>
      <c r="O59" s="155">
        <f>+IF(OR($Q59=Parametres!$G$2,$Q59=Parametres!$G$3),J59,D59)</f>
        <v>0</v>
      </c>
      <c r="P59" s="155">
        <f>+IF(OR($Q59=Parametres!$G$2,$Q59=Parametres!$G$3),K59,E59)</f>
        <v>0.2</v>
      </c>
      <c r="Q59" s="154" t="str">
        <f t="shared" si="5"/>
        <v>1-Mémo</v>
      </c>
      <c r="R59" s="153" t="str">
        <f t="shared" si="5"/>
        <v>50</v>
      </c>
      <c r="S59" s="154">
        <f t="shared" si="5"/>
        <v>0</v>
      </c>
      <c r="T59" s="156" t="str">
        <f>+VLOOKUP($L59,Data_Validation!$A:$D,1,0)</f>
        <v>652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4" t="s">
        <v>2372</v>
      </c>
      <c r="B60" s="1014" t="s">
        <v>2373</v>
      </c>
      <c r="C60" s="1036"/>
      <c r="D60" s="1036"/>
      <c r="E60" s="1036"/>
      <c r="F60" s="1014" t="s">
        <v>1</v>
      </c>
      <c r="G60" s="1014" t="s">
        <v>2215</v>
      </c>
      <c r="H60" s="1015"/>
      <c r="I60" s="1016">
        <v>0.2</v>
      </c>
      <c r="J60" s="1016">
        <v>0</v>
      </c>
      <c r="K60" s="1016">
        <v>0.2</v>
      </c>
      <c r="L60" s="153" t="str">
        <f t="shared" si="0"/>
        <v>654</v>
      </c>
      <c r="M60" s="154" t="str">
        <f t="shared" si="1"/>
        <v>DIR. ADMINIS. SERVICE</v>
      </c>
      <c r="N60" s="155">
        <f>+IF(OR($Q60=Parametres!$G$2,$Q60=Parametres!$G$3),I60,C60)</f>
        <v>0.2</v>
      </c>
      <c r="O60" s="575">
        <f>+IF(OR($Q60=Parametres!$G$2,$Q60=Parametres!$G$3),J60,D60)</f>
        <v>0</v>
      </c>
      <c r="P60" s="155">
        <f>+IF(OR($Q60=Parametres!$G$2,$Q60=Parametres!$G$3),K60,E60)</f>
        <v>0.2</v>
      </c>
      <c r="Q60" s="154" t="str">
        <f t="shared" si="5"/>
        <v>1-Mémo</v>
      </c>
      <c r="R60" s="153" t="str">
        <f t="shared" si="5"/>
        <v>50</v>
      </c>
      <c r="S60" s="154">
        <f t="shared" si="5"/>
        <v>0</v>
      </c>
      <c r="T60" s="156" t="str">
        <f>+VLOOKUP($L60,Data_Validation!$A:$D,1,0)</f>
        <v>654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4" t="s">
        <v>2374</v>
      </c>
      <c r="B61" s="1014" t="s">
        <v>2375</v>
      </c>
      <c r="C61" s="1016"/>
      <c r="D61" s="1016"/>
      <c r="E61" s="1016"/>
      <c r="F61" s="1014" t="s">
        <v>1</v>
      </c>
      <c r="G61" s="1014" t="s">
        <v>2215</v>
      </c>
      <c r="H61" s="1015"/>
      <c r="I61" s="1015">
        <v>0.2</v>
      </c>
      <c r="J61" s="1015">
        <v>0</v>
      </c>
      <c r="K61" s="1015">
        <v>0.2</v>
      </c>
      <c r="L61" s="153" t="str">
        <f t="shared" si="0"/>
        <v>655</v>
      </c>
      <c r="M61" s="154" t="str">
        <f t="shared" si="1"/>
        <v>DIR. ADMINIS. CARROSS.</v>
      </c>
      <c r="N61" s="155">
        <f>+IF(OR($Q61=Parametres!$G$2,$Q61=Parametres!$G$3),I61,C61)</f>
        <v>0.2</v>
      </c>
      <c r="O61" s="575">
        <f>+IF(OR($Q61=Parametres!$G$2,$Q61=Parametres!$G$3),J61,D61)</f>
        <v>0</v>
      </c>
      <c r="P61" s="155">
        <f>+IF(OR($Q61=Parametres!$G$2,$Q61=Parametres!$G$3),K61,E61)</f>
        <v>0.2</v>
      </c>
      <c r="Q61" s="154" t="str">
        <f t="shared" si="5"/>
        <v>1-Mémo</v>
      </c>
      <c r="R61" s="153" t="str">
        <f t="shared" si="5"/>
        <v>50</v>
      </c>
      <c r="S61" s="154">
        <f t="shared" si="5"/>
        <v>0</v>
      </c>
      <c r="T61" s="156" t="str">
        <f>+VLOOKUP($L61,Data_Validation!$A:$D,1,0)</f>
        <v>655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4" t="s">
        <v>2376</v>
      </c>
      <c r="B62" s="1014" t="s">
        <v>2377</v>
      </c>
      <c r="C62" s="1016"/>
      <c r="D62" s="1016"/>
      <c r="E62" s="1016"/>
      <c r="F62" s="1014" t="s">
        <v>1</v>
      </c>
      <c r="G62" s="1014" t="s">
        <v>2215</v>
      </c>
      <c r="H62" s="1015"/>
      <c r="I62" s="1015">
        <v>0.2</v>
      </c>
      <c r="J62" s="1015">
        <v>0</v>
      </c>
      <c r="K62" s="1015">
        <v>0.2</v>
      </c>
      <c r="L62" s="153" t="str">
        <f t="shared" si="0"/>
        <v>657</v>
      </c>
      <c r="M62" s="154" t="str">
        <f t="shared" si="1"/>
        <v>DIR. ADMINIS. PIECES</v>
      </c>
      <c r="N62" s="155">
        <f>+IF(OR($Q62=Parametres!$G$2,$Q62=Parametres!$G$3),I62,C62)</f>
        <v>0.2</v>
      </c>
      <c r="O62" s="155">
        <f>+IF(OR($Q62=Parametres!$G$2,$Q62=Parametres!$G$3),J62,D62)</f>
        <v>0</v>
      </c>
      <c r="P62" s="155">
        <f>+IF(OR($Q62=Parametres!$G$2,$Q62=Parametres!$G$3),K62,E62)</f>
        <v>0.2</v>
      </c>
      <c r="Q62" s="154" t="str">
        <f t="shared" si="5"/>
        <v>1-Mémo</v>
      </c>
      <c r="R62" s="153" t="str">
        <f t="shared" si="5"/>
        <v>50</v>
      </c>
      <c r="S62" s="154">
        <f t="shared" si="5"/>
        <v>0</v>
      </c>
      <c r="T62" s="156" t="str">
        <f>+VLOOKUP($L62,Data_Validation!$A:$D,1,0)</f>
        <v>657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4" t="s">
        <v>2378</v>
      </c>
      <c r="B63" s="1014" t="s">
        <v>2379</v>
      </c>
      <c r="C63" s="1016"/>
      <c r="D63" s="1016"/>
      <c r="E63" s="1016"/>
      <c r="F63" s="1014" t="s">
        <v>1</v>
      </c>
      <c r="G63" s="1014" t="s">
        <v>2215</v>
      </c>
      <c r="H63" s="1015"/>
      <c r="I63" s="1015">
        <v>1</v>
      </c>
      <c r="J63" s="1015">
        <v>0</v>
      </c>
      <c r="K63" s="1015">
        <v>1</v>
      </c>
      <c r="L63" s="153" t="str">
        <f t="shared" si="0"/>
        <v>661</v>
      </c>
      <c r="M63" s="154" t="str">
        <f t="shared" si="1"/>
        <v>PERSONELS CLER. NEUFS</v>
      </c>
      <c r="N63" s="155">
        <f>+IF(OR($Q63=Parametres!$G$2,$Q63=Parametres!$G$3),I63,C63)</f>
        <v>1</v>
      </c>
      <c r="O63" s="155">
        <f>+IF(OR($Q63=Parametres!$G$2,$Q63=Parametres!$G$3),J63,D63)</f>
        <v>0</v>
      </c>
      <c r="P63" s="155">
        <f>+IF(OR($Q63=Parametres!$G$2,$Q63=Parametres!$G$3),K63,E63)</f>
        <v>1</v>
      </c>
      <c r="Q63" s="154" t="str">
        <f t="shared" si="5"/>
        <v>1-Mémo</v>
      </c>
      <c r="R63" s="153" t="str">
        <f t="shared" si="5"/>
        <v>50</v>
      </c>
      <c r="S63" s="154">
        <f t="shared" si="5"/>
        <v>0</v>
      </c>
      <c r="T63" s="156" t="str">
        <f>+VLOOKUP($L63,Data_Validation!$A:$D,1,0)</f>
        <v>661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4" t="s">
        <v>2380</v>
      </c>
      <c r="B64" s="1014" t="s">
        <v>2381</v>
      </c>
      <c r="C64" s="1016"/>
      <c r="D64" s="1016"/>
      <c r="E64" s="1016"/>
      <c r="F64" s="1014" t="s">
        <v>1</v>
      </c>
      <c r="G64" s="1014" t="s">
        <v>2215</v>
      </c>
      <c r="H64" s="1015"/>
      <c r="I64" s="1015">
        <v>1</v>
      </c>
      <c r="J64" s="1015">
        <v>0</v>
      </c>
      <c r="K64" s="1015">
        <v>1</v>
      </c>
      <c r="L64" s="153" t="str">
        <f t="shared" si="0"/>
        <v>662</v>
      </c>
      <c r="M64" s="154" t="str">
        <f t="shared" si="1"/>
        <v>PERSONELS CLER. USAGES</v>
      </c>
      <c r="N64" s="155">
        <f>+IF(OR($Q64=Parametres!$G$2,$Q64=Parametres!$G$3),I64,C64)</f>
        <v>1</v>
      </c>
      <c r="O64" s="155">
        <f>+IF(OR($Q64=Parametres!$G$2,$Q64=Parametres!$G$3),J64,D64)</f>
        <v>0</v>
      </c>
      <c r="P64" s="155">
        <f>+IF(OR($Q64=Parametres!$G$2,$Q64=Parametres!$G$3),K64,E64)</f>
        <v>1</v>
      </c>
      <c r="Q64" s="154" t="str">
        <f t="shared" si="5"/>
        <v>1-Mémo</v>
      </c>
      <c r="R64" s="153" t="str">
        <f t="shared" si="5"/>
        <v>50</v>
      </c>
      <c r="S64" s="154">
        <f t="shared" si="5"/>
        <v>0</v>
      </c>
      <c r="T64" s="156" t="str">
        <f>+VLOOKUP($L64,Data_Validation!$A:$D,1,0)</f>
        <v>662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4" t="s">
        <v>2382</v>
      </c>
      <c r="B65" s="1014" t="s">
        <v>2383</v>
      </c>
      <c r="C65" s="1016"/>
      <c r="D65" s="1016"/>
      <c r="E65" s="1016"/>
      <c r="F65" s="1014" t="s">
        <v>1</v>
      </c>
      <c r="G65" s="1014" t="s">
        <v>2215</v>
      </c>
      <c r="H65" s="1015"/>
      <c r="I65" s="1015">
        <v>1</v>
      </c>
      <c r="J65" s="1015">
        <v>0</v>
      </c>
      <c r="K65" s="1015">
        <v>1</v>
      </c>
      <c r="L65" s="153" t="str">
        <f t="shared" si="0"/>
        <v>664</v>
      </c>
      <c r="M65" s="154" t="str">
        <f t="shared" si="1"/>
        <v>PERSONELS CLER. SERVICE</v>
      </c>
      <c r="N65" s="155">
        <f>+IF(OR($Q65=Parametres!$G$2,$Q65=Parametres!$G$3),I65,C65)</f>
        <v>1</v>
      </c>
      <c r="O65" s="577">
        <f>+IF(OR($Q65=Parametres!$G$2,$Q65=Parametres!$G$3),J65,D65)</f>
        <v>0</v>
      </c>
      <c r="P65" s="155">
        <f>+IF(OR($Q65=Parametres!$G$2,$Q65=Parametres!$G$3),K65,E65)</f>
        <v>1</v>
      </c>
      <c r="Q65" s="154" t="str">
        <f t="shared" si="5"/>
        <v>1-Mémo</v>
      </c>
      <c r="R65" s="153" t="str">
        <f t="shared" si="5"/>
        <v>50</v>
      </c>
      <c r="S65" s="154">
        <f t="shared" si="5"/>
        <v>0</v>
      </c>
      <c r="T65" s="156" t="str">
        <f>+VLOOKUP($L65,Data_Validation!$A:$D,1,0)</f>
        <v>664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4" t="s">
        <v>2384</v>
      </c>
      <c r="B66" s="1014" t="s">
        <v>2385</v>
      </c>
      <c r="C66" s="1016"/>
      <c r="D66" s="1016"/>
      <c r="E66" s="1016"/>
      <c r="F66" s="1014" t="s">
        <v>1</v>
      </c>
      <c r="G66" s="1014" t="s">
        <v>2215</v>
      </c>
      <c r="H66" s="1015"/>
      <c r="I66" s="1015">
        <v>1</v>
      </c>
      <c r="J66" s="1015">
        <v>0</v>
      </c>
      <c r="K66" s="1015">
        <v>1</v>
      </c>
      <c r="L66" s="153" t="str">
        <f t="shared" si="0"/>
        <v>667</v>
      </c>
      <c r="M66" s="154" t="str">
        <f t="shared" si="1"/>
        <v>PERSONELS CLER. PIECES</v>
      </c>
      <c r="N66" s="155">
        <f>+IF(OR($Q66=Parametres!$G$2,$Q66=Parametres!$G$3),I66,C66)</f>
        <v>1</v>
      </c>
      <c r="O66" s="155">
        <f>+IF(OR($Q66=Parametres!$G$2,$Q66=Parametres!$G$3),J66,D66)</f>
        <v>0</v>
      </c>
      <c r="P66" s="155">
        <f>+IF(OR($Q66=Parametres!$G$2,$Q66=Parametres!$G$3),K66,E66)</f>
        <v>1</v>
      </c>
      <c r="Q66" s="154" t="str">
        <f t="shared" ref="Q66:S81" si="6">+F66</f>
        <v>1-Mémo</v>
      </c>
      <c r="R66" s="153" t="str">
        <f t="shared" si="6"/>
        <v>50</v>
      </c>
      <c r="S66" s="154">
        <f t="shared" si="6"/>
        <v>0</v>
      </c>
      <c r="T66" s="156" t="str">
        <f>+VLOOKUP($L66,Data_Validation!$A:$D,1,0)</f>
        <v>667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4" t="s">
        <v>2386</v>
      </c>
      <c r="B67" s="1014" t="s">
        <v>2387</v>
      </c>
      <c r="C67" s="1016"/>
      <c r="D67" s="1016"/>
      <c r="E67" s="1016"/>
      <c r="F67" s="1014" t="s">
        <v>1</v>
      </c>
      <c r="G67" s="1014" t="s">
        <v>2388</v>
      </c>
      <c r="H67" s="1015"/>
      <c r="I67" s="1015">
        <v>3</v>
      </c>
      <c r="J67" s="1015">
        <v>0</v>
      </c>
      <c r="K67" s="1015">
        <v>3</v>
      </c>
      <c r="L67" s="153" t="str">
        <f t="shared" si="0"/>
        <v>677</v>
      </c>
      <c r="M67" s="154" t="str">
        <f t="shared" si="1"/>
        <v>VW PIECES</v>
      </c>
      <c r="N67" s="155">
        <f>+IF(OR($Q67=Parametres!$G$2,$Q67=Parametres!$G$3),I67,C67)</f>
        <v>3</v>
      </c>
      <c r="O67" s="575">
        <f>+IF(OR($Q67=Parametres!$G$2,$Q67=Parametres!$G$3),J67,D67)</f>
        <v>0</v>
      </c>
      <c r="P67" s="155">
        <f>+IF(OR($Q67=Parametres!$G$2,$Q67=Parametres!$G$3),K67,E67)</f>
        <v>3</v>
      </c>
      <c r="Q67" s="154" t="str">
        <f t="shared" si="6"/>
        <v>1-Mémo</v>
      </c>
      <c r="R67" s="153" t="str">
        <f t="shared" si="6"/>
        <v>67</v>
      </c>
      <c r="S67" s="154">
        <f t="shared" si="6"/>
        <v>0</v>
      </c>
      <c r="T67" s="156" t="str">
        <f>+VLOOKUP($L67,Data_Validation!$A:$D,1,0)</f>
        <v>677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4" t="s">
        <v>2854</v>
      </c>
      <c r="B68" s="1014" t="s">
        <v>2393</v>
      </c>
      <c r="C68" s="1016">
        <v>1334089.08</v>
      </c>
      <c r="D68" s="1016">
        <v>200876.96</v>
      </c>
      <c r="E68" s="1016">
        <v>1534966.04</v>
      </c>
      <c r="F68" s="1014" t="s">
        <v>293</v>
      </c>
      <c r="G68" s="1014" t="s">
        <v>2393</v>
      </c>
      <c r="H68" s="1015"/>
      <c r="I68" s="1015"/>
      <c r="J68" s="1015"/>
      <c r="K68" s="1015"/>
      <c r="L68" s="153" t="str">
        <f t="shared" si="0"/>
        <v>1102</v>
      </c>
      <c r="M68" s="154" t="str">
        <f t="shared" si="1"/>
        <v>BANQUE DE COMMERCE C/C</v>
      </c>
      <c r="N68" s="155">
        <f>+IF(OR($Q68=Parametres!$G$2,$Q68=Parametres!$G$3),I68,C68)</f>
        <v>1334089.08</v>
      </c>
      <c r="O68" s="155">
        <f>+IF(OR($Q68=Parametres!$G$2,$Q68=Parametres!$G$3),J68,D68)</f>
        <v>200876.96</v>
      </c>
      <c r="P68" s="155">
        <f>+IF(OR($Q68=Parametres!$G$2,$Q68=Parametres!$G$3),K68,E68)</f>
        <v>1534966.04</v>
      </c>
      <c r="Q68" s="154" t="str">
        <f t="shared" si="6"/>
        <v>2-Actifs</v>
      </c>
      <c r="R68" s="153" t="str">
        <f t="shared" si="6"/>
        <v>1102</v>
      </c>
      <c r="S68" s="154">
        <f t="shared" si="6"/>
        <v>0</v>
      </c>
      <c r="T68" s="156" t="str">
        <f>+VLOOKUP($L68,Data_Validation!$A:$D,1,0)</f>
        <v>1102</v>
      </c>
      <c r="U68" s="156" t="str">
        <f>+VLOOKUP($L68,Data_Validation!$A:$D,3,0)</f>
        <v>Bilan</v>
      </c>
      <c r="V68" s="156" t="str">
        <f>+VLOOKUP($L68,Data_Validation!$A:$D,4,0)</f>
        <v>Encaisse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4" t="s">
        <v>2391</v>
      </c>
      <c r="B69" s="1014" t="s">
        <v>2392</v>
      </c>
      <c r="C69" s="1016">
        <v>150</v>
      </c>
      <c r="D69" s="1016">
        <v>0</v>
      </c>
      <c r="E69" s="1016">
        <v>150</v>
      </c>
      <c r="F69" s="1014" t="s">
        <v>293</v>
      </c>
      <c r="G69" s="1014" t="s">
        <v>2393</v>
      </c>
      <c r="H69" s="1015"/>
      <c r="I69" s="1015"/>
      <c r="J69" s="1015"/>
      <c r="K69" s="1015"/>
      <c r="L69" s="153" t="str">
        <f t="shared" si="0"/>
        <v>1182</v>
      </c>
      <c r="M69" s="154" t="str">
        <f t="shared" si="1"/>
        <v>PETITE CAISSE</v>
      </c>
      <c r="N69" s="155">
        <f>+IF(OR($Q69=Parametres!$G$2,$Q69=Parametres!$G$3),I69,C69)</f>
        <v>150</v>
      </c>
      <c r="O69" s="155">
        <f>+IF(OR($Q69=Parametres!$G$2,$Q69=Parametres!$G$3),J69,D69)</f>
        <v>0</v>
      </c>
      <c r="P69" s="155">
        <f>+IF(OR($Q69=Parametres!$G$2,$Q69=Parametres!$G$3),K69,E69)</f>
        <v>150</v>
      </c>
      <c r="Q69" s="154" t="str">
        <f t="shared" si="6"/>
        <v>2-Actifs</v>
      </c>
      <c r="R69" s="153" t="str">
        <f t="shared" si="6"/>
        <v>1102</v>
      </c>
      <c r="S69" s="154">
        <f t="shared" si="6"/>
        <v>0</v>
      </c>
      <c r="T69" s="156" t="str">
        <f>+VLOOKUP($L69,Data_Validation!$A:$D,1,0)</f>
        <v>1182</v>
      </c>
      <c r="U69" s="156" t="str">
        <f>+VLOOKUP($L69,Data_Validation!$A:$D,3,0)</f>
        <v>Bilan</v>
      </c>
      <c r="V69" s="156" t="str">
        <f>+VLOOKUP($L69,Data_Validation!$A:$D,4,0)</f>
        <v>Encaisse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4" t="s">
        <v>2183</v>
      </c>
      <c r="B70" s="1014" t="s">
        <v>2184</v>
      </c>
      <c r="C70" s="1016">
        <v>918872.76</v>
      </c>
      <c r="D70" s="1016">
        <v>745753.01</v>
      </c>
      <c r="E70" s="1016">
        <v>1664625.77</v>
      </c>
      <c r="F70" s="1014" t="s">
        <v>293</v>
      </c>
      <c r="G70" s="1014" t="s">
        <v>2184</v>
      </c>
      <c r="H70" s="1015"/>
      <c r="I70" s="1015"/>
      <c r="J70" s="1015"/>
      <c r="K70" s="1015"/>
      <c r="L70" s="153" t="str">
        <f t="shared" si="0"/>
        <v>1202</v>
      </c>
      <c r="M70" s="154" t="str">
        <f t="shared" si="1"/>
        <v>CONTRATS EN TRANSIT</v>
      </c>
      <c r="N70" s="155">
        <f>+IF(OR($Q70=Parametres!$G$2,$Q70=Parametres!$G$3),I70,C70)</f>
        <v>918872.76</v>
      </c>
      <c r="O70" s="155">
        <f>+IF(OR($Q70=Parametres!$G$2,$Q70=Parametres!$G$3),J70,D70)</f>
        <v>745753.01</v>
      </c>
      <c r="P70" s="155">
        <f>+IF(OR($Q70=Parametres!$G$2,$Q70=Parametres!$G$3),K70,E70)</f>
        <v>1664625.77</v>
      </c>
      <c r="Q70" s="154" t="str">
        <f t="shared" si="6"/>
        <v>2-Actifs</v>
      </c>
      <c r="R70" s="153" t="str">
        <f t="shared" si="6"/>
        <v>1202</v>
      </c>
      <c r="S70" s="154">
        <f t="shared" si="6"/>
        <v>0</v>
      </c>
      <c r="T70" s="156" t="str">
        <f>+VLOOKUP($L70,Data_Validation!$A:$D,1,0)</f>
        <v>1202</v>
      </c>
      <c r="U70" s="156" t="str">
        <f>+VLOOKUP($L70,Data_Validation!$A:$D,3,0)</f>
        <v>Bilan</v>
      </c>
      <c r="V70" s="156" t="str">
        <f>+VLOOKUP($L70,Data_Validation!$A:$D,4,0)</f>
        <v>Recevables Contrats en Transit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4" t="s">
        <v>2027</v>
      </c>
      <c r="B71" s="1014" t="s">
        <v>2017</v>
      </c>
      <c r="C71" s="1016">
        <v>10973.4</v>
      </c>
      <c r="D71" s="1016">
        <v>24057.81</v>
      </c>
      <c r="E71" s="1016">
        <v>35031.21</v>
      </c>
      <c r="F71" s="1014" t="s">
        <v>293</v>
      </c>
      <c r="G71" s="1014" t="s">
        <v>2017</v>
      </c>
      <c r="H71" s="1015"/>
      <c r="I71" s="1015"/>
      <c r="J71" s="1015"/>
      <c r="K71" s="1015"/>
      <c r="L71" s="153" t="str">
        <f t="shared" si="0"/>
        <v>1302</v>
      </c>
      <c r="M71" s="154" t="str">
        <f t="shared" si="1"/>
        <v>RECEVABLE-CLIENT-VEHICULE</v>
      </c>
      <c r="N71" s="155">
        <f>+IF(OR($Q71=Parametres!$G$2,$Q71=Parametres!$G$3),I71,C71)</f>
        <v>10973.4</v>
      </c>
      <c r="O71" s="575">
        <f>+IF(OR($Q71=Parametres!$G$2,$Q71=Parametres!$G$3),J71,D71)</f>
        <v>24057.81</v>
      </c>
      <c r="P71" s="155">
        <f>+IF(OR($Q71=Parametres!$G$2,$Q71=Parametres!$G$3),K71,E71)</f>
        <v>35031.21</v>
      </c>
      <c r="Q71" s="154" t="str">
        <f t="shared" si="6"/>
        <v>2-Actifs</v>
      </c>
      <c r="R71" s="153" t="str">
        <f t="shared" si="6"/>
        <v>1302</v>
      </c>
      <c r="S71" s="154">
        <f t="shared" si="6"/>
        <v>0</v>
      </c>
      <c r="T71" s="156" t="str">
        <f>+VLOOKUP($L71,Data_Validation!$A:$D,1,0)</f>
        <v>1302</v>
      </c>
      <c r="U71" s="156" t="str">
        <f>+VLOOKUP($L71,Data_Validation!$A:$D,3,0)</f>
        <v>Bilan</v>
      </c>
      <c r="V71" s="156" t="str">
        <f>+VLOOKUP($L71,Data_Validation!$A:$D,4,0)</f>
        <v>Recevables Véhicules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4" t="s">
        <v>2015</v>
      </c>
      <c r="B72" s="1014" t="s">
        <v>2016</v>
      </c>
      <c r="C72" s="1016">
        <v>25938.27</v>
      </c>
      <c r="D72" s="1016">
        <v>-32273.51</v>
      </c>
      <c r="E72" s="1016">
        <v>-6335.24</v>
      </c>
      <c r="F72" s="1014" t="s">
        <v>293</v>
      </c>
      <c r="G72" s="1014" t="s">
        <v>2017</v>
      </c>
      <c r="H72" s="1015"/>
      <c r="I72" s="1015"/>
      <c r="J72" s="1015"/>
      <c r="K72" s="1015"/>
      <c r="L72" s="153" t="str">
        <f t="shared" si="0"/>
        <v>1303</v>
      </c>
      <c r="M72" s="154" t="str">
        <f t="shared" si="1"/>
        <v>RECEVABLES LPA ET AU GROS</v>
      </c>
      <c r="N72" s="155">
        <f>+IF(OR($Q72=Parametres!$G$2,$Q72=Parametres!$G$3),I72,C72)</f>
        <v>25938.27</v>
      </c>
      <c r="O72" s="155">
        <f>+IF(OR($Q72=Parametres!$G$2,$Q72=Parametres!$G$3),J72,D72)</f>
        <v>-32273.51</v>
      </c>
      <c r="P72" s="155">
        <f>+IF(OR($Q72=Parametres!$G$2,$Q72=Parametres!$G$3),K72,E72)</f>
        <v>-6335.24</v>
      </c>
      <c r="Q72" s="154" t="str">
        <f t="shared" si="6"/>
        <v>2-Actifs</v>
      </c>
      <c r="R72" s="153" t="str">
        <f t="shared" si="6"/>
        <v>1302</v>
      </c>
      <c r="S72" s="154">
        <f t="shared" si="6"/>
        <v>0</v>
      </c>
      <c r="T72" s="156" t="str">
        <f>+VLOOKUP($L72,Data_Validation!$A:$D,1,0)</f>
        <v>1303</v>
      </c>
      <c r="U72" s="156" t="str">
        <f>+VLOOKUP($L72,Data_Validation!$A:$D,3,0)</f>
        <v>Bilan</v>
      </c>
      <c r="V72" s="156" t="str">
        <f>+VLOOKUP($L72,Data_Validation!$A:$D,4,0)</f>
        <v>Recevables Véhicules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4" t="s">
        <v>2102</v>
      </c>
      <c r="B73" s="1014" t="s">
        <v>2103</v>
      </c>
      <c r="C73" s="1016">
        <v>83373.27</v>
      </c>
      <c r="D73" s="1016">
        <v>-1649.43</v>
      </c>
      <c r="E73" s="1016">
        <v>81723.839999999997</v>
      </c>
      <c r="F73" s="1014" t="s">
        <v>293</v>
      </c>
      <c r="G73" s="1014" t="s">
        <v>2103</v>
      </c>
      <c r="H73" s="1015"/>
      <c r="I73" s="1015"/>
      <c r="J73" s="1015"/>
      <c r="K73" s="1015"/>
      <c r="L73" s="153" t="str">
        <f t="shared" si="0"/>
        <v>1304</v>
      </c>
      <c r="M73" s="154" t="str">
        <f t="shared" si="1"/>
        <v>RECEVABLES PIECES &amp; SERVICE</v>
      </c>
      <c r="N73" s="155">
        <f>+IF(OR($Q73=Parametres!$G$2,$Q73=Parametres!$G$3),I73,C73)</f>
        <v>83373.27</v>
      </c>
      <c r="O73" s="155">
        <f>+IF(OR($Q73=Parametres!$G$2,$Q73=Parametres!$G$3),J73,D73)</f>
        <v>-1649.43</v>
      </c>
      <c r="P73" s="155">
        <f>+IF(OR($Q73=Parametres!$G$2,$Q73=Parametres!$G$3),K73,E73)</f>
        <v>81723.839999999997</v>
      </c>
      <c r="Q73" s="154" t="str">
        <f t="shared" si="6"/>
        <v>2-Actifs</v>
      </c>
      <c r="R73" s="153" t="str">
        <f t="shared" si="6"/>
        <v>1304</v>
      </c>
      <c r="S73" s="154">
        <f t="shared" si="6"/>
        <v>0</v>
      </c>
      <c r="T73" s="156" t="str">
        <f>+VLOOKUP($L73,Data_Validation!$A:$D,1,0)</f>
        <v>1304</v>
      </c>
      <c r="U73" s="156" t="str">
        <f>+VLOOKUP($L73,Data_Validation!$A:$D,3,0)</f>
        <v>Bilan</v>
      </c>
      <c r="V73" s="156" t="str">
        <f>+VLOOKUP($L73,Data_Validation!$A:$D,4,0)</f>
        <v>Recevables Pièces et Service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4" t="s">
        <v>2737</v>
      </c>
      <c r="B74" s="1014" t="s">
        <v>2738</v>
      </c>
      <c r="C74" s="1016">
        <v>80894.350000000006</v>
      </c>
      <c r="D74" s="1016">
        <v>7571.94</v>
      </c>
      <c r="E74" s="1016">
        <v>88466.29</v>
      </c>
      <c r="F74" s="1014" t="s">
        <v>293</v>
      </c>
      <c r="G74" s="1014" t="s">
        <v>2103</v>
      </c>
      <c r="H74" s="1015"/>
      <c r="I74" s="1015"/>
      <c r="J74" s="1015"/>
      <c r="K74" s="1015"/>
      <c r="L74" s="153" t="str">
        <f t="shared" si="0"/>
        <v>1305</v>
      </c>
      <c r="M74" s="154" t="str">
        <f t="shared" si="1"/>
        <v>RECEVABLES CARROSSERIE</v>
      </c>
      <c r="N74" s="155">
        <f>+IF(OR($Q74=Parametres!$G$2,$Q74=Parametres!$G$3),I74,C74)</f>
        <v>80894.350000000006</v>
      </c>
      <c r="O74" s="155">
        <f>+IF(OR($Q74=Parametres!$G$2,$Q74=Parametres!$G$3),J74,D74)</f>
        <v>7571.94</v>
      </c>
      <c r="P74" s="155">
        <f>+IF(OR($Q74=Parametres!$G$2,$Q74=Parametres!$G$3),K74,E74)</f>
        <v>88466.29</v>
      </c>
      <c r="Q74" s="154" t="str">
        <f t="shared" si="6"/>
        <v>2-Actifs</v>
      </c>
      <c r="R74" s="153" t="str">
        <f t="shared" si="6"/>
        <v>1304</v>
      </c>
      <c r="S74" s="154">
        <f t="shared" si="6"/>
        <v>0</v>
      </c>
      <c r="T74" s="156" t="str">
        <f>+VLOOKUP($L74,Data_Validation!$A:$D,1,0)</f>
        <v>1305</v>
      </c>
      <c r="U74" s="156" t="str">
        <f>+VLOOKUP($L74,Data_Validation!$A:$D,3,0)</f>
        <v>Bilan</v>
      </c>
      <c r="V74" s="156" t="str">
        <f>+VLOOKUP($L74,Data_Validation!$A:$D,4,0)</f>
        <v>Recevables Carrosserie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4" t="s">
        <v>2834</v>
      </c>
      <c r="B75" s="1014" t="s">
        <v>2835</v>
      </c>
      <c r="C75" s="1036">
        <v>350213</v>
      </c>
      <c r="D75" s="1036">
        <v>-109714</v>
      </c>
      <c r="E75" s="1036">
        <v>240499</v>
      </c>
      <c r="F75" s="1014" t="s">
        <v>293</v>
      </c>
      <c r="G75" s="1014" t="s">
        <v>2022</v>
      </c>
      <c r="H75" s="1015"/>
      <c r="I75" s="1016"/>
      <c r="J75" s="1016"/>
      <c r="K75" s="1016"/>
      <c r="L75" s="153" t="str">
        <f t="shared" si="0"/>
        <v>1312</v>
      </c>
      <c r="M75" s="154" t="str">
        <f t="shared" si="1"/>
        <v>RESEVE VOLKS</v>
      </c>
      <c r="N75" s="155">
        <f>+IF(OR($Q75=Parametres!$G$2,$Q75=Parametres!$G$3),I75,C75)</f>
        <v>350213</v>
      </c>
      <c r="O75" s="155">
        <f>+IF(OR($Q75=Parametres!$G$2,$Q75=Parametres!$G$3),J75,D75)</f>
        <v>-109714</v>
      </c>
      <c r="P75" s="155">
        <f>+IF(OR($Q75=Parametres!$G$2,$Q75=Parametres!$G$3),K75,E75)</f>
        <v>240499</v>
      </c>
      <c r="Q75" s="154" t="str">
        <f t="shared" si="6"/>
        <v>2-Actifs</v>
      </c>
      <c r="R75" s="153" t="str">
        <f t="shared" si="6"/>
        <v>1314</v>
      </c>
      <c r="S75" s="154">
        <f t="shared" si="6"/>
        <v>0</v>
      </c>
      <c r="T75" s="156" t="str">
        <f>+VLOOKUP($L75,Data_Validation!$A:$D,1,0)</f>
        <v>1312</v>
      </c>
      <c r="U75" s="156" t="str">
        <f>+VLOOKUP($L75,Data_Validation!$A:$D,3,0)</f>
        <v>Bilan</v>
      </c>
      <c r="V75" s="156" t="str">
        <f>+VLOOKUP($L75,Data_Validation!$A:$D,4,0)</f>
        <v>Recevables Manufacturier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4" t="s">
        <v>2060</v>
      </c>
      <c r="B76" s="1014" t="s">
        <v>2061</v>
      </c>
      <c r="C76" s="1016">
        <v>132922.39000000001</v>
      </c>
      <c r="D76" s="1016">
        <v>27568.26</v>
      </c>
      <c r="E76" s="1016">
        <v>160490.65</v>
      </c>
      <c r="F76" s="1014" t="s">
        <v>293</v>
      </c>
      <c r="G76" s="1014" t="s">
        <v>2061</v>
      </c>
      <c r="H76" s="1015"/>
      <c r="I76" s="1015"/>
      <c r="J76" s="1015"/>
      <c r="K76" s="1015"/>
      <c r="L76" s="153" t="str">
        <f t="shared" si="0"/>
        <v>1332</v>
      </c>
      <c r="M76" s="154" t="str">
        <f t="shared" si="1"/>
        <v>RECLAM. RECEVABLE-GARANTIE</v>
      </c>
      <c r="N76" s="155">
        <f>+IF(OR($Q76=Parametres!$G$2,$Q76=Parametres!$G$3),I76,C76)</f>
        <v>132922.39000000001</v>
      </c>
      <c r="O76" s="155">
        <f>+IF(OR($Q76=Parametres!$G$2,$Q76=Parametres!$G$3),J76,D76)</f>
        <v>27568.26</v>
      </c>
      <c r="P76" s="155">
        <f>+IF(OR($Q76=Parametres!$G$2,$Q76=Parametres!$G$3),K76,E76)</f>
        <v>160490.65</v>
      </c>
      <c r="Q76" s="154" t="str">
        <f t="shared" si="6"/>
        <v>2-Actifs</v>
      </c>
      <c r="R76" s="153" t="str">
        <f t="shared" si="6"/>
        <v>1332</v>
      </c>
      <c r="S76" s="154">
        <f t="shared" si="6"/>
        <v>0</v>
      </c>
      <c r="T76" s="156" t="str">
        <f>+VLOOKUP($L76,Data_Validation!$A:$D,1,0)</f>
        <v>1332</v>
      </c>
      <c r="U76" s="156" t="str">
        <f>+VLOOKUP($L76,Data_Validation!$A:$D,3,0)</f>
        <v>Bilan</v>
      </c>
      <c r="V76" s="156" t="str">
        <f>+VLOOKUP($L76,Data_Validation!$A:$D,4,0)</f>
        <v>Recevables Garantie Manufacturier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4" t="s">
        <v>2783</v>
      </c>
      <c r="B77" s="1014" t="s">
        <v>2784</v>
      </c>
      <c r="C77" s="1016">
        <v>5059.8100000000004</v>
      </c>
      <c r="D77" s="1016">
        <v>6694.55</v>
      </c>
      <c r="E77" s="1016">
        <v>11754.36</v>
      </c>
      <c r="F77" s="1014" t="s">
        <v>293</v>
      </c>
      <c r="G77" s="1014" t="s">
        <v>2623</v>
      </c>
      <c r="H77" s="1015"/>
      <c r="I77" s="1015"/>
      <c r="J77" s="1015"/>
      <c r="K77" s="1015"/>
      <c r="L77" s="153" t="str">
        <f t="shared" si="0"/>
        <v>1340</v>
      </c>
      <c r="M77" s="154" t="str">
        <f t="shared" si="1"/>
        <v>GARANTIE PPM</v>
      </c>
      <c r="N77" s="155">
        <f>+IF(OR($Q77=Parametres!$G$2,$Q77=Parametres!$G$3),I77,C77)</f>
        <v>5059.8100000000004</v>
      </c>
      <c r="O77" s="155">
        <f>+IF(OR($Q77=Parametres!$G$2,$Q77=Parametres!$G$3),J77,D77)</f>
        <v>6694.55</v>
      </c>
      <c r="P77" s="155">
        <f>+IF(OR($Q77=Parametres!$G$2,$Q77=Parametres!$G$3),K77,E77)</f>
        <v>11754.36</v>
      </c>
      <c r="Q77" s="154" t="str">
        <f t="shared" si="6"/>
        <v>2-Actifs</v>
      </c>
      <c r="R77" s="153" t="str">
        <f t="shared" si="6"/>
        <v>1382</v>
      </c>
      <c r="S77" s="154">
        <f t="shared" si="6"/>
        <v>0</v>
      </c>
      <c r="T77" s="156" t="str">
        <f>+VLOOKUP($L77,Data_Validation!$A:$D,1,0)</f>
        <v>1340</v>
      </c>
      <c r="U77" s="156" t="str">
        <f>+VLOOKUP($L77,Data_Validation!$A:$D,3,0)</f>
        <v>Bilan</v>
      </c>
      <c r="V77" s="156" t="str">
        <f>+VLOOKUP($L77,Data_Validation!$A:$D,4,0)</f>
        <v>recevables Autres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4" t="s">
        <v>2020</v>
      </c>
      <c r="B78" s="1014" t="s">
        <v>2021</v>
      </c>
      <c r="C78" s="1016">
        <v>146971.81</v>
      </c>
      <c r="D78" s="1016">
        <v>-25800</v>
      </c>
      <c r="E78" s="1016">
        <v>121171.81</v>
      </c>
      <c r="F78" s="1014" t="s">
        <v>293</v>
      </c>
      <c r="G78" s="1014" t="s">
        <v>2022</v>
      </c>
      <c r="H78" s="1015"/>
      <c r="I78" s="1015"/>
      <c r="J78" s="1015"/>
      <c r="K78" s="1015"/>
      <c r="L78" s="153" t="str">
        <f t="shared" si="0"/>
        <v>1352</v>
      </c>
      <c r="M78" s="154" t="str">
        <f t="shared" si="1"/>
        <v>RECEV. MANUFACTURIER VOLKS</v>
      </c>
      <c r="N78" s="155">
        <f>+IF(OR($Q78=Parametres!$G$2,$Q78=Parametres!$G$3),I78,C78)</f>
        <v>146971.81</v>
      </c>
      <c r="O78" s="575">
        <f>+IF(OR($Q78=Parametres!$G$2,$Q78=Parametres!$G$3),J78,D78)</f>
        <v>-25800</v>
      </c>
      <c r="P78" s="155">
        <f>+IF(OR($Q78=Parametres!$G$2,$Q78=Parametres!$G$3),K78,E78)</f>
        <v>121171.81</v>
      </c>
      <c r="Q78" s="154" t="str">
        <f t="shared" si="6"/>
        <v>2-Actifs</v>
      </c>
      <c r="R78" s="153" t="str">
        <f t="shared" si="6"/>
        <v>1314</v>
      </c>
      <c r="S78" s="154">
        <f t="shared" si="6"/>
        <v>0</v>
      </c>
      <c r="T78" s="156" t="str">
        <f>+VLOOKUP($L78,Data_Validation!$A:$D,1,0)</f>
        <v>1352</v>
      </c>
      <c r="U78" s="156" t="str">
        <f>+VLOOKUP($L78,Data_Validation!$A:$D,3,0)</f>
        <v>Bilan</v>
      </c>
      <c r="V78" s="156" t="str">
        <f>+VLOOKUP($L78,Data_Validation!$A:$D,4,0)</f>
        <v>Recevables Manufacturier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4" t="s">
        <v>2621</v>
      </c>
      <c r="B79" s="1014" t="s">
        <v>2622</v>
      </c>
      <c r="C79" s="1015">
        <v>800</v>
      </c>
      <c r="D79" s="1015">
        <v>400</v>
      </c>
      <c r="E79" s="1036">
        <v>1200</v>
      </c>
      <c r="F79" s="1014" t="s">
        <v>293</v>
      </c>
      <c r="G79" s="1014" t="s">
        <v>2623</v>
      </c>
      <c r="H79" s="1015"/>
      <c r="I79" s="1016"/>
      <c r="J79" s="1016"/>
      <c r="K79" s="1016"/>
      <c r="L79" s="153" t="str">
        <f t="shared" si="0"/>
        <v>1364</v>
      </c>
      <c r="M79" s="154" t="str">
        <f t="shared" si="1"/>
        <v>A RECEVOIR LAR</v>
      </c>
      <c r="N79" s="155">
        <f>+IF(OR($Q79=Parametres!$G$2,$Q79=Parametres!$G$3),I79,C79)</f>
        <v>800</v>
      </c>
      <c r="O79" s="155">
        <f>+IF(OR($Q79=Parametres!$G$2,$Q79=Parametres!$G$3),J79,D79)</f>
        <v>400</v>
      </c>
      <c r="P79" s="155">
        <f>+IF(OR($Q79=Parametres!$G$2,$Q79=Parametres!$G$3),K79,E79)</f>
        <v>1200</v>
      </c>
      <c r="Q79" s="154" t="str">
        <f t="shared" si="6"/>
        <v>2-Actifs</v>
      </c>
      <c r="R79" s="153" t="str">
        <f t="shared" si="6"/>
        <v>1382</v>
      </c>
      <c r="S79" s="154">
        <f t="shared" si="6"/>
        <v>0</v>
      </c>
      <c r="T79" s="156" t="str">
        <f>+VLOOKUP($L79,Data_Validation!$A:$D,1,0)</f>
        <v>1364</v>
      </c>
      <c r="U79" s="156" t="str">
        <f>+VLOOKUP($L79,Data_Validation!$A:$D,3,0)</f>
        <v>Bilan</v>
      </c>
      <c r="V79" s="156" t="str">
        <f>+VLOOKUP($L79,Data_Validation!$A:$D,4,0)</f>
        <v>recevables Autres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4" t="s">
        <v>2822</v>
      </c>
      <c r="B80" s="1014" t="s">
        <v>2823</v>
      </c>
      <c r="C80" s="1016">
        <v>6899.72</v>
      </c>
      <c r="D80" s="1016">
        <v>37445.089999999997</v>
      </c>
      <c r="E80" s="1016">
        <v>44344.81</v>
      </c>
      <c r="F80" s="1014" t="s">
        <v>293</v>
      </c>
      <c r="G80" s="1014" t="s">
        <v>2823</v>
      </c>
      <c r="H80" s="1015"/>
      <c r="I80" s="1015"/>
      <c r="J80" s="1015"/>
      <c r="K80" s="1015"/>
      <c r="L80" s="153" t="str">
        <f t="shared" si="0"/>
        <v>1372</v>
      </c>
      <c r="M80" s="154" t="str">
        <f t="shared" si="1"/>
        <v>TAXES DE VENTES A RECEVOIR</v>
      </c>
      <c r="N80" s="155">
        <f>+IF(OR($Q80=Parametres!$G$2,$Q80=Parametres!$G$3),I80,C80)</f>
        <v>6899.72</v>
      </c>
      <c r="O80" s="155">
        <f>+IF(OR($Q80=Parametres!$G$2,$Q80=Parametres!$G$3),J80,D80)</f>
        <v>37445.089999999997</v>
      </c>
      <c r="P80" s="155">
        <f>+IF(OR($Q80=Parametres!$G$2,$Q80=Parametres!$G$3),K80,E80)</f>
        <v>44344.81</v>
      </c>
      <c r="Q80" s="154" t="str">
        <f t="shared" si="6"/>
        <v>2-Actifs</v>
      </c>
      <c r="R80" s="153" t="str">
        <f t="shared" si="6"/>
        <v>1372</v>
      </c>
      <c r="S80" s="154">
        <f t="shared" si="6"/>
        <v>0</v>
      </c>
      <c r="T80" s="156" t="str">
        <f>+VLOOKUP($L80,Data_Validation!$A:$D,1,0)</f>
        <v>1372</v>
      </c>
      <c r="U80" s="156" t="str">
        <f>+VLOOKUP($L80,Data_Validation!$A:$D,3,0)</f>
        <v>Bilan</v>
      </c>
      <c r="V80" s="156" t="str">
        <f>+VLOOKUP($L80,Data_Validation!$A:$D,4,0)</f>
        <v>recevables Autres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4" t="s">
        <v>2109</v>
      </c>
      <c r="B81" s="1014" t="s">
        <v>2110</v>
      </c>
      <c r="C81" s="1016">
        <v>9304780.5500000007</v>
      </c>
      <c r="D81" s="1016">
        <v>-437445.96</v>
      </c>
      <c r="E81" s="1016">
        <v>8867334.5899999999</v>
      </c>
      <c r="F81" s="1014" t="s">
        <v>293</v>
      </c>
      <c r="G81" s="1014" t="s">
        <v>2110</v>
      </c>
      <c r="H81" s="972"/>
      <c r="I81" s="973"/>
      <c r="J81" s="973"/>
      <c r="K81" s="973"/>
      <c r="L81" s="153" t="str">
        <f t="shared" si="0"/>
        <v>1402</v>
      </c>
      <c r="M81" s="154" t="str">
        <f t="shared" si="1"/>
        <v>VEHIC. NEUFS VOLKS</v>
      </c>
      <c r="N81" s="155">
        <f>+IF(OR($Q81=Parametres!$G$2,$Q81=Parametres!$G$3),I81,C81)</f>
        <v>9304780.5500000007</v>
      </c>
      <c r="O81" s="155">
        <f>+IF(OR($Q81=Parametres!$G$2,$Q81=Parametres!$G$3),J81,D81)</f>
        <v>-437445.96</v>
      </c>
      <c r="P81" s="155">
        <f>+IF(OR($Q81=Parametres!$G$2,$Q81=Parametres!$G$3),K81,E81)</f>
        <v>8867334.5899999999</v>
      </c>
      <c r="Q81" s="154" t="str">
        <f t="shared" si="6"/>
        <v>2-Actifs</v>
      </c>
      <c r="R81" s="153" t="str">
        <f t="shared" si="6"/>
        <v>1402</v>
      </c>
      <c r="S81" s="154">
        <f t="shared" si="6"/>
        <v>0</v>
      </c>
      <c r="T81" s="156" t="str">
        <f>+VLOOKUP($L81,Data_Validation!$A:$D,1,0)</f>
        <v>1402</v>
      </c>
      <c r="U81" s="156" t="str">
        <f>+VLOOKUP($L81,Data_Validation!$A:$D,3,0)</f>
        <v>Bilan</v>
      </c>
      <c r="V81" s="156" t="str">
        <f>+VLOOKUP($L81,Data_Validation!$A:$D,4,0)</f>
        <v>Inventaire Véhicules Neufs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4" t="s">
        <v>2477</v>
      </c>
      <c r="B82" s="1014" t="s">
        <v>2478</v>
      </c>
      <c r="C82" s="1016"/>
      <c r="D82" s="1016"/>
      <c r="E82" s="1016"/>
      <c r="F82" s="1014" t="s">
        <v>4</v>
      </c>
      <c r="G82" s="1014" t="s">
        <v>2110</v>
      </c>
      <c r="H82" s="972"/>
      <c r="I82" s="973">
        <v>306</v>
      </c>
      <c r="J82" s="973">
        <v>-20</v>
      </c>
      <c r="K82" s="973">
        <v>286</v>
      </c>
      <c r="L82" s="153" t="str">
        <f t="shared" si="0"/>
        <v>1402@</v>
      </c>
      <c r="M82" s="154" t="str">
        <f t="shared" si="1"/>
        <v># DE INVENTAIRE VEH.NEUFS VW</v>
      </c>
      <c r="N82" s="155">
        <f>+IF(OR($Q82=Parametres!$G$2,$Q82=Parametres!$G$3),I82,C82)</f>
        <v>306</v>
      </c>
      <c r="O82" s="155">
        <f>+IF(OR($Q82=Parametres!$G$2,$Q82=Parametres!$G$3),J82,D82)</f>
        <v>-20</v>
      </c>
      <c r="P82" s="155">
        <f>+IF(OR($Q82=Parametres!$G$2,$Q82=Parametres!$G$3),K82,E82)</f>
        <v>286</v>
      </c>
      <c r="Q82" s="154" t="str">
        <f t="shared" ref="Q82:S97" si="7">+F82</f>
        <v>10-Compte compteur</v>
      </c>
      <c r="R82" s="153" t="str">
        <f t="shared" si="7"/>
        <v>1402</v>
      </c>
      <c r="S82" s="154">
        <f t="shared" si="7"/>
        <v>0</v>
      </c>
      <c r="T82" s="156" t="str">
        <f>+VLOOKUP($L82,Data_Validation!$A:$D,1,0)</f>
        <v>1402@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customHeight="1">
      <c r="A83" s="1014" t="s">
        <v>2118</v>
      </c>
      <c r="B83" s="1014" t="s">
        <v>2119</v>
      </c>
      <c r="C83" s="1016">
        <v>-7791.33</v>
      </c>
      <c r="D83" s="1016">
        <v>-5318.64</v>
      </c>
      <c r="E83" s="1016">
        <v>-13109.97</v>
      </c>
      <c r="F83" s="1014" t="s">
        <v>293</v>
      </c>
      <c r="G83" s="1014" t="s">
        <v>2110</v>
      </c>
      <c r="H83" s="972"/>
      <c r="I83" s="973"/>
      <c r="J83" s="973"/>
      <c r="K83" s="973"/>
      <c r="L83" s="153" t="str">
        <f t="shared" si="0"/>
        <v>1403</v>
      </c>
      <c r="M83" s="154" t="str">
        <f t="shared" si="1"/>
        <v>BRUISING VOLKS VEH. NEUFS</v>
      </c>
      <c r="N83" s="155">
        <f>+IF(OR($Q83=Parametres!$G$2,$Q83=Parametres!$G$3),I83,C83)</f>
        <v>-7791.33</v>
      </c>
      <c r="O83" s="155">
        <f>+IF(OR($Q83=Parametres!$G$2,$Q83=Parametres!$G$3),J83,D83)</f>
        <v>-5318.64</v>
      </c>
      <c r="P83" s="155">
        <f>+IF(OR($Q83=Parametres!$G$2,$Q83=Parametres!$G$3),K83,E83)</f>
        <v>-13109.97</v>
      </c>
      <c r="Q83" s="154" t="str">
        <f t="shared" si="7"/>
        <v>2-Actifs</v>
      </c>
      <c r="R83" s="153" t="str">
        <f t="shared" si="7"/>
        <v>1402</v>
      </c>
      <c r="S83" s="154">
        <f t="shared" si="7"/>
        <v>0</v>
      </c>
      <c r="T83" s="156" t="str">
        <f>+VLOOKUP($L83,Data_Validation!$A:$D,1,0)</f>
        <v>1403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4" t="s">
        <v>2914</v>
      </c>
      <c r="B84" s="1014" t="s">
        <v>2915</v>
      </c>
      <c r="C84" s="1016">
        <v>894.38</v>
      </c>
      <c r="D84" s="1016">
        <v>-130.01</v>
      </c>
      <c r="E84" s="1016">
        <v>764.37</v>
      </c>
      <c r="F84" s="1014" t="s">
        <v>293</v>
      </c>
      <c r="G84" s="1014" t="s">
        <v>2915</v>
      </c>
      <c r="H84" s="972"/>
      <c r="I84" s="973"/>
      <c r="J84" s="973"/>
      <c r="K84" s="973"/>
      <c r="L84" s="153" t="str">
        <f t="shared" si="0"/>
        <v>1412</v>
      </c>
      <c r="M84" s="154" t="str">
        <f t="shared" si="1"/>
        <v>VEHICULES USAGES</v>
      </c>
      <c r="N84" s="155">
        <f>+IF(OR($Q84=Parametres!$G$2,$Q84=Parametres!$G$3),I84,C84)</f>
        <v>894.38</v>
      </c>
      <c r="O84" s="575">
        <f>+IF(OR($Q84=Parametres!$G$2,$Q84=Parametres!$G$3),J84,D84)</f>
        <v>-130.01</v>
      </c>
      <c r="P84" s="155">
        <f>+IF(OR($Q84=Parametres!$G$2,$Q84=Parametres!$G$3),K84,E84)</f>
        <v>764.37</v>
      </c>
      <c r="Q84" s="154" t="str">
        <f t="shared" si="7"/>
        <v>2-Actifs</v>
      </c>
      <c r="R84" s="153" t="str">
        <f t="shared" si="7"/>
        <v>1412</v>
      </c>
      <c r="S84" s="154">
        <f t="shared" si="7"/>
        <v>0</v>
      </c>
      <c r="T84" s="156" t="e">
        <f>+VLOOKUP($L84,Data_Validation!$A:$D,1,0)</f>
        <v>#N/A</v>
      </c>
      <c r="U84" s="156" t="e">
        <f>+VLOOKUP($L84,Data_Validation!$A:$D,3,0)</f>
        <v>#N/A</v>
      </c>
      <c r="V84" s="156" t="e">
        <f>+VLOOKUP($L84,Data_Validation!$A:$D,4,0)</f>
        <v>#N/A</v>
      </c>
      <c r="W84" s="156" t="e">
        <f>+VLOOKUP($L84,Data_Validation!$A:$E,5,0)</f>
        <v>#N/A</v>
      </c>
      <c r="X84" s="156" t="e">
        <f>+VLOOKUP($L84,Data_Validation!$A:$F,6,0)</f>
        <v>#N/A</v>
      </c>
    </row>
    <row r="85" spans="1:24" ht="15" customHeight="1">
      <c r="A85" s="1014" t="s">
        <v>2761</v>
      </c>
      <c r="B85" s="1014" t="s">
        <v>2762</v>
      </c>
      <c r="C85" s="1016">
        <v>-10171.299999999999</v>
      </c>
      <c r="D85" s="1016">
        <v>-10750.83</v>
      </c>
      <c r="E85" s="1016">
        <v>-20922.13</v>
      </c>
      <c r="F85" s="1014" t="s">
        <v>293</v>
      </c>
      <c r="G85" s="1014" t="s">
        <v>2762</v>
      </c>
      <c r="H85" s="972"/>
      <c r="I85" s="973"/>
      <c r="J85" s="973"/>
      <c r="K85" s="973"/>
      <c r="L85" s="153" t="str">
        <f t="shared" si="0"/>
        <v>1413</v>
      </c>
      <c r="M85" s="154" t="str">
        <f t="shared" si="1"/>
        <v>BRUISING USED CAR</v>
      </c>
      <c r="N85" s="155">
        <f>+IF(OR($Q85=Parametres!$G$2,$Q85=Parametres!$G$3),I85,C85)</f>
        <v>-10171.299999999999</v>
      </c>
      <c r="O85" s="575">
        <f>+IF(OR($Q85=Parametres!$G$2,$Q85=Parametres!$G$3),J85,D85)</f>
        <v>-10750.83</v>
      </c>
      <c r="P85" s="155">
        <f>+IF(OR($Q85=Parametres!$G$2,$Q85=Parametres!$G$3),K85,E85)</f>
        <v>-20922.13</v>
      </c>
      <c r="Q85" s="154" t="str">
        <f t="shared" si="7"/>
        <v>2-Actifs</v>
      </c>
      <c r="R85" s="153" t="str">
        <f t="shared" si="7"/>
        <v>1413</v>
      </c>
      <c r="S85" s="154">
        <f t="shared" si="7"/>
        <v>0</v>
      </c>
      <c r="T85" s="156" t="str">
        <f>+VLOOKUP($L85,Data_Validation!$A:$D,1,0)</f>
        <v>1413</v>
      </c>
      <c r="U85" s="156" t="str">
        <f>+VLOOKUP($L85,Data_Validation!$A:$D,3,0)</f>
        <v>Bilan</v>
      </c>
      <c r="V85" s="156" t="str">
        <f>+VLOOKUP($L85,Data_Validation!$A:$D,4,0)</f>
        <v>Inventaire Véhicules Usagés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4" t="s">
        <v>2826</v>
      </c>
      <c r="B86" s="1014" t="s">
        <v>2481</v>
      </c>
      <c r="C86" s="1016">
        <v>812237.87</v>
      </c>
      <c r="D86" s="1016">
        <v>289117.17</v>
      </c>
      <c r="E86" s="1016">
        <v>1101355.04</v>
      </c>
      <c r="F86" s="1014" t="s">
        <v>293</v>
      </c>
      <c r="G86" s="1014" t="s">
        <v>2481</v>
      </c>
      <c r="H86" s="972"/>
      <c r="I86" s="973"/>
      <c r="J86" s="973"/>
      <c r="K86" s="973"/>
      <c r="L86" s="153" t="str">
        <f t="shared" si="0"/>
        <v>1416</v>
      </c>
      <c r="M86" s="154" t="str">
        <f t="shared" si="1"/>
        <v>INV. VEH. USAGE VW</v>
      </c>
      <c r="N86" s="155">
        <f>+IF(OR($Q86=Parametres!$G$2,$Q86=Parametres!$G$3),I86,C86)</f>
        <v>812237.87</v>
      </c>
      <c r="O86" s="155">
        <f>+IF(OR($Q86=Parametres!$G$2,$Q86=Parametres!$G$3),J86,D86)</f>
        <v>289117.17</v>
      </c>
      <c r="P86" s="155">
        <f>+IF(OR($Q86=Parametres!$G$2,$Q86=Parametres!$G$3),K86,E86)</f>
        <v>1101355.04</v>
      </c>
      <c r="Q86" s="154" t="str">
        <f t="shared" si="7"/>
        <v>2-Actifs</v>
      </c>
      <c r="R86" s="153" t="str">
        <f t="shared" si="7"/>
        <v>1416</v>
      </c>
      <c r="S86" s="154">
        <f t="shared" si="7"/>
        <v>0</v>
      </c>
      <c r="T86" s="156" t="str">
        <f>+VLOOKUP($L86,Data_Validation!$A:$D,1,0)</f>
        <v>1416</v>
      </c>
      <c r="U86" s="156" t="str">
        <f>+VLOOKUP($L86,Data_Validation!$A:$D,3,0)</f>
        <v>Bilan</v>
      </c>
      <c r="V86" s="156" t="str">
        <f>+VLOOKUP($L86,Data_Validation!$A:$D,4,0)</f>
        <v>Inventaire Véhicules Usagés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4" t="s">
        <v>2479</v>
      </c>
      <c r="B87" s="1014" t="s">
        <v>2480</v>
      </c>
      <c r="C87" s="1016"/>
      <c r="D87" s="1016"/>
      <c r="E87" s="1016"/>
      <c r="F87" s="1014" t="s">
        <v>4</v>
      </c>
      <c r="G87" s="1014" t="s">
        <v>2481</v>
      </c>
      <c r="H87" s="972"/>
      <c r="I87" s="973">
        <v>49</v>
      </c>
      <c r="J87" s="973">
        <v>21</v>
      </c>
      <c r="K87" s="973">
        <v>70</v>
      </c>
      <c r="L87" s="153" t="str">
        <f t="shared" si="0"/>
        <v>1416@</v>
      </c>
      <c r="M87" s="154" t="str">
        <f t="shared" si="1"/>
        <v># DE INV. VEH. USAGE VW</v>
      </c>
      <c r="N87" s="155">
        <f>+IF(OR($Q87=Parametres!$G$2,$Q87=Parametres!$G$3),I87,C87)</f>
        <v>49</v>
      </c>
      <c r="O87" s="155">
        <f>+IF(OR($Q87=Parametres!$G$2,$Q87=Parametres!$G$3),J87,D87)</f>
        <v>21</v>
      </c>
      <c r="P87" s="155">
        <f>+IF(OR($Q87=Parametres!$G$2,$Q87=Parametres!$G$3),K87,E87)</f>
        <v>70</v>
      </c>
      <c r="Q87" s="154" t="str">
        <f t="shared" si="7"/>
        <v>10-Compte compteur</v>
      </c>
      <c r="R87" s="153" t="str">
        <f t="shared" si="7"/>
        <v>1416</v>
      </c>
      <c r="S87" s="154">
        <f t="shared" si="7"/>
        <v>0</v>
      </c>
      <c r="T87" s="156" t="str">
        <f>+VLOOKUP($L87,Data_Validation!$A:$D,1,0)</f>
        <v>1416@</v>
      </c>
      <c r="U87" s="156" t="str">
        <f>+VLOOKUP($L87,Data_Validation!$A:$D,3,0)</f>
        <v>Bilan</v>
      </c>
      <c r="V87" s="156">
        <f>+VLOOKUP($L87,Data_Validation!$A:$D,4,0)</f>
        <v>0</v>
      </c>
      <c r="W87" s="156" t="str">
        <f>+VLOOKUP($L87,Data_Validation!$A:$E,5,0)</f>
        <v>NB</v>
      </c>
      <c r="X87" s="156">
        <f>+VLOOKUP($L87,Data_Validation!$A:$F,6,0)</f>
        <v>0</v>
      </c>
    </row>
    <row r="88" spans="1:24" ht="15" customHeight="1">
      <c r="A88" s="1014" t="s">
        <v>2916</v>
      </c>
      <c r="B88" s="1014" t="s">
        <v>2917</v>
      </c>
      <c r="C88" s="1016"/>
      <c r="D88" s="1016"/>
      <c r="E88" s="1016"/>
      <c r="F88" s="1014" t="s">
        <v>4</v>
      </c>
      <c r="G88" s="1014" t="s">
        <v>2918</v>
      </c>
      <c r="H88" s="972"/>
      <c r="I88" s="973">
        <v>3</v>
      </c>
      <c r="J88" s="973">
        <v>0</v>
      </c>
      <c r="K88" s="973">
        <v>3</v>
      </c>
      <c r="L88" s="153" t="str">
        <f t="shared" si="0"/>
        <v>1418@</v>
      </c>
      <c r="M88" s="154" t="str">
        <f t="shared" si="1"/>
        <v># DE INV.VEH.USAGE AUDI</v>
      </c>
      <c r="N88" s="155">
        <f>+IF(OR($Q88=Parametres!$G$2,$Q88=Parametres!$G$3),I88,C88)</f>
        <v>3</v>
      </c>
      <c r="O88" s="575">
        <f>+IF(OR($Q88=Parametres!$G$2,$Q88=Parametres!$G$3),J88,D88)</f>
        <v>0</v>
      </c>
      <c r="P88" s="155">
        <f>+IF(OR($Q88=Parametres!$G$2,$Q88=Parametres!$G$3),K88,E88)</f>
        <v>3</v>
      </c>
      <c r="Q88" s="154" t="str">
        <f t="shared" si="7"/>
        <v>10-Compte compteur</v>
      </c>
      <c r="R88" s="153" t="str">
        <f t="shared" si="7"/>
        <v>1418</v>
      </c>
      <c r="S88" s="154">
        <f t="shared" si="7"/>
        <v>0</v>
      </c>
      <c r="T88" s="156" t="e">
        <f>+VLOOKUP($L88,Data_Validation!$A:$D,1,0)</f>
        <v>#N/A</v>
      </c>
      <c r="U88" s="156" t="e">
        <f>+VLOOKUP($L88,Data_Validation!$A:$D,3,0)</f>
        <v>#N/A</v>
      </c>
      <c r="V88" s="156" t="e">
        <f>+VLOOKUP($L88,Data_Validation!$A:$D,4,0)</f>
        <v>#N/A</v>
      </c>
      <c r="W88" s="156" t="e">
        <f>+VLOOKUP($L88,Data_Validation!$A:$E,5,0)</f>
        <v>#N/A</v>
      </c>
      <c r="X88" s="156" t="e">
        <f>+VLOOKUP($L88,Data_Validation!$A:$F,6,0)</f>
        <v>#N/A</v>
      </c>
    </row>
    <row r="89" spans="1:24" ht="15" customHeight="1">
      <c r="A89" s="1014" t="s">
        <v>2919</v>
      </c>
      <c r="B89" s="1014" t="s">
        <v>2920</v>
      </c>
      <c r="C89" s="1016"/>
      <c r="D89" s="1016"/>
      <c r="E89" s="1016"/>
      <c r="F89" s="1014" t="s">
        <v>4</v>
      </c>
      <c r="G89" s="1014" t="s">
        <v>2921</v>
      </c>
      <c r="H89" s="972"/>
      <c r="I89" s="973">
        <v>-3</v>
      </c>
      <c r="J89" s="973">
        <v>0</v>
      </c>
      <c r="K89" s="973">
        <v>-3</v>
      </c>
      <c r="L89" s="153" t="str">
        <f t="shared" si="0"/>
        <v>1420@</v>
      </c>
      <c r="M89" s="154" t="str">
        <f t="shared" si="1"/>
        <v># DE AUTRE INV. VEH. USAGE</v>
      </c>
      <c r="N89" s="155">
        <f>+IF(OR($Q89=Parametres!$G$2,$Q89=Parametres!$G$3),I89,C89)</f>
        <v>-3</v>
      </c>
      <c r="O89" s="155">
        <f>+IF(OR($Q89=Parametres!$G$2,$Q89=Parametres!$G$3),J89,D89)</f>
        <v>0</v>
      </c>
      <c r="P89" s="155">
        <f>+IF(OR($Q89=Parametres!$G$2,$Q89=Parametres!$G$3),K89,E89)</f>
        <v>-3</v>
      </c>
      <c r="Q89" s="154" t="str">
        <f t="shared" si="7"/>
        <v>10-Compte compteur</v>
      </c>
      <c r="R89" s="153" t="str">
        <f t="shared" si="7"/>
        <v>1420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customHeight="1">
      <c r="A90" s="1014" t="s">
        <v>2032</v>
      </c>
      <c r="B90" s="1014" t="s">
        <v>2033</v>
      </c>
      <c r="C90" s="1016">
        <v>271979.73</v>
      </c>
      <c r="D90" s="1016">
        <v>-23422.28</v>
      </c>
      <c r="E90" s="1016">
        <v>248557.45</v>
      </c>
      <c r="F90" s="1014" t="s">
        <v>293</v>
      </c>
      <c r="G90" s="1014" t="s">
        <v>2033</v>
      </c>
      <c r="H90" s="972"/>
      <c r="I90" s="973"/>
      <c r="J90" s="973"/>
      <c r="K90" s="973"/>
      <c r="L90" s="153" t="str">
        <f t="shared" si="0"/>
        <v>1442</v>
      </c>
      <c r="M90" s="154" t="str">
        <f t="shared" si="1"/>
        <v>PIECES &amp; ACCESSOIRES NEUFS</v>
      </c>
      <c r="N90" s="155">
        <f>+IF(OR($Q90=Parametres!$G$2,$Q90=Parametres!$G$3),I90,C90)</f>
        <v>271979.73</v>
      </c>
      <c r="O90" s="155">
        <f>+IF(OR($Q90=Parametres!$G$2,$Q90=Parametres!$G$3),J90,D90)</f>
        <v>-23422.28</v>
      </c>
      <c r="P90" s="155">
        <f>+IF(OR($Q90=Parametres!$G$2,$Q90=Parametres!$G$3),K90,E90)</f>
        <v>248557.45</v>
      </c>
      <c r="Q90" s="154" t="str">
        <f t="shared" si="7"/>
        <v>2-Actifs</v>
      </c>
      <c r="R90" s="153" t="str">
        <f t="shared" si="7"/>
        <v>1442</v>
      </c>
      <c r="S90" s="154">
        <f t="shared" si="7"/>
        <v>0</v>
      </c>
      <c r="T90" s="156" t="str">
        <f>+VLOOKUP($L90,Data_Validation!$A:$D,1,0)</f>
        <v>1442</v>
      </c>
      <c r="U90" s="156" t="str">
        <f>+VLOOKUP($L90,Data_Validation!$A:$D,3,0)</f>
        <v>Bilan</v>
      </c>
      <c r="V90" s="156" t="str">
        <f>+VLOOKUP($L90,Data_Validation!$A:$D,4,0)</f>
        <v>Inventaire Pièces, Pneus, Huile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4" t="s">
        <v>2824</v>
      </c>
      <c r="B91" s="1014" t="s">
        <v>2825</v>
      </c>
      <c r="C91" s="1016">
        <v>25876.89</v>
      </c>
      <c r="D91" s="1016">
        <v>4571.8999999999996</v>
      </c>
      <c r="E91" s="1016">
        <v>30448.79</v>
      </c>
      <c r="F91" s="1014" t="s">
        <v>293</v>
      </c>
      <c r="G91" s="1014" t="s">
        <v>2033</v>
      </c>
      <c r="H91" s="972"/>
      <c r="I91" s="973"/>
      <c r="J91" s="973"/>
      <c r="K91" s="973"/>
      <c r="L91" s="153" t="str">
        <f t="shared" si="0"/>
        <v>1452</v>
      </c>
      <c r="M91" s="154" t="str">
        <f t="shared" si="1"/>
        <v>PNEUS</v>
      </c>
      <c r="N91" s="155">
        <f>+IF(OR($Q91=Parametres!$G$2,$Q91=Parametres!$G$3),I91,C91)</f>
        <v>25876.89</v>
      </c>
      <c r="O91" s="155">
        <f>+IF(OR($Q91=Parametres!$G$2,$Q91=Parametres!$G$3),J91,D91)</f>
        <v>4571.8999999999996</v>
      </c>
      <c r="P91" s="155">
        <f>+IF(OR($Q91=Parametres!$G$2,$Q91=Parametres!$G$3),K91,E91)</f>
        <v>30448.79</v>
      </c>
      <c r="Q91" s="154" t="str">
        <f t="shared" si="7"/>
        <v>2-Actifs</v>
      </c>
      <c r="R91" s="153" t="str">
        <f t="shared" si="7"/>
        <v>1442</v>
      </c>
      <c r="S91" s="154">
        <f t="shared" si="7"/>
        <v>0</v>
      </c>
      <c r="T91" s="156" t="str">
        <f>+VLOOKUP($L91,Data_Validation!$A:$D,1,0)</f>
        <v>1452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4" t="s">
        <v>2740</v>
      </c>
      <c r="B92" s="1014" t="s">
        <v>2741</v>
      </c>
      <c r="C92" s="1016">
        <v>4924.1400000000003</v>
      </c>
      <c r="D92" s="1016">
        <v>8652.51</v>
      </c>
      <c r="E92" s="1016">
        <v>13576.65</v>
      </c>
      <c r="F92" s="1014" t="s">
        <v>293</v>
      </c>
      <c r="G92" s="1014" t="s">
        <v>2741</v>
      </c>
      <c r="H92" s="972"/>
      <c r="I92" s="973"/>
      <c r="J92" s="973"/>
      <c r="K92" s="973"/>
      <c r="L92" s="153" t="str">
        <f t="shared" si="0"/>
        <v>1456</v>
      </c>
      <c r="M92" s="154" t="str">
        <f t="shared" si="1"/>
        <v>PIECES VW NON ORIGINE</v>
      </c>
      <c r="N92" s="155">
        <f>+IF(OR($Q92=Parametres!$G$2,$Q92=Parametres!$G$3),I92,C92)</f>
        <v>4924.1400000000003</v>
      </c>
      <c r="O92" s="155">
        <f>+IF(OR($Q92=Parametres!$G$2,$Q92=Parametres!$G$3),J92,D92)</f>
        <v>8652.51</v>
      </c>
      <c r="P92" s="155">
        <f>+IF(OR($Q92=Parametres!$G$2,$Q92=Parametres!$G$3),K92,E92)</f>
        <v>13576.65</v>
      </c>
      <c r="Q92" s="154" t="str">
        <f t="shared" si="7"/>
        <v>2-Actifs</v>
      </c>
      <c r="R92" s="153" t="str">
        <f t="shared" si="7"/>
        <v>1456</v>
      </c>
      <c r="S92" s="154">
        <f t="shared" si="7"/>
        <v>0</v>
      </c>
      <c r="T92" s="156" t="str">
        <f>+VLOOKUP($L92,Data_Validation!$A:$D,1,0)</f>
        <v>1456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4" t="s">
        <v>2589</v>
      </c>
      <c r="B93" s="1014" t="s">
        <v>2590</v>
      </c>
      <c r="C93" s="1016">
        <v>3177.88</v>
      </c>
      <c r="D93" s="1016">
        <v>2328.12</v>
      </c>
      <c r="E93" s="1016">
        <v>5506</v>
      </c>
      <c r="F93" s="1014" t="s">
        <v>293</v>
      </c>
      <c r="G93" s="1014" t="s">
        <v>2590</v>
      </c>
      <c r="H93" s="972"/>
      <c r="I93" s="973"/>
      <c r="J93" s="973"/>
      <c r="K93" s="973"/>
      <c r="L93" s="153" t="str">
        <f t="shared" si="0"/>
        <v>1472</v>
      </c>
      <c r="M93" s="154" t="str">
        <f t="shared" si="1"/>
        <v>WIP M-O VW</v>
      </c>
      <c r="N93" s="155">
        <f>+IF(OR($Q93=Parametres!$G$2,$Q93=Parametres!$G$3),I93,C93)</f>
        <v>3177.88</v>
      </c>
      <c r="O93" s="575">
        <f>+IF(OR($Q93=Parametres!$G$2,$Q93=Parametres!$G$3),J93,D93)</f>
        <v>2328.12</v>
      </c>
      <c r="P93" s="155">
        <f>+IF(OR($Q93=Parametres!$G$2,$Q93=Parametres!$G$3),K93,E93)</f>
        <v>5506</v>
      </c>
      <c r="Q93" s="154" t="str">
        <f t="shared" si="7"/>
        <v>2-Actifs</v>
      </c>
      <c r="R93" s="153" t="str">
        <f t="shared" si="7"/>
        <v>1472</v>
      </c>
      <c r="S93" s="154">
        <f t="shared" si="7"/>
        <v>0</v>
      </c>
      <c r="T93" s="156" t="str">
        <f>+VLOOKUP($L93,Data_Validation!$A:$D,1,0)</f>
        <v>1472</v>
      </c>
      <c r="U93" s="156" t="str">
        <f>+VLOOKUP($L93,Data_Validation!$A:$D,3,0)</f>
        <v>Bilan</v>
      </c>
      <c r="V93" s="156" t="str">
        <f>+VLOOKUP($L93,Data_Validation!$A:$D,4,0)</f>
        <v>Travaux en Cours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4" t="s">
        <v>2763</v>
      </c>
      <c r="B94" s="1014" t="s">
        <v>2764</v>
      </c>
      <c r="C94" s="1016">
        <v>-2437.92</v>
      </c>
      <c r="D94" s="1016">
        <v>-36.82</v>
      </c>
      <c r="E94" s="1016">
        <v>-2474.7399999999998</v>
      </c>
      <c r="F94" s="1014" t="s">
        <v>293</v>
      </c>
      <c r="G94" s="1014" t="s">
        <v>2590</v>
      </c>
      <c r="H94" s="972"/>
      <c r="I94" s="973"/>
      <c r="J94" s="973"/>
      <c r="K94" s="973"/>
      <c r="L94" s="153" t="str">
        <f t="shared" si="0"/>
        <v>1474</v>
      </c>
      <c r="M94" s="154" t="str">
        <f t="shared" si="1"/>
        <v>INVENTAIRE SOUS-TRAITANTS</v>
      </c>
      <c r="N94" s="155">
        <f>+IF(OR($Q94=Parametres!$G$2,$Q94=Parametres!$G$3),I94,C94)</f>
        <v>-2437.92</v>
      </c>
      <c r="O94" s="155">
        <f>+IF(OR($Q94=Parametres!$G$2,$Q94=Parametres!$G$3),J94,D94)</f>
        <v>-36.82</v>
      </c>
      <c r="P94" s="155">
        <f>+IF(OR($Q94=Parametres!$G$2,$Q94=Parametres!$G$3),K94,E94)</f>
        <v>-2474.7399999999998</v>
      </c>
      <c r="Q94" s="154" t="str">
        <f t="shared" si="7"/>
        <v>2-Actifs</v>
      </c>
      <c r="R94" s="153" t="str">
        <f t="shared" si="7"/>
        <v>1472</v>
      </c>
      <c r="S94" s="154">
        <f t="shared" si="7"/>
        <v>0</v>
      </c>
      <c r="T94" s="156" t="str">
        <f>+VLOOKUP($L94,Data_Validation!$A:$D,1,0)</f>
        <v>1474</v>
      </c>
      <c r="U94" s="156" t="str">
        <f>+VLOOKUP($L94,Data_Validation!$A:$D,3,0)</f>
        <v>Bilan</v>
      </c>
      <c r="V94" s="156" t="str">
        <f>+VLOOKUP($L94,Data_Validation!$A:$D,4,0)</f>
        <v>Sous-Traitance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4" t="s">
        <v>2140</v>
      </c>
      <c r="B95" s="1014" t="s">
        <v>2141</v>
      </c>
      <c r="C95" s="1016">
        <v>27825.65</v>
      </c>
      <c r="D95" s="1016">
        <v>751.02</v>
      </c>
      <c r="E95" s="1016">
        <v>28576.67</v>
      </c>
      <c r="F95" s="1014" t="s">
        <v>293</v>
      </c>
      <c r="G95" s="1014" t="s">
        <v>2033</v>
      </c>
      <c r="H95" s="972"/>
      <c r="I95" s="973"/>
      <c r="J95" s="973"/>
      <c r="K95" s="973"/>
      <c r="L95" s="153" t="str">
        <f t="shared" si="0"/>
        <v>1492</v>
      </c>
      <c r="M95" s="154" t="str">
        <f t="shared" si="1"/>
        <v>CARBURANT, HUILE, GRAISSE</v>
      </c>
      <c r="N95" s="155">
        <f>+IF(OR($Q95=Parametres!$G$2,$Q95=Parametres!$G$3),I95,C95)</f>
        <v>27825.65</v>
      </c>
      <c r="O95" s="155">
        <f>+IF(OR($Q95=Parametres!$G$2,$Q95=Parametres!$G$3),J95,D95)</f>
        <v>751.02</v>
      </c>
      <c r="P95" s="155">
        <f>+IF(OR($Q95=Parametres!$G$2,$Q95=Parametres!$G$3),K95,E95)</f>
        <v>28576.67</v>
      </c>
      <c r="Q95" s="154" t="str">
        <f t="shared" si="7"/>
        <v>2-Actifs</v>
      </c>
      <c r="R95" s="153" t="str">
        <f t="shared" si="7"/>
        <v>1442</v>
      </c>
      <c r="S95" s="154">
        <f t="shared" si="7"/>
        <v>0</v>
      </c>
      <c r="T95" s="156" t="str">
        <f>+VLOOKUP($L95,Data_Validation!$A:$D,1,0)</f>
        <v>1492</v>
      </c>
      <c r="U95" s="156" t="str">
        <f>+VLOOKUP($L95,Data_Validation!$A:$D,3,0)</f>
        <v>Bilan</v>
      </c>
      <c r="V95" s="156" t="str">
        <f>+VLOOKUP($L95,Data_Validation!$A:$D,4,0)</f>
        <v>Inventaire Pièces, Pneus, Huile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4" t="s">
        <v>2691</v>
      </c>
      <c r="B96" s="1014" t="s">
        <v>2692</v>
      </c>
      <c r="C96" s="1016">
        <v>39720.300000000003</v>
      </c>
      <c r="D96" s="1016">
        <v>4635.4799999999996</v>
      </c>
      <c r="E96" s="1016">
        <v>44355.78</v>
      </c>
      <c r="F96" s="1014" t="s">
        <v>293</v>
      </c>
      <c r="G96" s="1014" t="s">
        <v>2692</v>
      </c>
      <c r="H96" s="972"/>
      <c r="I96" s="973"/>
      <c r="J96" s="973"/>
      <c r="K96" s="973"/>
      <c r="L96" s="153" t="str">
        <f t="shared" si="0"/>
        <v>1498</v>
      </c>
      <c r="M96" s="154" t="str">
        <f t="shared" si="1"/>
        <v>AUTRES INVENTAIRES</v>
      </c>
      <c r="N96" s="155">
        <f>+IF(OR($Q96=Parametres!$G$2,$Q96=Parametres!$G$3),I96,C96)</f>
        <v>39720.300000000003</v>
      </c>
      <c r="O96" s="155">
        <f>+IF(OR($Q96=Parametres!$G$2,$Q96=Parametres!$G$3),J96,D96)</f>
        <v>4635.4799999999996</v>
      </c>
      <c r="P96" s="155">
        <f>+IF(OR($Q96=Parametres!$G$2,$Q96=Parametres!$G$3),K96,E96)</f>
        <v>44355.78</v>
      </c>
      <c r="Q96" s="154" t="str">
        <f t="shared" si="7"/>
        <v>2-Actifs</v>
      </c>
      <c r="R96" s="153" t="str">
        <f t="shared" si="7"/>
        <v>1498</v>
      </c>
      <c r="S96" s="154">
        <f t="shared" si="7"/>
        <v>0</v>
      </c>
      <c r="T96" s="156" t="str">
        <f>+VLOOKUP($L96,Data_Validation!$A:$D,1,0)</f>
        <v>1498</v>
      </c>
      <c r="U96" s="156" t="str">
        <f>+VLOOKUP($L96,Data_Validation!$A:$D,3,0)</f>
        <v>Bilan</v>
      </c>
      <c r="V96" s="156" t="str">
        <f>+VLOOKUP($L96,Data_Validation!$A:$D,4,0)</f>
        <v>Inventaire Pièces, Pneus, Huile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4" t="s">
        <v>2104</v>
      </c>
      <c r="B97" s="1014" t="s">
        <v>2105</v>
      </c>
      <c r="C97" s="1016">
        <v>10671.77</v>
      </c>
      <c r="D97" s="1016">
        <v>11405.6</v>
      </c>
      <c r="E97" s="1016">
        <v>22077.37</v>
      </c>
      <c r="F97" s="1014" t="s">
        <v>293</v>
      </c>
      <c r="G97" s="1014" t="s">
        <v>2106</v>
      </c>
      <c r="H97" s="949"/>
      <c r="I97" s="949"/>
      <c r="J97" s="949"/>
      <c r="K97" s="949"/>
      <c r="L97" s="153" t="str">
        <f t="shared" si="0"/>
        <v>1502</v>
      </c>
      <c r="M97" s="154" t="str">
        <f t="shared" si="1"/>
        <v>FPA PUB.VEHICULES NEUFS</v>
      </c>
      <c r="N97" s="155">
        <f>+IF(OR($Q97=Parametres!$G$2,$Q97=Parametres!$G$3),I97,C97)</f>
        <v>10671.77</v>
      </c>
      <c r="O97" s="155">
        <f>+IF(OR($Q97=Parametres!$G$2,$Q97=Parametres!$G$3),J97,D97)</f>
        <v>11405.6</v>
      </c>
      <c r="P97" s="155">
        <f>+IF(OR($Q97=Parametres!$G$2,$Q97=Parametres!$G$3),K97,E97)</f>
        <v>22077.37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1502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4" t="s">
        <v>2130</v>
      </c>
      <c r="B98" s="1014" t="s">
        <v>2131</v>
      </c>
      <c r="C98" s="1016">
        <v>8128.22</v>
      </c>
      <c r="D98" s="1016">
        <v>-5033.26</v>
      </c>
      <c r="E98" s="1016">
        <v>3094.96</v>
      </c>
      <c r="F98" s="1014" t="s">
        <v>293</v>
      </c>
      <c r="G98" s="1014" t="s">
        <v>2106</v>
      </c>
      <c r="H98" s="949"/>
      <c r="I98" s="949"/>
      <c r="J98" s="949"/>
      <c r="K98" s="949"/>
      <c r="L98" s="153" t="str">
        <f t="shared" si="0"/>
        <v>1504</v>
      </c>
      <c r="M98" s="154" t="str">
        <f t="shared" si="1"/>
        <v>PUBLICITE VEH USAGES</v>
      </c>
      <c r="N98" s="155">
        <f>+IF(OR($Q98=Parametres!$G$2,$Q98=Parametres!$G$3),I98,C98)</f>
        <v>8128.22</v>
      </c>
      <c r="O98" s="155">
        <f>+IF(OR($Q98=Parametres!$G$2,$Q98=Parametres!$G$3),J98,D98)</f>
        <v>-5033.26</v>
      </c>
      <c r="P98" s="155">
        <f>+IF(OR($Q98=Parametres!$G$2,$Q98=Parametres!$G$3),K98,E98)</f>
        <v>3094.96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1504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4" t="s">
        <v>2806</v>
      </c>
      <c r="B99" s="1014" t="s">
        <v>2807</v>
      </c>
      <c r="C99" s="1016">
        <v>-5516.28</v>
      </c>
      <c r="D99" s="1016">
        <v>1448.47</v>
      </c>
      <c r="E99" s="1016">
        <v>-4067.81</v>
      </c>
      <c r="F99" s="1014" t="s">
        <v>293</v>
      </c>
      <c r="G99" s="1014" t="s">
        <v>2106</v>
      </c>
      <c r="H99" s="949"/>
      <c r="I99" s="949"/>
      <c r="J99" s="949"/>
      <c r="K99" s="949"/>
      <c r="L99" s="153" t="str">
        <f t="shared" si="0"/>
        <v>1506</v>
      </c>
      <c r="M99" s="154" t="str">
        <f t="shared" si="1"/>
        <v>FPA PUBLICITE SERVICE</v>
      </c>
      <c r="N99" s="155">
        <f>+IF(OR($Q99=Parametres!$G$2,$Q99=Parametres!$G$3),I99,C99)</f>
        <v>-5516.28</v>
      </c>
      <c r="O99" s="155">
        <f>+IF(OR($Q99=Parametres!$G$2,$Q99=Parametres!$G$3),J99,D99)</f>
        <v>1448.47</v>
      </c>
      <c r="P99" s="155">
        <f>+IF(OR($Q99=Parametres!$G$2,$Q99=Parametres!$G$3),K99,E99)</f>
        <v>-4067.81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1506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4" t="s">
        <v>2642</v>
      </c>
      <c r="B100" s="1014" t="s">
        <v>2643</v>
      </c>
      <c r="C100" s="1016">
        <v>1666</v>
      </c>
      <c r="D100" s="1016">
        <v>-486</v>
      </c>
      <c r="E100" s="1016">
        <v>1180</v>
      </c>
      <c r="F100" s="1014" t="s">
        <v>293</v>
      </c>
      <c r="G100" s="1014" t="s">
        <v>2106</v>
      </c>
      <c r="H100" s="949"/>
      <c r="I100" s="949"/>
      <c r="J100" s="949"/>
      <c r="K100" s="949"/>
      <c r="L100" s="153" t="str">
        <f t="shared" si="0"/>
        <v>1510</v>
      </c>
      <c r="M100" s="154" t="str">
        <f t="shared" si="1"/>
        <v>DIAMOND KOTE (NANO)</v>
      </c>
      <c r="N100" s="155">
        <f>+IF(OR($Q100=Parametres!$G$2,$Q100=Parametres!$G$3),I100,C100)</f>
        <v>1666</v>
      </c>
      <c r="O100" s="155">
        <f>+IF(OR($Q100=Parametres!$G$2,$Q100=Parametres!$G$3),J100,D100)</f>
        <v>-486</v>
      </c>
      <c r="P100" s="155">
        <f>+IF(OR($Q100=Parametres!$G$2,$Q100=Parametres!$G$3),K100,E100)</f>
        <v>1180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1510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4" t="s">
        <v>2152</v>
      </c>
      <c r="B101" s="1014" t="s">
        <v>2153</v>
      </c>
      <c r="C101" s="1016">
        <v>-1730.86</v>
      </c>
      <c r="D101" s="1016">
        <v>12680.58</v>
      </c>
      <c r="E101" s="1016">
        <v>10949.72</v>
      </c>
      <c r="F101" s="1014" t="s">
        <v>293</v>
      </c>
      <c r="G101" s="1014" t="s">
        <v>2106</v>
      </c>
      <c r="H101" s="949"/>
      <c r="I101" s="949"/>
      <c r="J101" s="949"/>
      <c r="K101" s="949"/>
      <c r="L101" s="153" t="str">
        <f t="shared" si="0"/>
        <v>1520</v>
      </c>
      <c r="M101" s="154" t="str">
        <f t="shared" si="1"/>
        <v>FPA IMMATRICULATION</v>
      </c>
      <c r="N101" s="155">
        <f>+IF(OR($Q101=Parametres!$G$2,$Q101=Parametres!$G$3),I101,C101)</f>
        <v>-1730.86</v>
      </c>
      <c r="O101" s="155">
        <f>+IF(OR($Q101=Parametres!$G$2,$Q101=Parametres!$G$3),J101,D101)</f>
        <v>12680.58</v>
      </c>
      <c r="P101" s="155">
        <f>+IF(OR($Q101=Parametres!$G$2,$Q101=Parametres!$G$3),K101,E101)</f>
        <v>10949.72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1520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4" t="s">
        <v>2396</v>
      </c>
      <c r="B102" s="1014" t="s">
        <v>2397</v>
      </c>
      <c r="C102" s="1016">
        <v>13306</v>
      </c>
      <c r="D102" s="1016">
        <v>-2310</v>
      </c>
      <c r="E102" s="1016">
        <v>10996</v>
      </c>
      <c r="F102" s="1014" t="s">
        <v>293</v>
      </c>
      <c r="G102" s="1014" t="s">
        <v>2106</v>
      </c>
      <c r="H102" s="949"/>
      <c r="I102" s="949"/>
      <c r="J102" s="949"/>
      <c r="K102" s="949"/>
      <c r="L102" s="153" t="str">
        <f t="shared" si="0"/>
        <v>1522</v>
      </c>
      <c r="M102" s="154" t="str">
        <f t="shared" si="1"/>
        <v>ASSURANCE DALE PARIZEAU</v>
      </c>
      <c r="N102" s="155">
        <f>+IF(OR($Q102=Parametres!$G$2,$Q102=Parametres!$G$3),I102,C102)</f>
        <v>13306</v>
      </c>
      <c r="O102" s="575">
        <f>+IF(OR($Q102=Parametres!$G$2,$Q102=Parametres!$G$3),J102,D102)</f>
        <v>-2310</v>
      </c>
      <c r="P102" s="155">
        <f>+IF(OR($Q102=Parametres!$G$2,$Q102=Parametres!$G$3),K102,E102)</f>
        <v>10996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1522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4" t="s">
        <v>2857</v>
      </c>
      <c r="B103" s="1014" t="s">
        <v>2922</v>
      </c>
      <c r="C103" s="1016">
        <v>1924</v>
      </c>
      <c r="D103" s="1016">
        <v>-385</v>
      </c>
      <c r="E103" s="1016">
        <v>1539</v>
      </c>
      <c r="F103" s="1014" t="s">
        <v>293</v>
      </c>
      <c r="G103" s="1014" t="s">
        <v>2106</v>
      </c>
      <c r="H103" s="949"/>
      <c r="I103" s="948"/>
      <c r="J103" s="948"/>
      <c r="K103" s="948"/>
      <c r="L103" s="153" t="str">
        <f t="shared" si="0"/>
        <v>1524</v>
      </c>
      <c r="M103" s="154" t="str">
        <f t="shared" si="1"/>
        <v>FPS ASSURANCE DEMO</v>
      </c>
      <c r="N103" s="155">
        <f>+IF(OR($Q103=Parametres!$G$2,$Q103=Parametres!$G$3),I103,C103)</f>
        <v>1924</v>
      </c>
      <c r="O103" s="155">
        <f>+IF(OR($Q103=Parametres!$G$2,$Q103=Parametres!$G$3),J103,D103)</f>
        <v>-385</v>
      </c>
      <c r="P103" s="155">
        <f>+IF(OR($Q103=Parametres!$G$2,$Q103=Parametres!$G$3),K103,E103)</f>
        <v>1539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e">
        <f>+VLOOKUP($L103,Data_Validation!$A:$D,1,0)</f>
        <v>#N/A</v>
      </c>
      <c r="U103" s="156" t="e">
        <f>+VLOOKUP($L103,Data_Validation!$A:$D,3,0)</f>
        <v>#N/A</v>
      </c>
      <c r="V103" s="156" t="e">
        <f>+VLOOKUP($L103,Data_Validation!$A:$D,4,0)</f>
        <v>#N/A</v>
      </c>
      <c r="W103" s="156" t="e">
        <f>+VLOOKUP($L103,Data_Validation!$A:$E,5,0)</f>
        <v>#N/A</v>
      </c>
      <c r="X103" s="156" t="e">
        <f>+VLOOKUP($L103,Data_Validation!$A:$F,6,0)</f>
        <v>#N/A</v>
      </c>
    </row>
    <row r="104" spans="1:24" ht="15" customHeight="1">
      <c r="A104" s="1014" t="s">
        <v>2124</v>
      </c>
      <c r="B104" s="1014" t="s">
        <v>2125</v>
      </c>
      <c r="C104" s="1016">
        <v>-2925</v>
      </c>
      <c r="D104" s="1016">
        <v>-1136.3399999999999</v>
      </c>
      <c r="E104" s="1016">
        <v>-4061.34</v>
      </c>
      <c r="F104" s="1014" t="s">
        <v>293</v>
      </c>
      <c r="G104" s="1014" t="s">
        <v>2106</v>
      </c>
      <c r="H104" s="949"/>
      <c r="I104" s="948"/>
      <c r="J104" s="948"/>
      <c r="K104" s="948"/>
      <c r="L104" s="153" t="str">
        <f t="shared" si="0"/>
        <v>1528</v>
      </c>
      <c r="M104" s="154" t="str">
        <f t="shared" si="1"/>
        <v>FPA DEDUCTIBLE ASSURANCE</v>
      </c>
      <c r="N104" s="155">
        <f>+IF(OR($Q104=Parametres!$G$2,$Q104=Parametres!$G$3),I104,C104)</f>
        <v>-2925</v>
      </c>
      <c r="O104" s="155">
        <f>+IF(OR($Q104=Parametres!$G$2,$Q104=Parametres!$G$3),J104,D104)</f>
        <v>-1136.3399999999999</v>
      </c>
      <c r="P104" s="155">
        <f>+IF(OR($Q104=Parametres!$G$2,$Q104=Parametres!$G$3),K104,E104)</f>
        <v>-4061.34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1528</v>
      </c>
      <c r="U104" s="156" t="str">
        <f>+VLOOKUP($L104,Data_Validation!$A:$D,3,0)</f>
        <v>Bilan</v>
      </c>
      <c r="V104" s="156" t="str">
        <f>+VLOOKUP($L104,Data_Validation!$A:$D,4,0)</f>
        <v>Autres Courus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4" t="s">
        <v>2605</v>
      </c>
      <c r="B105" s="1014" t="s">
        <v>2606</v>
      </c>
      <c r="C105" s="1016">
        <v>1656.84</v>
      </c>
      <c r="D105" s="1016">
        <v>-509.34</v>
      </c>
      <c r="E105" s="1016">
        <v>1147.5</v>
      </c>
      <c r="F105" s="1014" t="s">
        <v>293</v>
      </c>
      <c r="G105" s="1014" t="s">
        <v>2106</v>
      </c>
      <c r="H105" s="949"/>
      <c r="I105" s="948"/>
      <c r="J105" s="948"/>
      <c r="K105" s="948"/>
      <c r="L105" s="153" t="str">
        <f t="shared" si="0"/>
        <v>1530</v>
      </c>
      <c r="M105" s="154" t="str">
        <f t="shared" si="1"/>
        <v>FPA PAPETERIE</v>
      </c>
      <c r="N105" s="155">
        <f>+IF(OR($Q105=Parametres!$G$2,$Q105=Parametres!$G$3),I105,C105)</f>
        <v>1656.84</v>
      </c>
      <c r="O105" s="155">
        <f>+IF(OR($Q105=Parametres!$G$2,$Q105=Parametres!$G$3),J105,D105)</f>
        <v>-509.34</v>
      </c>
      <c r="P105" s="155">
        <f>+IF(OR($Q105=Parametres!$G$2,$Q105=Parametres!$G$3),K105,E105)</f>
        <v>1147.5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1530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4" t="s">
        <v>2181</v>
      </c>
      <c r="B106" s="1014" t="s">
        <v>2182</v>
      </c>
      <c r="C106" s="1016">
        <v>1913.95</v>
      </c>
      <c r="D106" s="1016">
        <v>-200</v>
      </c>
      <c r="E106" s="1016">
        <v>1713.95</v>
      </c>
      <c r="F106" s="1014" t="s">
        <v>293</v>
      </c>
      <c r="G106" s="1014" t="s">
        <v>2106</v>
      </c>
      <c r="H106" s="949"/>
      <c r="I106" s="948"/>
      <c r="J106" s="948"/>
      <c r="K106" s="948"/>
      <c r="L106" s="153" t="str">
        <f t="shared" si="0"/>
        <v>1532</v>
      </c>
      <c r="M106" s="154" t="str">
        <f t="shared" si="1"/>
        <v>FPA C.C.A.M.Q.</v>
      </c>
      <c r="N106" s="155">
        <f>+IF(OR($Q106=Parametres!$G$2,$Q106=Parametres!$G$3),I106,C106)</f>
        <v>1913.95</v>
      </c>
      <c r="O106" s="575">
        <f>+IF(OR($Q106=Parametres!$G$2,$Q106=Parametres!$G$3),J106,D106)</f>
        <v>-200</v>
      </c>
      <c r="P106" s="155">
        <f>+IF(OR($Q106=Parametres!$G$2,$Q106=Parametres!$G$3),K106,E106)</f>
        <v>1713.95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1532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4" t="s">
        <v>2199</v>
      </c>
      <c r="B107" s="1014" t="s">
        <v>2200</v>
      </c>
      <c r="C107" s="1016">
        <v>1780.49</v>
      </c>
      <c r="D107" s="1016">
        <v>-207.35</v>
      </c>
      <c r="E107" s="1016">
        <v>1573.14</v>
      </c>
      <c r="F107" s="1014" t="s">
        <v>293</v>
      </c>
      <c r="G107" s="1014" t="s">
        <v>2106</v>
      </c>
      <c r="H107" s="949"/>
      <c r="I107" s="948"/>
      <c r="J107" s="948"/>
      <c r="K107" s="948"/>
      <c r="L107" s="153" t="str">
        <f t="shared" si="0"/>
        <v>1534</v>
      </c>
      <c r="M107" s="154" t="str">
        <f t="shared" si="1"/>
        <v>FPA FOURNITURES LAVAGE</v>
      </c>
      <c r="N107" s="155">
        <f>+IF(OR($Q107=Parametres!$G$2,$Q107=Parametres!$G$3),I107,C107)</f>
        <v>1780.49</v>
      </c>
      <c r="O107" s="155">
        <f>+IF(OR($Q107=Parametres!$G$2,$Q107=Parametres!$G$3),J107,D107)</f>
        <v>-207.35</v>
      </c>
      <c r="P107" s="155">
        <f>+IF(OR($Q107=Parametres!$G$2,$Q107=Parametres!$G$3),K107,E107)</f>
        <v>1573.14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1534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4" t="s">
        <v>2398</v>
      </c>
      <c r="B108" s="1014" t="s">
        <v>2399</v>
      </c>
      <c r="C108" s="1016">
        <v>-8666.09</v>
      </c>
      <c r="D108" s="1016">
        <v>-5985.98</v>
      </c>
      <c r="E108" s="1016">
        <v>-14652.07</v>
      </c>
      <c r="F108" s="1014" t="s">
        <v>293</v>
      </c>
      <c r="G108" s="1014" t="s">
        <v>2106</v>
      </c>
      <c r="H108" s="949"/>
      <c r="I108" s="948"/>
      <c r="J108" s="948"/>
      <c r="K108" s="948"/>
      <c r="L108" s="153" t="str">
        <f t="shared" si="0"/>
        <v>1536</v>
      </c>
      <c r="M108" s="154" t="str">
        <f t="shared" si="1"/>
        <v>FPA HONORAIRES PROFESSIONNELS</v>
      </c>
      <c r="N108" s="155">
        <f>+IF(OR($Q108=Parametres!$G$2,$Q108=Parametres!$G$3),I108,C108)</f>
        <v>-8666.09</v>
      </c>
      <c r="O108" s="155">
        <f>+IF(OR($Q108=Parametres!$G$2,$Q108=Parametres!$G$3),J108,D108)</f>
        <v>-5985.98</v>
      </c>
      <c r="P108" s="155">
        <f>+IF(OR($Q108=Parametres!$G$2,$Q108=Parametres!$G$3),K108,E108)</f>
        <v>-14652.07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1536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4" t="s">
        <v>2682</v>
      </c>
      <c r="B109" s="1014" t="s">
        <v>2683</v>
      </c>
      <c r="C109" s="1016">
        <v>-12843.05</v>
      </c>
      <c r="D109" s="1016">
        <v>-5099.25</v>
      </c>
      <c r="E109" s="1016">
        <v>-17942.3</v>
      </c>
      <c r="F109" s="1014" t="s">
        <v>293</v>
      </c>
      <c r="G109" s="1014" t="s">
        <v>2106</v>
      </c>
      <c r="H109" s="949"/>
      <c r="I109" s="948"/>
      <c r="J109" s="948"/>
      <c r="K109" s="948"/>
      <c r="L109" s="153" t="str">
        <f t="shared" si="0"/>
        <v>1538</v>
      </c>
      <c r="M109" s="154" t="str">
        <f t="shared" si="1"/>
        <v>FPA FORMATION</v>
      </c>
      <c r="N109" s="155">
        <f>+IF(OR($Q109=Parametres!$G$2,$Q109=Parametres!$G$3),I109,C109)</f>
        <v>-12843.05</v>
      </c>
      <c r="O109" s="575">
        <f>+IF(OR($Q109=Parametres!$G$2,$Q109=Parametres!$G$3),J109,D109)</f>
        <v>-5099.25</v>
      </c>
      <c r="P109" s="155">
        <f>+IF(OR($Q109=Parametres!$G$2,$Q109=Parametres!$G$3),K109,E109)</f>
        <v>-17942.3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1538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4" t="s">
        <v>2785</v>
      </c>
      <c r="B110" s="1014" t="s">
        <v>2786</v>
      </c>
      <c r="C110" s="1016">
        <v>-4665.8900000000003</v>
      </c>
      <c r="D110" s="1016">
        <v>751.68</v>
      </c>
      <c r="E110" s="1016">
        <v>-3914.21</v>
      </c>
      <c r="F110" s="1014" t="s">
        <v>293</v>
      </c>
      <c r="G110" s="1014" t="s">
        <v>2106</v>
      </c>
      <c r="H110" s="949"/>
      <c r="I110" s="948"/>
      <c r="J110" s="948"/>
      <c r="K110" s="948"/>
      <c r="L110" s="153" t="str">
        <f t="shared" si="0"/>
        <v>1540</v>
      </c>
      <c r="M110" s="154" t="str">
        <f t="shared" si="1"/>
        <v>FPA CONTRATS DE SERVICES</v>
      </c>
      <c r="N110" s="155">
        <f>+IF(OR($Q110=Parametres!$G$2,$Q110=Parametres!$G$3),I110,C110)</f>
        <v>-4665.8900000000003</v>
      </c>
      <c r="O110" s="155">
        <f>+IF(OR($Q110=Parametres!$G$2,$Q110=Parametres!$G$3),J110,D110)</f>
        <v>751.68</v>
      </c>
      <c r="P110" s="155">
        <f>+IF(OR($Q110=Parametres!$G$2,$Q110=Parametres!$G$3),K110,E110)</f>
        <v>-3914.21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str">
        <f>+VLOOKUP($L110,Data_Validation!$A:$D,1,0)</f>
        <v>1540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4" t="s">
        <v>2201</v>
      </c>
      <c r="B111" s="1014" t="s">
        <v>2202</v>
      </c>
      <c r="C111" s="1016">
        <v>6268.14</v>
      </c>
      <c r="D111" s="1016">
        <v>731.75</v>
      </c>
      <c r="E111" s="1016">
        <v>6999.89</v>
      </c>
      <c r="F111" s="1014" t="s">
        <v>293</v>
      </c>
      <c r="G111" s="1014" t="s">
        <v>2106</v>
      </c>
      <c r="H111" s="949"/>
      <c r="I111" s="948"/>
      <c r="J111" s="948"/>
      <c r="K111" s="948"/>
      <c r="L111" s="153" t="str">
        <f t="shared" si="0"/>
        <v>1544</v>
      </c>
      <c r="M111" s="154" t="str">
        <f t="shared" si="1"/>
        <v>FPA GAZ METROPOLITAIN</v>
      </c>
      <c r="N111" s="155">
        <f>+IF(OR($Q111=Parametres!$G$2,$Q111=Parametres!$G$3),I111,C111)</f>
        <v>6268.14</v>
      </c>
      <c r="O111" s="155">
        <f>+IF(OR($Q111=Parametres!$G$2,$Q111=Parametres!$G$3),J111,D111)</f>
        <v>731.75</v>
      </c>
      <c r="P111" s="155">
        <f>+IF(OR($Q111=Parametres!$G$2,$Q111=Parametres!$G$3),K111,E111)</f>
        <v>6999.89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1544</v>
      </c>
      <c r="U111" s="156" t="str">
        <f>+VLOOKUP($L111,Data_Validation!$A:$D,3,0)</f>
        <v>Bilan</v>
      </c>
      <c r="V111" s="156" t="str">
        <f>+VLOOKUP($L111,Data_Validation!$A:$D,4,0)</f>
        <v>Autres Courus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4" t="s">
        <v>2186</v>
      </c>
      <c r="B112" s="1014" t="s">
        <v>2187</v>
      </c>
      <c r="C112" s="1016">
        <v>-3263.43</v>
      </c>
      <c r="D112" s="1016">
        <v>-238.25</v>
      </c>
      <c r="E112" s="1016">
        <v>-3501.68</v>
      </c>
      <c r="F112" s="1014" t="s">
        <v>293</v>
      </c>
      <c r="G112" s="1014" t="s">
        <v>2106</v>
      </c>
      <c r="H112" s="949"/>
      <c r="I112" s="948"/>
      <c r="J112" s="948"/>
      <c r="K112" s="948"/>
      <c r="L112" s="153" t="str">
        <f t="shared" si="0"/>
        <v>1546</v>
      </c>
      <c r="M112" s="154" t="str">
        <f t="shared" si="1"/>
        <v>FPA ELECTRICITE HYDRO-QUEBEC</v>
      </c>
      <c r="N112" s="155">
        <f>+IF(OR($Q112=Parametres!$G$2,$Q112=Parametres!$G$3),I112,C112)</f>
        <v>-3263.43</v>
      </c>
      <c r="O112" s="155">
        <f>+IF(OR($Q112=Parametres!$G$2,$Q112=Parametres!$G$3),J112,D112)</f>
        <v>-238.25</v>
      </c>
      <c r="P112" s="155">
        <f>+IF(OR($Q112=Parametres!$G$2,$Q112=Parametres!$G$3),K112,E112)</f>
        <v>-3501.68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1546</v>
      </c>
      <c r="U112" s="156" t="str">
        <f>+VLOOKUP($L112,Data_Validation!$A:$D,3,0)</f>
        <v>Bilan</v>
      </c>
      <c r="V112" s="156" t="str">
        <f>+VLOOKUP($L112,Data_Validation!$A:$D,4,0)</f>
        <v>Autres Courus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4" t="s">
        <v>2122</v>
      </c>
      <c r="B113" s="1014" t="s">
        <v>2123</v>
      </c>
      <c r="C113" s="1016">
        <v>15987.81</v>
      </c>
      <c r="D113" s="1016">
        <v>-2889.78</v>
      </c>
      <c r="E113" s="1016">
        <v>13098.03</v>
      </c>
      <c r="F113" s="1014" t="s">
        <v>293</v>
      </c>
      <c r="G113" s="1014" t="s">
        <v>2106</v>
      </c>
      <c r="H113" s="949"/>
      <c r="I113" s="948"/>
      <c r="J113" s="948"/>
      <c r="K113" s="948"/>
      <c r="L113" s="153" t="str">
        <f t="shared" si="0"/>
        <v>1552</v>
      </c>
      <c r="M113" s="154" t="str">
        <f t="shared" si="1"/>
        <v>FPA C.S.S.T.</v>
      </c>
      <c r="N113" s="155">
        <f>+IF(OR($Q113=Parametres!$G$2,$Q113=Parametres!$G$3),I113,C113)</f>
        <v>15987.81</v>
      </c>
      <c r="O113" s="575">
        <f>+IF(OR($Q113=Parametres!$G$2,$Q113=Parametres!$G$3),J113,D113)</f>
        <v>-2889.78</v>
      </c>
      <c r="P113" s="155">
        <f>+IF(OR($Q113=Parametres!$G$2,$Q113=Parametres!$G$3),K113,E113)</f>
        <v>13098.03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1552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4" t="s">
        <v>2116</v>
      </c>
      <c r="B114" s="1014" t="s">
        <v>2117</v>
      </c>
      <c r="C114" s="1016">
        <v>13430.62</v>
      </c>
      <c r="D114" s="1016">
        <v>-4275</v>
      </c>
      <c r="E114" s="1016">
        <v>9155.6200000000008</v>
      </c>
      <c r="F114" s="1014" t="s">
        <v>293</v>
      </c>
      <c r="G114" s="1014" t="s">
        <v>2106</v>
      </c>
      <c r="H114" s="949"/>
      <c r="I114" s="948"/>
      <c r="J114" s="948"/>
      <c r="K114" s="948"/>
      <c r="L114" s="153" t="str">
        <f t="shared" si="0"/>
        <v>1582</v>
      </c>
      <c r="M114" s="579" t="str">
        <f t="shared" si="1"/>
        <v>FPA TAXES MUNICIPALES</v>
      </c>
      <c r="N114" s="155">
        <f>+IF(OR($Q114=Parametres!$G$2,$Q114=Parametres!$G$3),I114,C114)</f>
        <v>13430.62</v>
      </c>
      <c r="O114" s="580">
        <f>+IF(OR($Q114=Parametres!$G$2,$Q114=Parametres!$G$3),J114,D114)</f>
        <v>-4275</v>
      </c>
      <c r="P114" s="581">
        <f>+IF(OR($Q114=Parametres!$G$2,$Q114=Parametres!$G$3),K114,E114)</f>
        <v>9155.6200000000008</v>
      </c>
      <c r="Q114" s="154" t="str">
        <f t="shared" ref="Q114:S129" si="9">+F114</f>
        <v>2-Actifs</v>
      </c>
      <c r="R114" s="153" t="str">
        <f t="shared" si="9"/>
        <v>1500</v>
      </c>
      <c r="S114" s="154">
        <f t="shared" si="9"/>
        <v>0</v>
      </c>
      <c r="T114" s="156" t="str">
        <f>+VLOOKUP($L114,Data_Validation!$A:$D,1,0)</f>
        <v>1582</v>
      </c>
      <c r="U114" s="156" t="str">
        <f>+VLOOKUP($L114,Data_Validation!$A:$D,3,0)</f>
        <v>Bilan</v>
      </c>
      <c r="V114" s="156" t="str">
        <f>+VLOOKUP($L114,Data_Validation!$A:$D,4,0)</f>
        <v>Frais Payés d'Avance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4" t="s">
        <v>2142</v>
      </c>
      <c r="B115" s="1014" t="s">
        <v>2143</v>
      </c>
      <c r="C115" s="1016">
        <v>-5850</v>
      </c>
      <c r="D115" s="1016">
        <v>-2925</v>
      </c>
      <c r="E115" s="1016">
        <v>-8775</v>
      </c>
      <c r="F115" s="1014" t="s">
        <v>293</v>
      </c>
      <c r="G115" s="1014" t="s">
        <v>2106</v>
      </c>
      <c r="H115" s="949"/>
      <c r="I115" s="948"/>
      <c r="J115" s="948"/>
      <c r="K115" s="948"/>
      <c r="L115" s="153" t="str">
        <f t="shared" si="0"/>
        <v>1584</v>
      </c>
      <c r="M115" s="154" t="str">
        <f t="shared" si="1"/>
        <v>FPA TAXES AFFAIRES</v>
      </c>
      <c r="N115" s="155">
        <f>+IF(OR($Q115=Parametres!$G$2,$Q115=Parametres!$G$3),I115,C115)</f>
        <v>-5850</v>
      </c>
      <c r="O115" s="155">
        <f>+IF(OR($Q115=Parametres!$G$2,$Q115=Parametres!$G$3),J115,D115)</f>
        <v>-2925</v>
      </c>
      <c r="P115" s="155">
        <f>+IF(OR($Q115=Parametres!$G$2,$Q115=Parametres!$G$3),K115,E115)</f>
        <v>-8775</v>
      </c>
      <c r="Q115" s="154" t="str">
        <f t="shared" si="9"/>
        <v>2-Actifs</v>
      </c>
      <c r="R115" s="153" t="str">
        <f t="shared" si="9"/>
        <v>1500</v>
      </c>
      <c r="S115" s="154">
        <f t="shared" si="9"/>
        <v>0</v>
      </c>
      <c r="T115" s="156" t="str">
        <f>+VLOOKUP($L115,Data_Validation!$A:$D,1,0)</f>
        <v>1584</v>
      </c>
      <c r="U115" s="156" t="str">
        <f>+VLOOKUP($L115,Data_Validation!$A:$D,3,0)</f>
        <v>Bilan</v>
      </c>
      <c r="V115" s="156" t="str">
        <f>+VLOOKUP($L115,Data_Validation!$A:$D,4,0)</f>
        <v>Frais Payés d'Avance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4" t="s">
        <v>2177</v>
      </c>
      <c r="B116" s="1014" t="s">
        <v>2178</v>
      </c>
      <c r="C116" s="1016">
        <v>691.73</v>
      </c>
      <c r="D116" s="1016">
        <v>-650</v>
      </c>
      <c r="E116" s="1016">
        <v>41.73</v>
      </c>
      <c r="F116" s="1014" t="s">
        <v>293</v>
      </c>
      <c r="G116" s="1014" t="s">
        <v>2106</v>
      </c>
      <c r="H116" s="949"/>
      <c r="I116" s="948"/>
      <c r="J116" s="948"/>
      <c r="K116" s="948"/>
      <c r="L116" s="153" t="str">
        <f t="shared" si="0"/>
        <v>1586</v>
      </c>
      <c r="M116" s="154" t="str">
        <f t="shared" si="1"/>
        <v>FPA TAXES SCOLAIRES</v>
      </c>
      <c r="N116" s="155">
        <f>+IF(OR($Q116=Parametres!$G$2,$Q116=Parametres!$G$3),I116,C116)</f>
        <v>691.73</v>
      </c>
      <c r="O116" s="155">
        <f>+IF(OR($Q116=Parametres!$G$2,$Q116=Parametres!$G$3),J116,D116)</f>
        <v>-650</v>
      </c>
      <c r="P116" s="155">
        <f>+IF(OR($Q116=Parametres!$G$2,$Q116=Parametres!$G$3),K116,E116)</f>
        <v>41.73</v>
      </c>
      <c r="Q116" s="154" t="str">
        <f t="shared" si="9"/>
        <v>2-Actifs</v>
      </c>
      <c r="R116" s="153" t="str">
        <f t="shared" si="9"/>
        <v>1500</v>
      </c>
      <c r="S116" s="154">
        <f t="shared" si="9"/>
        <v>0</v>
      </c>
      <c r="T116" s="156" t="str">
        <f>+VLOOKUP($L116,Data_Validation!$A:$D,1,0)</f>
        <v>1586</v>
      </c>
      <c r="U116" s="156" t="str">
        <f>+VLOOKUP($L116,Data_Validation!$A:$D,3,0)</f>
        <v>Bilan</v>
      </c>
      <c r="V116" s="156" t="str">
        <f>+VLOOKUP($L116,Data_Validation!$A:$D,4,0)</f>
        <v>Frais Payés d'Avance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4" t="s">
        <v>2803</v>
      </c>
      <c r="B117" s="1014" t="s">
        <v>2804</v>
      </c>
      <c r="C117" s="1016">
        <v>47948.84</v>
      </c>
      <c r="D117" s="1016">
        <v>42265.65</v>
      </c>
      <c r="E117" s="1016">
        <v>90214.49</v>
      </c>
      <c r="F117" s="1014" t="s">
        <v>293</v>
      </c>
      <c r="G117" s="1014" t="s">
        <v>2106</v>
      </c>
      <c r="H117" s="949"/>
      <c r="I117" s="948"/>
      <c r="J117" s="948"/>
      <c r="K117" s="948"/>
      <c r="L117" s="153" t="str">
        <f t="shared" si="0"/>
        <v>1592</v>
      </c>
      <c r="M117" s="579" t="str">
        <f t="shared" si="1"/>
        <v>FPA AUTRES</v>
      </c>
      <c r="N117" s="155">
        <f>+IF(OR($Q117=Parametres!$G$2,$Q117=Parametres!$G$3),I117,C117)</f>
        <v>47948.84</v>
      </c>
      <c r="O117" s="580">
        <f>+IF(OR($Q117=Parametres!$G$2,$Q117=Parametres!$G$3),J117,D117)</f>
        <v>42265.65</v>
      </c>
      <c r="P117" s="581">
        <f>+IF(OR($Q117=Parametres!$G$2,$Q117=Parametres!$G$3),K117,E117)</f>
        <v>90214.49</v>
      </c>
      <c r="Q117" s="154" t="str">
        <f t="shared" si="9"/>
        <v>2-Actifs</v>
      </c>
      <c r="R117" s="153" t="str">
        <f t="shared" si="9"/>
        <v>1500</v>
      </c>
      <c r="S117" s="154">
        <f t="shared" si="9"/>
        <v>0</v>
      </c>
      <c r="T117" s="156" t="str">
        <f>+VLOOKUP($L117,Data_Validation!$A:$D,1,0)</f>
        <v>1592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4" t="s">
        <v>478</v>
      </c>
      <c r="B118" s="1014" t="s">
        <v>2129</v>
      </c>
      <c r="C118" s="1016">
        <v>-4639.6099999999997</v>
      </c>
      <c r="D118" s="1016">
        <v>-2302.0700000000002</v>
      </c>
      <c r="E118" s="1016">
        <v>-6941.68</v>
      </c>
      <c r="F118" s="1014" t="s">
        <v>293</v>
      </c>
      <c r="G118" s="1014" t="s">
        <v>2106</v>
      </c>
      <c r="H118" s="949"/>
      <c r="I118" s="948"/>
      <c r="J118" s="948"/>
      <c r="K118" s="948"/>
      <c r="L118" s="153" t="str">
        <f t="shared" si="0"/>
        <v>1593</v>
      </c>
      <c r="M118" s="154" t="str">
        <f t="shared" si="1"/>
        <v>FRAIS REPAS ET REPRESENTATION 50%</v>
      </c>
      <c r="N118" s="155">
        <f>+IF(OR($Q118=Parametres!$G$2,$Q118=Parametres!$G$3),I118,C118)</f>
        <v>-4639.6099999999997</v>
      </c>
      <c r="O118" s="575">
        <f>+IF(OR($Q118=Parametres!$G$2,$Q118=Parametres!$G$3),J118,D118)</f>
        <v>-2302.0700000000002</v>
      </c>
      <c r="P118" s="155">
        <f>+IF(OR($Q118=Parametres!$G$2,$Q118=Parametres!$G$3),K118,E118)</f>
        <v>-6941.68</v>
      </c>
      <c r="Q118" s="154" t="str">
        <f t="shared" si="9"/>
        <v>2-Actifs</v>
      </c>
      <c r="R118" s="153" t="str">
        <f t="shared" si="9"/>
        <v>1500</v>
      </c>
      <c r="S118" s="154">
        <f t="shared" si="9"/>
        <v>0</v>
      </c>
      <c r="T118" s="156" t="str">
        <f>+VLOOKUP($L118,Data_Validation!$A:$D,1,0)</f>
        <v>1593</v>
      </c>
      <c r="U118" s="156" t="str">
        <f>+VLOOKUP($L118,Data_Validation!$A:$D,3,0)</f>
        <v>Bilan</v>
      </c>
      <c r="V118" s="156" t="str">
        <f>+VLOOKUP($L118,Data_Validation!$A:$D,4,0)</f>
        <v>Frais Payés d'Avance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4" t="s">
        <v>2576</v>
      </c>
      <c r="B119" s="1014" t="s">
        <v>2577</v>
      </c>
      <c r="C119" s="1016">
        <v>153.28</v>
      </c>
      <c r="D119" s="1016">
        <v>391.7</v>
      </c>
      <c r="E119" s="1016">
        <v>544.98</v>
      </c>
      <c r="F119" s="1014" t="s">
        <v>293</v>
      </c>
      <c r="G119" s="1014" t="s">
        <v>2106</v>
      </c>
      <c r="H119" s="949"/>
      <c r="I119" s="948"/>
      <c r="J119" s="948"/>
      <c r="K119" s="948"/>
      <c r="L119" s="153" t="str">
        <f t="shared" si="0"/>
        <v>1594</v>
      </c>
      <c r="M119" s="154" t="str">
        <f t="shared" si="1"/>
        <v>FRAIS VOYAGE 100%</v>
      </c>
      <c r="N119" s="155">
        <f>+IF(OR($Q119=Parametres!$G$2,$Q119=Parametres!$G$3),I119,C119)</f>
        <v>153.28</v>
      </c>
      <c r="O119" s="575">
        <f>+IF(OR($Q119=Parametres!$G$2,$Q119=Parametres!$G$3),J119,D119)</f>
        <v>391.7</v>
      </c>
      <c r="P119" s="155">
        <f>+IF(OR($Q119=Parametres!$G$2,$Q119=Parametres!$G$3),K119,E119)</f>
        <v>544.98</v>
      </c>
      <c r="Q119" s="154" t="str">
        <f t="shared" si="9"/>
        <v>2-Actifs</v>
      </c>
      <c r="R119" s="153" t="str">
        <f t="shared" si="9"/>
        <v>1500</v>
      </c>
      <c r="S119" s="154">
        <f t="shared" si="9"/>
        <v>0</v>
      </c>
      <c r="T119" s="156" t="str">
        <f>+VLOOKUP($L119,Data_Validation!$A:$D,1,0)</f>
        <v>1594</v>
      </c>
      <c r="U119" s="156" t="str">
        <f>+VLOOKUP($L119,Data_Validation!$A:$D,3,0)</f>
        <v>Bilan</v>
      </c>
      <c r="V119" s="156" t="str">
        <f>+VLOOKUP($L119,Data_Validation!$A:$D,4,0)</f>
        <v>Frais Payés d'Avance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4" t="s">
        <v>2574</v>
      </c>
      <c r="B120" s="1014" t="s">
        <v>2575</v>
      </c>
      <c r="C120" s="1016">
        <v>1414.02</v>
      </c>
      <c r="D120" s="1016">
        <v>0</v>
      </c>
      <c r="E120" s="1016">
        <v>1414.02</v>
      </c>
      <c r="F120" s="1014" t="s">
        <v>293</v>
      </c>
      <c r="G120" s="1014" t="s">
        <v>2106</v>
      </c>
      <c r="H120" s="949"/>
      <c r="I120" s="948"/>
      <c r="J120" s="948"/>
      <c r="K120" s="948"/>
      <c r="L120" s="153" t="str">
        <f t="shared" si="0"/>
        <v>1595</v>
      </c>
      <c r="M120" s="154" t="str">
        <f t="shared" si="1"/>
        <v>FRAIS REP NON DEDUCTIBLE 0%</v>
      </c>
      <c r="N120" s="155">
        <f>+IF(OR($Q120=Parametres!$G$2,$Q120=Parametres!$G$3),I120,C120)</f>
        <v>1414.02</v>
      </c>
      <c r="O120" s="155">
        <f>+IF(OR($Q120=Parametres!$G$2,$Q120=Parametres!$G$3),J120,D120)</f>
        <v>0</v>
      </c>
      <c r="P120" s="155">
        <f>+IF(OR($Q120=Parametres!$G$2,$Q120=Parametres!$G$3),K120,E120)</f>
        <v>1414.02</v>
      </c>
      <c r="Q120" s="154" t="str">
        <f t="shared" si="9"/>
        <v>2-Actifs</v>
      </c>
      <c r="R120" s="153" t="str">
        <f t="shared" si="9"/>
        <v>1500</v>
      </c>
      <c r="S120" s="154">
        <f t="shared" si="9"/>
        <v>0</v>
      </c>
      <c r="T120" s="156" t="str">
        <f>+VLOOKUP($L120,Data_Validation!$A:$D,1,0)</f>
        <v>1595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4" t="s">
        <v>2400</v>
      </c>
      <c r="B121" s="1014" t="s">
        <v>2401</v>
      </c>
      <c r="C121" s="1016">
        <v>133189.21</v>
      </c>
      <c r="D121" s="1016">
        <v>0</v>
      </c>
      <c r="E121" s="1016">
        <v>133189.21</v>
      </c>
      <c r="F121" s="1014" t="s">
        <v>293</v>
      </c>
      <c r="G121" s="1014" t="s">
        <v>2128</v>
      </c>
      <c r="H121" s="949"/>
      <c r="I121" s="948"/>
      <c r="J121" s="948"/>
      <c r="K121" s="948"/>
      <c r="L121" s="153" t="str">
        <f t="shared" si="0"/>
        <v>1732</v>
      </c>
      <c r="M121" s="154" t="str">
        <f t="shared" si="1"/>
        <v>AMELIOR. LOCATIVES</v>
      </c>
      <c r="N121" s="155">
        <f>+IF(OR($Q121=Parametres!$G$2,$Q121=Parametres!$G$3),I121,C121)</f>
        <v>133189.21</v>
      </c>
      <c r="O121" s="155">
        <f>+IF(OR($Q121=Parametres!$G$2,$Q121=Parametres!$G$3),J121,D121)</f>
        <v>0</v>
      </c>
      <c r="P121" s="155">
        <f>+IF(OR($Q121=Parametres!$G$2,$Q121=Parametres!$G$3),K121,E121)</f>
        <v>133189.21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1732</v>
      </c>
      <c r="U121" s="156" t="str">
        <f>+VLOOKUP($L121,Data_Validation!$A:$D,3,0)</f>
        <v>Bilan</v>
      </c>
      <c r="V121" s="156" t="str">
        <f>+VLOOKUP($L121,Data_Validation!$A:$D,4,0)</f>
        <v>Améliorations Locatives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4" t="s">
        <v>2156</v>
      </c>
      <c r="B122" s="1014" t="s">
        <v>2157</v>
      </c>
      <c r="C122" s="1016">
        <v>-70422.87</v>
      </c>
      <c r="D122" s="1016">
        <v>-1600</v>
      </c>
      <c r="E122" s="1016">
        <v>-72022.87</v>
      </c>
      <c r="F122" s="1014" t="s">
        <v>293</v>
      </c>
      <c r="G122" s="1014" t="s">
        <v>2128</v>
      </c>
      <c r="H122" s="949"/>
      <c r="I122" s="948"/>
      <c r="J122" s="948"/>
      <c r="K122" s="948"/>
      <c r="L122" s="153" t="str">
        <f t="shared" si="0"/>
        <v>1733</v>
      </c>
      <c r="M122" s="154" t="str">
        <f t="shared" si="1"/>
        <v>AMORT. CUM. AMEL. LOCAT.</v>
      </c>
      <c r="N122" s="155">
        <f>+IF(OR($Q122=Parametres!$G$2,$Q122=Parametres!$G$3),I122,C122)</f>
        <v>-70422.87</v>
      </c>
      <c r="O122" s="155">
        <f>+IF(OR($Q122=Parametres!$G$2,$Q122=Parametres!$G$3),J122,D122)</f>
        <v>-1600</v>
      </c>
      <c r="P122" s="155">
        <f>+IF(OR($Q122=Parametres!$G$2,$Q122=Parametres!$G$3),K122,E122)</f>
        <v>-72022.87</v>
      </c>
      <c r="Q122" s="154" t="str">
        <f t="shared" si="9"/>
        <v>2-Actifs</v>
      </c>
      <c r="R122" s="153" t="str">
        <f t="shared" si="9"/>
        <v>1700</v>
      </c>
      <c r="S122" s="154">
        <f t="shared" si="9"/>
        <v>0</v>
      </c>
      <c r="T122" s="156" t="str">
        <f>+VLOOKUP($L122,Data_Validation!$A:$D,1,0)</f>
        <v>1733</v>
      </c>
      <c r="U122" s="156" t="str">
        <f>+VLOOKUP($L122,Data_Validation!$A:$D,3,0)</f>
        <v>Bilan</v>
      </c>
      <c r="V122" s="156" t="str">
        <f>+VLOOKUP($L122,Data_Validation!$A:$D,4,0)</f>
        <v>Améliorations Locatives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4" t="s">
        <v>2402</v>
      </c>
      <c r="B123" s="1014" t="s">
        <v>2403</v>
      </c>
      <c r="C123" s="1016">
        <v>867202.23</v>
      </c>
      <c r="D123" s="1016">
        <v>0</v>
      </c>
      <c r="E123" s="1016">
        <v>867202.23</v>
      </c>
      <c r="F123" s="1014" t="s">
        <v>293</v>
      </c>
      <c r="G123" s="1014" t="s">
        <v>2128</v>
      </c>
      <c r="H123" s="949"/>
      <c r="I123" s="948"/>
      <c r="J123" s="948"/>
      <c r="K123" s="948"/>
      <c r="L123" s="153" t="str">
        <f t="shared" si="0"/>
        <v>1742</v>
      </c>
      <c r="M123" s="154" t="str">
        <f t="shared" si="1"/>
        <v>MACHINERIE &amp; EQUIPEMENT</v>
      </c>
      <c r="N123" s="155">
        <f>+IF(OR($Q123=Parametres!$G$2,$Q123=Parametres!$G$3),I123,C123)</f>
        <v>867202.23</v>
      </c>
      <c r="O123" s="155">
        <f>+IF(OR($Q123=Parametres!$G$2,$Q123=Parametres!$G$3),J123,D123)</f>
        <v>0</v>
      </c>
      <c r="P123" s="155">
        <f>+IF(OR($Q123=Parametres!$G$2,$Q123=Parametres!$G$3),K123,E123)</f>
        <v>867202.23</v>
      </c>
      <c r="Q123" s="154" t="str">
        <f t="shared" si="9"/>
        <v>2-Actifs</v>
      </c>
      <c r="R123" s="153" t="str">
        <f t="shared" si="9"/>
        <v>1700</v>
      </c>
      <c r="S123" s="154">
        <f t="shared" si="9"/>
        <v>0</v>
      </c>
      <c r="T123" s="156" t="str">
        <f>+VLOOKUP($L123,Data_Validation!$A:$D,1,0)</f>
        <v>1742</v>
      </c>
      <c r="U123" s="156" t="str">
        <f>+VLOOKUP($L123,Data_Validation!$A:$D,3,0)</f>
        <v>Bilan</v>
      </c>
      <c r="V123" s="156" t="str">
        <f>+VLOOKUP($L123,Data_Validation!$A:$D,4,0)</f>
        <v>Équipements Service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4" t="s">
        <v>2126</v>
      </c>
      <c r="B124" s="1014" t="s">
        <v>2127</v>
      </c>
      <c r="C124" s="1016">
        <v>-680620.53</v>
      </c>
      <c r="D124" s="1016">
        <v>-3600</v>
      </c>
      <c r="E124" s="1016">
        <v>-684220.53</v>
      </c>
      <c r="F124" s="1014" t="s">
        <v>293</v>
      </c>
      <c r="G124" s="1014" t="s">
        <v>2128</v>
      </c>
      <c r="H124" s="949"/>
      <c r="I124" s="948"/>
      <c r="J124" s="948"/>
      <c r="K124" s="948"/>
      <c r="L124" s="153" t="str">
        <f t="shared" si="0"/>
        <v>1743</v>
      </c>
      <c r="M124" s="154" t="str">
        <f t="shared" si="1"/>
        <v>AMORTISS.MACHINERIE &amp; EQUIP.</v>
      </c>
      <c r="N124" s="155">
        <f>+IF(OR($Q124=Parametres!$G$2,$Q124=Parametres!$G$3),I124,C124)</f>
        <v>-680620.53</v>
      </c>
      <c r="O124" s="155">
        <f>+IF(OR($Q124=Parametres!$G$2,$Q124=Parametres!$G$3),J124,D124)</f>
        <v>-3600</v>
      </c>
      <c r="P124" s="155">
        <f>+IF(OR($Q124=Parametres!$G$2,$Q124=Parametres!$G$3),K124,E124)</f>
        <v>-684220.53</v>
      </c>
      <c r="Q124" s="154" t="str">
        <f t="shared" si="9"/>
        <v>2-Actifs</v>
      </c>
      <c r="R124" s="153" t="str">
        <f t="shared" si="9"/>
        <v>1700</v>
      </c>
      <c r="S124" s="154">
        <f t="shared" si="9"/>
        <v>0</v>
      </c>
      <c r="T124" s="156" t="str">
        <f>+VLOOKUP($L124,Data_Validation!$A:$D,1,0)</f>
        <v>1743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4" t="s">
        <v>2404</v>
      </c>
      <c r="B125" s="1014" t="s">
        <v>2405</v>
      </c>
      <c r="C125" s="1016">
        <v>47461.59</v>
      </c>
      <c r="D125" s="1016">
        <v>0</v>
      </c>
      <c r="E125" s="1016">
        <v>47461.59</v>
      </c>
      <c r="F125" s="1014" t="s">
        <v>293</v>
      </c>
      <c r="G125" s="1014" t="s">
        <v>2128</v>
      </c>
      <c r="H125" s="949"/>
      <c r="I125" s="948"/>
      <c r="J125" s="948"/>
      <c r="K125" s="948"/>
      <c r="L125" s="153" t="str">
        <f t="shared" si="0"/>
        <v>1744</v>
      </c>
      <c r="M125" s="154" t="str">
        <f t="shared" si="1"/>
        <v>EQUIPEMENT PIECES</v>
      </c>
      <c r="N125" s="155">
        <f>+IF(OR($Q125=Parametres!$G$2,$Q125=Parametres!$G$3),I125,C125)</f>
        <v>47461.59</v>
      </c>
      <c r="O125" s="575">
        <f>+IF(OR($Q125=Parametres!$G$2,$Q125=Parametres!$G$3),J125,D125)</f>
        <v>0</v>
      </c>
      <c r="P125" s="155">
        <f>+IF(OR($Q125=Parametres!$G$2,$Q125=Parametres!$G$3),K125,E125)</f>
        <v>47461.59</v>
      </c>
      <c r="Q125" s="154" t="str">
        <f t="shared" si="9"/>
        <v>2-Actifs</v>
      </c>
      <c r="R125" s="153" t="str">
        <f t="shared" si="9"/>
        <v>1700</v>
      </c>
      <c r="S125" s="154">
        <f t="shared" si="9"/>
        <v>0</v>
      </c>
      <c r="T125" s="156" t="str">
        <f>+VLOOKUP($L125,Data_Validation!$A:$D,1,0)</f>
        <v>1744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4" t="s">
        <v>2197</v>
      </c>
      <c r="B126" s="1014" t="s">
        <v>2198</v>
      </c>
      <c r="C126" s="1016">
        <v>-45017.66</v>
      </c>
      <c r="D126" s="1016">
        <v>-250</v>
      </c>
      <c r="E126" s="1016">
        <v>-45267.66</v>
      </c>
      <c r="F126" s="1014" t="s">
        <v>293</v>
      </c>
      <c r="G126" s="1014" t="s">
        <v>2128</v>
      </c>
      <c r="H126" s="949"/>
      <c r="I126" s="948"/>
      <c r="J126" s="948"/>
      <c r="K126" s="948"/>
      <c r="L126" s="153" t="str">
        <f t="shared" si="0"/>
        <v>1745</v>
      </c>
      <c r="M126" s="154" t="str">
        <f t="shared" si="1"/>
        <v>AMORTISS.EQUIPEMENTS PIECES</v>
      </c>
      <c r="N126" s="155">
        <f>+IF(OR($Q126=Parametres!$G$2,$Q126=Parametres!$G$3),I126,C126)</f>
        <v>-45017.66</v>
      </c>
      <c r="O126" s="575">
        <f>+IF(OR($Q126=Parametres!$G$2,$Q126=Parametres!$G$3),J126,D126)</f>
        <v>-250</v>
      </c>
      <c r="P126" s="155">
        <f>+IF(OR($Q126=Parametres!$G$2,$Q126=Parametres!$G$3),K126,E126)</f>
        <v>-45267.66</v>
      </c>
      <c r="Q126" s="154" t="str">
        <f t="shared" si="9"/>
        <v>2-Actifs</v>
      </c>
      <c r="R126" s="153" t="str">
        <f t="shared" si="9"/>
        <v>1700</v>
      </c>
      <c r="S126" s="154">
        <f t="shared" si="9"/>
        <v>0</v>
      </c>
      <c r="T126" s="156" t="str">
        <f>+VLOOKUP($L126,Data_Validation!$A:$D,1,0)</f>
        <v>1745</v>
      </c>
      <c r="U126" s="156" t="str">
        <f>+VLOOKUP($L126,Data_Validation!$A:$D,3,0)</f>
        <v>Bilan</v>
      </c>
      <c r="V126" s="156" t="str">
        <f>+VLOOKUP($L126,Data_Validation!$A:$D,4,0)</f>
        <v>Équipements Service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4" t="s">
        <v>2406</v>
      </c>
      <c r="B127" s="1014" t="s">
        <v>2407</v>
      </c>
      <c r="C127" s="1016">
        <v>155280.23000000001</v>
      </c>
      <c r="D127" s="1016">
        <v>0</v>
      </c>
      <c r="E127" s="1016">
        <v>155280.23000000001</v>
      </c>
      <c r="F127" s="1014" t="s">
        <v>293</v>
      </c>
      <c r="G127" s="1014" t="s">
        <v>2128</v>
      </c>
      <c r="H127" s="949"/>
      <c r="I127" s="948"/>
      <c r="J127" s="948"/>
      <c r="K127" s="948"/>
      <c r="L127" s="153" t="str">
        <f t="shared" si="0"/>
        <v>1760</v>
      </c>
      <c r="M127" s="154" t="str">
        <f t="shared" si="1"/>
        <v>EQUIPEMENT TELEPHONIQUE</v>
      </c>
      <c r="N127" s="155">
        <f>+IF(OR($Q127=Parametres!$G$2,$Q127=Parametres!$G$3),I127,C127)</f>
        <v>155280.23000000001</v>
      </c>
      <c r="O127" s="155">
        <f>+IF(OR($Q127=Parametres!$G$2,$Q127=Parametres!$G$3),J127,D127)</f>
        <v>0</v>
      </c>
      <c r="P127" s="155">
        <f>+IF(OR($Q127=Parametres!$G$2,$Q127=Parametres!$G$3),K127,E127)</f>
        <v>155280.23000000001</v>
      </c>
      <c r="Q127" s="154" t="str">
        <f t="shared" si="9"/>
        <v>2-Actifs</v>
      </c>
      <c r="R127" s="153" t="str">
        <f t="shared" si="9"/>
        <v>1700</v>
      </c>
      <c r="S127" s="154">
        <f t="shared" si="9"/>
        <v>0</v>
      </c>
      <c r="T127" s="156" t="str">
        <f>+VLOOKUP($L127,Data_Validation!$A:$D,1,0)</f>
        <v>1760</v>
      </c>
      <c r="U127" s="156" t="str">
        <f>+VLOOKUP($L127,Data_Validation!$A:$D,3,0)</f>
        <v>Bilan</v>
      </c>
      <c r="V127" s="156" t="str">
        <f>+VLOOKUP($L127,Data_Validation!$A:$D,4,0)</f>
        <v>Équipements Téléphonique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4" t="s">
        <v>2570</v>
      </c>
      <c r="B128" s="1014" t="s">
        <v>2571</v>
      </c>
      <c r="C128" s="1016">
        <v>-147877.57</v>
      </c>
      <c r="D128" s="1016">
        <v>-520</v>
      </c>
      <c r="E128" s="1016">
        <v>-148397.57</v>
      </c>
      <c r="F128" s="1014" t="s">
        <v>293</v>
      </c>
      <c r="G128" s="1014" t="s">
        <v>2128</v>
      </c>
      <c r="H128" s="949"/>
      <c r="I128" s="948"/>
      <c r="J128" s="948"/>
      <c r="K128" s="948"/>
      <c r="L128" s="153" t="str">
        <f t="shared" si="0"/>
        <v>1761</v>
      </c>
      <c r="M128" s="579" t="str">
        <f t="shared" si="1"/>
        <v>AMORTISS.EQUIP.TELEPHONIQUES</v>
      </c>
      <c r="N128" s="155">
        <f>+IF(OR($Q128=Parametres!$G$2,$Q128=Parametres!$G$3),I128,C128)</f>
        <v>-147877.57</v>
      </c>
      <c r="O128" s="580">
        <f>+IF(OR($Q128=Parametres!$G$2,$Q128=Parametres!$G$3),J128,D128)</f>
        <v>-520</v>
      </c>
      <c r="P128" s="581">
        <f>+IF(OR($Q128=Parametres!$G$2,$Q128=Parametres!$G$3),K128,E128)</f>
        <v>-148397.57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1761</v>
      </c>
      <c r="U128" s="156" t="str">
        <f>+VLOOKUP($L128,Data_Validation!$A:$D,3,0)</f>
        <v>Bilan</v>
      </c>
      <c r="V128" s="156" t="str">
        <f>+VLOOKUP($L128,Data_Validation!$A:$D,4,0)</f>
        <v>Équipements Téléphonique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4" t="s">
        <v>2408</v>
      </c>
      <c r="B129" s="1014" t="s">
        <v>2409</v>
      </c>
      <c r="C129" s="1016">
        <v>431905.06</v>
      </c>
      <c r="D129" s="1016">
        <v>0</v>
      </c>
      <c r="E129" s="1016">
        <v>431905.06</v>
      </c>
      <c r="F129" s="1014" t="s">
        <v>293</v>
      </c>
      <c r="G129" s="1014" t="s">
        <v>2128</v>
      </c>
      <c r="H129" s="949"/>
      <c r="I129" s="948"/>
      <c r="J129" s="948"/>
      <c r="K129" s="948"/>
      <c r="L129" s="153" t="str">
        <f t="shared" si="0"/>
        <v>1762</v>
      </c>
      <c r="M129" s="154" t="str">
        <f t="shared" si="1"/>
        <v>AMEUBLEMENT &amp; INSTR.</v>
      </c>
      <c r="N129" s="155">
        <f>+IF(OR($Q129=Parametres!$G$2,$Q129=Parametres!$G$3),I129,C129)</f>
        <v>431905.06</v>
      </c>
      <c r="O129" s="155">
        <f>+IF(OR($Q129=Parametres!$G$2,$Q129=Parametres!$G$3),J129,D129)</f>
        <v>0</v>
      </c>
      <c r="P129" s="155">
        <f>+IF(OR($Q129=Parametres!$G$2,$Q129=Parametres!$G$3),K129,E129)</f>
        <v>431905.06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1762</v>
      </c>
      <c r="U129" s="156" t="str">
        <f>+VLOOKUP($L129,Data_Validation!$A:$D,3,0)</f>
        <v>Bilan</v>
      </c>
      <c r="V129" s="156" t="str">
        <f>+VLOOKUP($L129,Data_Validation!$A:$D,4,0)</f>
        <v>Mobilier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4" t="s">
        <v>2163</v>
      </c>
      <c r="B130" s="1014" t="s">
        <v>2164</v>
      </c>
      <c r="C130" s="1016">
        <v>-375858.12</v>
      </c>
      <c r="D130" s="1016">
        <v>-1300</v>
      </c>
      <c r="E130" s="1016">
        <v>-377158.12</v>
      </c>
      <c r="F130" s="1014" t="s">
        <v>293</v>
      </c>
      <c r="G130" s="1014" t="s">
        <v>2128</v>
      </c>
      <c r="H130" s="949"/>
      <c r="I130" s="948"/>
      <c r="J130" s="948"/>
      <c r="K130" s="948"/>
      <c r="L130" s="153" t="str">
        <f t="shared" si="0"/>
        <v>1763</v>
      </c>
      <c r="M130" s="154" t="str">
        <f t="shared" si="1"/>
        <v>AMORTISS.AMEUBL.INSTR.</v>
      </c>
      <c r="N130" s="155">
        <f>+IF(OR($Q130=Parametres!$G$2,$Q130=Parametres!$G$3),I130,C130)</f>
        <v>-375858.12</v>
      </c>
      <c r="O130" s="155">
        <f>+IF(OR($Q130=Parametres!$G$2,$Q130=Parametres!$G$3),J130,D130)</f>
        <v>-1300</v>
      </c>
      <c r="P130" s="155">
        <f>+IF(OR($Q130=Parametres!$G$2,$Q130=Parametres!$G$3),K130,E130)</f>
        <v>-377158.12</v>
      </c>
      <c r="Q130" s="154" t="str">
        <f t="shared" ref="Q130:S145" si="10">+F130</f>
        <v>2-Actifs</v>
      </c>
      <c r="R130" s="153" t="str">
        <f t="shared" si="10"/>
        <v>1700</v>
      </c>
      <c r="S130" s="154">
        <f t="shared" si="10"/>
        <v>0</v>
      </c>
      <c r="T130" s="156" t="str">
        <f>+VLOOKUP($L130,Data_Validation!$A:$D,1,0)</f>
        <v>1763</v>
      </c>
      <c r="U130" s="156" t="str">
        <f>+VLOOKUP($L130,Data_Validation!$A:$D,3,0)</f>
        <v>Bilan</v>
      </c>
      <c r="V130" s="156" t="str">
        <f>+VLOOKUP($L130,Data_Validation!$A:$D,4,0)</f>
        <v>Mobilier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4" t="s">
        <v>2410</v>
      </c>
      <c r="B131" s="1014" t="s">
        <v>2411</v>
      </c>
      <c r="C131" s="1016">
        <v>3987.88</v>
      </c>
      <c r="D131" s="1016">
        <v>0</v>
      </c>
      <c r="E131" s="1016">
        <v>3987.88</v>
      </c>
      <c r="F131" s="1014" t="s">
        <v>293</v>
      </c>
      <c r="G131" s="1014" t="s">
        <v>2128</v>
      </c>
      <c r="H131" s="949"/>
      <c r="I131" s="948"/>
      <c r="J131" s="948"/>
      <c r="K131" s="948"/>
      <c r="L131" s="153" t="str">
        <f t="shared" si="0"/>
        <v>1772</v>
      </c>
      <c r="M131" s="154" t="str">
        <f t="shared" si="1"/>
        <v>VEHICULES DE CIE</v>
      </c>
      <c r="N131" s="155">
        <f>+IF(OR($Q131=Parametres!$G$2,$Q131=Parametres!$G$3),I131,C131)</f>
        <v>3987.88</v>
      </c>
      <c r="O131" s="155">
        <f>+IF(OR($Q131=Parametres!$G$2,$Q131=Parametres!$G$3),J131,D131)</f>
        <v>0</v>
      </c>
      <c r="P131" s="155">
        <f>+IF(OR($Q131=Parametres!$G$2,$Q131=Parametres!$G$3),K131,E131)</f>
        <v>3987.88</v>
      </c>
      <c r="Q131" s="154" t="str">
        <f t="shared" si="10"/>
        <v>2-Actifs</v>
      </c>
      <c r="R131" s="153" t="str">
        <f t="shared" si="10"/>
        <v>1700</v>
      </c>
      <c r="S131" s="154">
        <f t="shared" si="10"/>
        <v>0</v>
      </c>
      <c r="T131" s="156" t="str">
        <f>+VLOOKUP($L131,Data_Validation!$A:$D,1,0)</f>
        <v>1772</v>
      </c>
      <c r="U131" s="156" t="str">
        <f>+VLOOKUP($L131,Data_Validation!$A:$D,3,0)</f>
        <v>Bilan</v>
      </c>
      <c r="V131" s="156" t="str">
        <f>+VLOOKUP($L131,Data_Validation!$A:$D,4,0)</f>
        <v>Équipements Service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4" t="s">
        <v>2412</v>
      </c>
      <c r="B132" s="1014" t="s">
        <v>2413</v>
      </c>
      <c r="C132" s="1016">
        <v>-3987.88</v>
      </c>
      <c r="D132" s="1016">
        <v>0</v>
      </c>
      <c r="E132" s="1016">
        <v>-3987.88</v>
      </c>
      <c r="F132" s="1014" t="s">
        <v>293</v>
      </c>
      <c r="G132" s="1014" t="s">
        <v>2128</v>
      </c>
      <c r="H132" s="949"/>
      <c r="I132" s="948"/>
      <c r="J132" s="948"/>
      <c r="K132" s="948"/>
      <c r="L132" s="153" t="str">
        <f t="shared" si="0"/>
        <v>1773</v>
      </c>
      <c r="M132" s="154" t="str">
        <f t="shared" si="1"/>
        <v>DEPRECIATION &amp; AMORT.</v>
      </c>
      <c r="N132" s="155">
        <f>+IF(OR($Q132=Parametres!$G$2,$Q132=Parametres!$G$3),I132,C132)</f>
        <v>-3987.88</v>
      </c>
      <c r="O132" s="155">
        <f>+IF(OR($Q132=Parametres!$G$2,$Q132=Parametres!$G$3),J132,D132)</f>
        <v>0</v>
      </c>
      <c r="P132" s="155">
        <f>+IF(OR($Q132=Parametres!$G$2,$Q132=Parametres!$G$3),K132,E132)</f>
        <v>-3987.88</v>
      </c>
      <c r="Q132" s="154" t="str">
        <f t="shared" si="10"/>
        <v>2-Actifs</v>
      </c>
      <c r="R132" s="153" t="str">
        <f t="shared" si="10"/>
        <v>1700</v>
      </c>
      <c r="S132" s="154">
        <f t="shared" si="10"/>
        <v>0</v>
      </c>
      <c r="T132" s="156" t="str">
        <f>+VLOOKUP($L132,Data_Validation!$A:$D,1,0)</f>
        <v>1773</v>
      </c>
      <c r="U132" s="156" t="str">
        <f>+VLOOKUP($L132,Data_Validation!$A:$D,3,0)</f>
        <v>Bilan</v>
      </c>
      <c r="V132" s="156" t="str">
        <f>+VLOOKUP($L132,Data_Validation!$A:$D,4,0)</f>
        <v>Équipements Service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4" t="s">
        <v>2568</v>
      </c>
      <c r="B133" s="1014" t="s">
        <v>2569</v>
      </c>
      <c r="C133" s="1016">
        <v>257686.2</v>
      </c>
      <c r="D133" s="1016">
        <v>1703</v>
      </c>
      <c r="E133" s="1016">
        <v>259389.2</v>
      </c>
      <c r="F133" s="1014" t="s">
        <v>293</v>
      </c>
      <c r="G133" s="1014" t="s">
        <v>2128</v>
      </c>
      <c r="H133" s="949"/>
      <c r="I133" s="948"/>
      <c r="J133" s="948"/>
      <c r="K133" s="948"/>
      <c r="L133" s="153" t="str">
        <f t="shared" si="0"/>
        <v>1786</v>
      </c>
      <c r="M133" s="154" t="str">
        <f t="shared" si="1"/>
        <v>EQUIPEMENT INFORMATIQUE</v>
      </c>
      <c r="N133" s="155">
        <f>+IF(OR($Q133=Parametres!$G$2,$Q133=Parametres!$G$3),I133,C133)</f>
        <v>257686.2</v>
      </c>
      <c r="O133" s="155">
        <f>+IF(OR($Q133=Parametres!$G$2,$Q133=Parametres!$G$3),J133,D133)</f>
        <v>1703</v>
      </c>
      <c r="P133" s="155">
        <f>+IF(OR($Q133=Parametres!$G$2,$Q133=Parametres!$G$3),K133,E133)</f>
        <v>259389.2</v>
      </c>
      <c r="Q133" s="154" t="str">
        <f t="shared" si="10"/>
        <v>2-Actifs</v>
      </c>
      <c r="R133" s="153" t="str">
        <f t="shared" si="10"/>
        <v>1700</v>
      </c>
      <c r="S133" s="154">
        <f t="shared" si="10"/>
        <v>0</v>
      </c>
      <c r="T133" s="156" t="str">
        <f>+VLOOKUP($L133,Data_Validation!$A:$D,1,0)</f>
        <v>1786</v>
      </c>
      <c r="U133" s="156" t="str">
        <f>+VLOOKUP($L133,Data_Validation!$A:$D,3,0)</f>
        <v>Bilan</v>
      </c>
      <c r="V133" s="156" t="str">
        <f>+VLOOKUP($L133,Data_Validation!$A:$D,4,0)</f>
        <v>Équipements Informatique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4" t="s">
        <v>2154</v>
      </c>
      <c r="B134" s="1014" t="s">
        <v>2155</v>
      </c>
      <c r="C134" s="1016">
        <v>-213279.73</v>
      </c>
      <c r="D134" s="1016">
        <v>-1380</v>
      </c>
      <c r="E134" s="1016">
        <v>-214659.73</v>
      </c>
      <c r="F134" s="1014" t="s">
        <v>293</v>
      </c>
      <c r="G134" s="1014" t="s">
        <v>2128</v>
      </c>
      <c r="H134" s="949"/>
      <c r="I134" s="948"/>
      <c r="J134" s="948"/>
      <c r="K134" s="948"/>
      <c r="L134" s="153" t="str">
        <f t="shared" si="0"/>
        <v>1787</v>
      </c>
      <c r="M134" s="154" t="str">
        <f t="shared" si="1"/>
        <v>AMORTISS.EQUIP.INFORMATIQUES</v>
      </c>
      <c r="N134" s="155">
        <f>+IF(OR($Q134=Parametres!$G$2,$Q134=Parametres!$G$3),I134,C134)</f>
        <v>-213279.73</v>
      </c>
      <c r="O134" s="155">
        <f>+IF(OR($Q134=Parametres!$G$2,$Q134=Parametres!$G$3),J134,D134)</f>
        <v>-1380</v>
      </c>
      <c r="P134" s="155">
        <f>+IF(OR($Q134=Parametres!$G$2,$Q134=Parametres!$G$3),K134,E134)</f>
        <v>-214659.73</v>
      </c>
      <c r="Q134" s="154" t="str">
        <f t="shared" si="10"/>
        <v>2-Actifs</v>
      </c>
      <c r="R134" s="153" t="str">
        <f t="shared" si="10"/>
        <v>1700</v>
      </c>
      <c r="S134" s="154">
        <f t="shared" si="10"/>
        <v>0</v>
      </c>
      <c r="T134" s="156" t="str">
        <f>+VLOOKUP($L134,Data_Validation!$A:$D,1,0)</f>
        <v>1787</v>
      </c>
      <c r="U134" s="156" t="str">
        <f>+VLOOKUP($L134,Data_Validation!$A:$D,3,0)</f>
        <v>Bilan</v>
      </c>
      <c r="V134" s="156" t="str">
        <f>+VLOOKUP($L134,Data_Validation!$A:$D,4,0)</f>
        <v>Équipements Informatique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4" t="s">
        <v>822</v>
      </c>
      <c r="B135" s="1014" t="s">
        <v>2414</v>
      </c>
      <c r="C135" s="1016">
        <v>119393.66</v>
      </c>
      <c r="D135" s="1016">
        <v>0</v>
      </c>
      <c r="E135" s="1016">
        <v>119393.66</v>
      </c>
      <c r="F135" s="1014" t="s">
        <v>293</v>
      </c>
      <c r="G135" s="1014" t="s">
        <v>2128</v>
      </c>
      <c r="H135" s="949"/>
      <c r="I135" s="948"/>
      <c r="J135" s="948"/>
      <c r="K135" s="948"/>
      <c r="L135" s="153" t="str">
        <f t="shared" si="0"/>
        <v>1792</v>
      </c>
      <c r="M135" s="154" t="str">
        <f t="shared" si="1"/>
        <v>ENSEIGNES</v>
      </c>
      <c r="N135" s="155">
        <f>+IF(OR($Q135=Parametres!$G$2,$Q135=Parametres!$G$3),I135,C135)</f>
        <v>119393.66</v>
      </c>
      <c r="O135" s="155">
        <f>+IF(OR($Q135=Parametres!$G$2,$Q135=Parametres!$G$3),J135,D135)</f>
        <v>0</v>
      </c>
      <c r="P135" s="155">
        <f>+IF(OR($Q135=Parametres!$G$2,$Q135=Parametres!$G$3),K135,E135)</f>
        <v>119393.66</v>
      </c>
      <c r="Q135" s="154" t="str">
        <f t="shared" si="10"/>
        <v>2-Actifs</v>
      </c>
      <c r="R135" s="153" t="str">
        <f t="shared" si="10"/>
        <v>1700</v>
      </c>
      <c r="S135" s="154">
        <f t="shared" si="10"/>
        <v>0</v>
      </c>
      <c r="T135" s="156" t="str">
        <f>+VLOOKUP($L135,Data_Validation!$A:$D,1,0)</f>
        <v>1792</v>
      </c>
      <c r="U135" s="156" t="str">
        <f>+VLOOKUP($L135,Data_Validation!$A:$D,3,0)</f>
        <v>Bilan</v>
      </c>
      <c r="V135" s="156" t="str">
        <f>+VLOOKUP($L135,Data_Validation!$A:$D,4,0)</f>
        <v>Enseigne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4" t="s">
        <v>2195</v>
      </c>
      <c r="B136" s="1014" t="s">
        <v>2196</v>
      </c>
      <c r="C136" s="1016">
        <v>-114810.48</v>
      </c>
      <c r="D136" s="1016">
        <v>-350</v>
      </c>
      <c r="E136" s="1016">
        <v>-115160.48</v>
      </c>
      <c r="F136" s="1014" t="s">
        <v>293</v>
      </c>
      <c r="G136" s="1014" t="s">
        <v>2128</v>
      </c>
      <c r="H136" s="949"/>
      <c r="I136" s="948"/>
      <c r="J136" s="948"/>
      <c r="K136" s="948"/>
      <c r="L136" s="153" t="str">
        <f t="shared" si="0"/>
        <v>1793</v>
      </c>
      <c r="M136" s="154" t="str">
        <f t="shared" si="1"/>
        <v>AMORT. CUM. ENSEIGNES</v>
      </c>
      <c r="N136" s="155">
        <f>+IF(OR($Q136=Parametres!$G$2,$Q136=Parametres!$G$3),I136,C136)</f>
        <v>-114810.48</v>
      </c>
      <c r="O136" s="155">
        <f>+IF(OR($Q136=Parametres!$G$2,$Q136=Parametres!$G$3),J136,D136)</f>
        <v>-350</v>
      </c>
      <c r="P136" s="155">
        <f>+IF(OR($Q136=Parametres!$G$2,$Q136=Parametres!$G$3),K136,E136)</f>
        <v>-115160.48</v>
      </c>
      <c r="Q136" s="154" t="str">
        <f t="shared" si="10"/>
        <v>2-Actifs</v>
      </c>
      <c r="R136" s="153" t="str">
        <f t="shared" si="10"/>
        <v>1700</v>
      </c>
      <c r="S136" s="154">
        <f t="shared" si="10"/>
        <v>0</v>
      </c>
      <c r="T136" s="156" t="str">
        <f>+VLOOKUP($L136,Data_Validation!$A:$D,1,0)</f>
        <v>1793</v>
      </c>
      <c r="U136" s="156" t="str">
        <f>+VLOOKUP($L136,Data_Validation!$A:$D,3,0)</f>
        <v>Bilan</v>
      </c>
      <c r="V136" s="156" t="str">
        <f>+VLOOKUP($L136,Data_Validation!$A:$D,4,0)</f>
        <v>Enseigne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4" t="s">
        <v>2415</v>
      </c>
      <c r="B137" s="1014" t="s">
        <v>2416</v>
      </c>
      <c r="C137" s="1016">
        <v>1623600</v>
      </c>
      <c r="D137" s="1016">
        <v>0</v>
      </c>
      <c r="E137" s="1016">
        <v>1623600</v>
      </c>
      <c r="F137" s="1014" t="s">
        <v>293</v>
      </c>
      <c r="G137" s="1014" t="s">
        <v>2416</v>
      </c>
      <c r="H137" s="949"/>
      <c r="I137" s="948"/>
      <c r="J137" s="948"/>
      <c r="K137" s="948"/>
      <c r="L137" s="153" t="str">
        <f t="shared" si="0"/>
        <v>1804</v>
      </c>
      <c r="M137" s="154" t="str">
        <f t="shared" si="1"/>
        <v>RECEVABLE-PROP. &amp; EMPL.</v>
      </c>
      <c r="N137" s="155">
        <f>+IF(OR($Q137=Parametres!$G$2,$Q137=Parametres!$G$3),I137,C137)</f>
        <v>1623600</v>
      </c>
      <c r="O137" s="155">
        <f>+IF(OR($Q137=Parametres!$G$2,$Q137=Parametres!$G$3),J137,D137)</f>
        <v>0</v>
      </c>
      <c r="P137" s="155">
        <f>+IF(OR($Q137=Parametres!$G$2,$Q137=Parametres!$G$3),K137,E137)</f>
        <v>1623600</v>
      </c>
      <c r="Q137" s="154" t="str">
        <f t="shared" si="10"/>
        <v>2-Actifs</v>
      </c>
      <c r="R137" s="153" t="str">
        <f t="shared" si="10"/>
        <v>1804</v>
      </c>
      <c r="S137" s="154">
        <f t="shared" si="10"/>
        <v>0</v>
      </c>
      <c r="T137" s="156" t="str">
        <f>+VLOOKUP($L137,Data_Validation!$A:$D,1,0)</f>
        <v>1804</v>
      </c>
      <c r="U137" s="156" t="str">
        <f>+VLOOKUP($L137,Data_Validation!$A:$D,3,0)</f>
        <v>Bilan</v>
      </c>
      <c r="V137" s="156" t="str">
        <f>+VLOOKUP($L137,Data_Validation!$A:$D,4,0)</f>
        <v>Avances à Recevoir Long Terme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4" t="s">
        <v>2752</v>
      </c>
      <c r="B138" s="1014" t="s">
        <v>2753</v>
      </c>
      <c r="C138" s="1016">
        <v>8441.52</v>
      </c>
      <c r="D138" s="1016">
        <v>7248.76</v>
      </c>
      <c r="E138" s="1016">
        <v>15690.28</v>
      </c>
      <c r="F138" s="1014" t="s">
        <v>293</v>
      </c>
      <c r="G138" s="1014" t="s">
        <v>2623</v>
      </c>
      <c r="H138" s="949"/>
      <c r="I138" s="948"/>
      <c r="J138" s="948"/>
      <c r="K138" s="948"/>
      <c r="L138" s="153" t="str">
        <f t="shared" si="0"/>
        <v>1806</v>
      </c>
      <c r="M138" s="154" t="str">
        <f t="shared" si="1"/>
        <v>FINANCEMENT RECEVABLE</v>
      </c>
      <c r="N138" s="155">
        <f>+IF(OR($Q138=Parametres!$G$2,$Q138=Parametres!$G$3),I138,C138)</f>
        <v>8441.52</v>
      </c>
      <c r="O138" s="155">
        <f>+IF(OR($Q138=Parametres!$G$2,$Q138=Parametres!$G$3),J138,D138)</f>
        <v>7248.76</v>
      </c>
      <c r="P138" s="155">
        <f>+IF(OR($Q138=Parametres!$G$2,$Q138=Parametres!$G$3),K138,E138)</f>
        <v>15690.28</v>
      </c>
      <c r="Q138" s="154" t="str">
        <f t="shared" si="10"/>
        <v>2-Actifs</v>
      </c>
      <c r="R138" s="153" t="str">
        <f t="shared" si="10"/>
        <v>1382</v>
      </c>
      <c r="S138" s="154">
        <f t="shared" si="10"/>
        <v>0</v>
      </c>
      <c r="T138" s="156" t="str">
        <f>+VLOOKUP($L138,Data_Validation!$A:$D,1,0)</f>
        <v>1806</v>
      </c>
      <c r="U138" s="156" t="str">
        <f>+VLOOKUP($L138,Data_Validation!$A:$D,3,0)</f>
        <v>Bilan</v>
      </c>
      <c r="V138" s="156" t="str">
        <f>+VLOOKUP($L138,Data_Validation!$A:$D,4,0)</f>
        <v>Recevables Autres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4" t="s">
        <v>2846</v>
      </c>
      <c r="B139" s="1014" t="s">
        <v>2847</v>
      </c>
      <c r="C139" s="1016">
        <v>-10393890.689999999</v>
      </c>
      <c r="D139" s="1016">
        <v>-232851.05</v>
      </c>
      <c r="E139" s="1016">
        <v>-10626741.74</v>
      </c>
      <c r="F139" s="1014" t="s">
        <v>282</v>
      </c>
      <c r="G139" s="1014" t="s">
        <v>2847</v>
      </c>
      <c r="H139" s="949"/>
      <c r="I139" s="948"/>
      <c r="J139" s="948"/>
      <c r="K139" s="948"/>
      <c r="L139" s="153" t="str">
        <f t="shared" si="0"/>
        <v>2101</v>
      </c>
      <c r="M139" s="154" t="str">
        <f t="shared" si="1"/>
        <v>NOTE A PAYER VEH. NEUFS VOLKS</v>
      </c>
      <c r="N139" s="155">
        <f>+IF(OR($Q139=Parametres!$G$2,$Q139=Parametres!$G$3),I139,C139)</f>
        <v>-10393890.689999999</v>
      </c>
      <c r="O139" s="155">
        <f>+IF(OR($Q139=Parametres!$G$2,$Q139=Parametres!$G$3),J139,D139)</f>
        <v>-232851.05</v>
      </c>
      <c r="P139" s="155">
        <f>+IF(OR($Q139=Parametres!$G$2,$Q139=Parametres!$G$3),K139,E139)</f>
        <v>-10626741.74</v>
      </c>
      <c r="Q139" s="154" t="str">
        <f t="shared" si="10"/>
        <v>3-Passifs</v>
      </c>
      <c r="R139" s="153" t="str">
        <f t="shared" si="10"/>
        <v>2101</v>
      </c>
      <c r="S139" s="154">
        <f t="shared" si="10"/>
        <v>0</v>
      </c>
      <c r="T139" s="156" t="str">
        <f>+VLOOKUP($L139,Data_Validation!$A:$D,1,0)</f>
        <v>2101</v>
      </c>
      <c r="U139" s="156" t="str">
        <f>+VLOOKUP($L139,Data_Validation!$A:$D,3,0)</f>
        <v>Bilan</v>
      </c>
      <c r="V139" s="156" t="str">
        <f>+VLOOKUP($L139,Data_Validation!$A:$D,4,0)</f>
        <v>Effet à Payer Véhicules Neufs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4" t="s">
        <v>2036</v>
      </c>
      <c r="B140" s="1014" t="s">
        <v>2037</v>
      </c>
      <c r="C140" s="1016">
        <v>0</v>
      </c>
      <c r="D140" s="1016">
        <v>-313211.68</v>
      </c>
      <c r="E140" s="1016">
        <v>-313211.68</v>
      </c>
      <c r="F140" s="1014" t="s">
        <v>282</v>
      </c>
      <c r="G140" s="1014" t="s">
        <v>2037</v>
      </c>
      <c r="H140" s="949"/>
      <c r="I140" s="948"/>
      <c r="J140" s="948"/>
      <c r="K140" s="948"/>
      <c r="L140" s="153" t="str">
        <f t="shared" si="0"/>
        <v>2103</v>
      </c>
      <c r="M140" s="154" t="str">
        <f t="shared" si="1"/>
        <v>NOTE PAYABLE-FIN. VEH. USAG.</v>
      </c>
      <c r="N140" s="155">
        <f>+IF(OR($Q140=Parametres!$G$2,$Q140=Parametres!$G$3),I140,C140)</f>
        <v>0</v>
      </c>
      <c r="O140" s="155">
        <f>+IF(OR($Q140=Parametres!$G$2,$Q140=Parametres!$G$3),J140,D140)</f>
        <v>-313211.68</v>
      </c>
      <c r="P140" s="155">
        <f>+IF(OR($Q140=Parametres!$G$2,$Q140=Parametres!$G$3),K140,E140)</f>
        <v>-313211.68</v>
      </c>
      <c r="Q140" s="154" t="str">
        <f t="shared" si="10"/>
        <v>3-Passifs</v>
      </c>
      <c r="R140" s="153" t="str">
        <f t="shared" si="10"/>
        <v>2103</v>
      </c>
      <c r="S140" s="154">
        <f t="shared" si="10"/>
        <v>0</v>
      </c>
      <c r="T140" s="156" t="str">
        <f>+VLOOKUP($L140,Data_Validation!$A:$D,1,0)</f>
        <v>2103</v>
      </c>
      <c r="U140" s="156" t="str">
        <f>+VLOOKUP($L140,Data_Validation!$A:$D,3,0)</f>
        <v>Bilan</v>
      </c>
      <c r="V140" s="156" t="str">
        <f>+VLOOKUP($L140,Data_Validation!$A:$D,4,0)</f>
        <v>Effet à Payer Véhicules Usagés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4" t="s">
        <v>2417</v>
      </c>
      <c r="B141" s="1014" t="s">
        <v>2418</v>
      </c>
      <c r="C141" s="1016">
        <v>-15810</v>
      </c>
      <c r="D141" s="1016">
        <v>0</v>
      </c>
      <c r="E141" s="1016">
        <v>-15810</v>
      </c>
      <c r="F141" s="1014" t="s">
        <v>282</v>
      </c>
      <c r="G141" s="1014" t="s">
        <v>2418</v>
      </c>
      <c r="H141" s="949"/>
      <c r="I141" s="948"/>
      <c r="J141" s="948"/>
      <c r="K141" s="948"/>
      <c r="L141" s="153" t="str">
        <f t="shared" si="0"/>
        <v>2131</v>
      </c>
      <c r="M141" s="154" t="str">
        <f t="shared" si="1"/>
        <v>PORTION COURANTE PRET</v>
      </c>
      <c r="N141" s="155">
        <f>+IF(OR($Q141=Parametres!$G$2,$Q141=Parametres!$G$3),I141,C141)</f>
        <v>-15810</v>
      </c>
      <c r="O141" s="155">
        <f>+IF(OR($Q141=Parametres!$G$2,$Q141=Parametres!$G$3),J141,D141)</f>
        <v>0</v>
      </c>
      <c r="P141" s="155">
        <f>+IF(OR($Q141=Parametres!$G$2,$Q141=Parametres!$G$3),K141,E141)</f>
        <v>-15810</v>
      </c>
      <c r="Q141" s="154" t="str">
        <f t="shared" si="10"/>
        <v>3-Passifs</v>
      </c>
      <c r="R141" s="153" t="str">
        <f t="shared" si="10"/>
        <v>2131</v>
      </c>
      <c r="S141" s="154">
        <f t="shared" si="10"/>
        <v>0</v>
      </c>
      <c r="T141" s="156" t="str">
        <f>+VLOOKUP($L141,Data_Validation!$A:$D,1,0)</f>
        <v>2131</v>
      </c>
      <c r="U141" s="156" t="str">
        <f>+VLOOKUP($L141,Data_Validation!$A:$D,3,0)</f>
        <v>Bilan</v>
      </c>
      <c r="V141" s="156" t="str">
        <f>+VLOOKUP($L141,Data_Validation!$A:$D,4,0)</f>
        <v>Portion Court Terme de la Dette Long Terme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4" t="s">
        <v>2203</v>
      </c>
      <c r="B142" s="1014" t="s">
        <v>2204</v>
      </c>
      <c r="C142" s="1016">
        <v>-1244.43</v>
      </c>
      <c r="D142" s="1016">
        <v>69.84</v>
      </c>
      <c r="E142" s="1016">
        <v>-1174.5899999999999</v>
      </c>
      <c r="F142" s="1014" t="s">
        <v>282</v>
      </c>
      <c r="G142" s="1014" t="s">
        <v>2204</v>
      </c>
      <c r="H142" s="949"/>
      <c r="I142" s="948"/>
      <c r="J142" s="948"/>
      <c r="K142" s="948"/>
      <c r="L142" s="153" t="str">
        <f t="shared" si="0"/>
        <v>2220</v>
      </c>
      <c r="M142" s="154" t="str">
        <f t="shared" si="1"/>
        <v>TPA A PAYER</v>
      </c>
      <c r="N142" s="155">
        <f>+IF(OR($Q142=Parametres!$G$2,$Q142=Parametres!$G$3),I142,C142)</f>
        <v>-1244.43</v>
      </c>
      <c r="O142" s="155">
        <f>+IF(OR($Q142=Parametres!$G$2,$Q142=Parametres!$G$3),J142,D142)</f>
        <v>69.84</v>
      </c>
      <c r="P142" s="155">
        <f>+IF(OR($Q142=Parametres!$G$2,$Q142=Parametres!$G$3),K142,E142)</f>
        <v>-1174.5899999999999</v>
      </c>
      <c r="Q142" s="154" t="str">
        <f t="shared" si="10"/>
        <v>3-Passifs</v>
      </c>
      <c r="R142" s="153" t="str">
        <f t="shared" si="10"/>
        <v>2220</v>
      </c>
      <c r="S142" s="154">
        <f t="shared" si="10"/>
        <v>0</v>
      </c>
      <c r="T142" s="156" t="str">
        <f>+VLOOKUP($L142,Data_Validation!$A:$D,1,0)</f>
        <v>2220</v>
      </c>
      <c r="U142" s="156" t="str">
        <f>+VLOOKUP($L142,Data_Validation!$A:$D,3,0)</f>
        <v>Bilan</v>
      </c>
      <c r="V142" s="156" t="str">
        <f>+VLOOKUP($L142,Data_Validation!$A:$D,4,0)</f>
        <v>Taxes de Vente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4" t="s">
        <v>2056</v>
      </c>
      <c r="B143" s="1014" t="s">
        <v>2057</v>
      </c>
      <c r="C143" s="1016">
        <v>-70625.16</v>
      </c>
      <c r="D143" s="1016">
        <v>2206.7399999999998</v>
      </c>
      <c r="E143" s="1016">
        <v>-68418.42</v>
      </c>
      <c r="F143" s="1014" t="s">
        <v>282</v>
      </c>
      <c r="G143" s="1014" t="s">
        <v>2057</v>
      </c>
      <c r="H143" s="949"/>
      <c r="I143" s="948"/>
      <c r="J143" s="948"/>
      <c r="K143" s="948"/>
      <c r="L143" s="153" t="str">
        <f t="shared" si="0"/>
        <v>2221</v>
      </c>
      <c r="M143" s="154" t="str">
        <f t="shared" si="1"/>
        <v>TVQ A PAYER</v>
      </c>
      <c r="N143" s="155">
        <f>+IF(OR($Q143=Parametres!$G$2,$Q143=Parametres!$G$3),I143,C143)</f>
        <v>-70625.16</v>
      </c>
      <c r="O143" s="155">
        <f>+IF(OR($Q143=Parametres!$G$2,$Q143=Parametres!$G$3),J143,D143)</f>
        <v>2206.7399999999998</v>
      </c>
      <c r="P143" s="155">
        <f>+IF(OR($Q143=Parametres!$G$2,$Q143=Parametres!$G$3),K143,E143)</f>
        <v>-68418.42</v>
      </c>
      <c r="Q143" s="154" t="str">
        <f t="shared" si="10"/>
        <v>3-Passifs</v>
      </c>
      <c r="R143" s="153" t="str">
        <f t="shared" si="10"/>
        <v>2221</v>
      </c>
      <c r="S143" s="154">
        <f t="shared" si="10"/>
        <v>0</v>
      </c>
      <c r="T143" s="156" t="str">
        <f>+VLOOKUP($L143,Data_Validation!$A:$D,1,0)</f>
        <v>2221</v>
      </c>
      <c r="U143" s="156" t="str">
        <f>+VLOOKUP($L143,Data_Validation!$A:$D,3,0)</f>
        <v>Bilan</v>
      </c>
      <c r="V143" s="156" t="str">
        <f>+VLOOKUP($L143,Data_Validation!$A:$D,4,0)</f>
        <v>Taxes de Vente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4" t="s">
        <v>2796</v>
      </c>
      <c r="B144" s="1014" t="s">
        <v>2797</v>
      </c>
      <c r="C144" s="1016">
        <v>40167.839999999997</v>
      </c>
      <c r="D144" s="1016">
        <v>-790.99</v>
      </c>
      <c r="E144" s="1016">
        <v>39376.85</v>
      </c>
      <c r="F144" s="1014" t="s">
        <v>282</v>
      </c>
      <c r="G144" s="1014" t="s">
        <v>2057</v>
      </c>
      <c r="H144" s="949"/>
      <c r="I144" s="948"/>
      <c r="J144" s="948"/>
      <c r="K144" s="948"/>
      <c r="L144" s="153" t="str">
        <f t="shared" si="0"/>
        <v>2222</v>
      </c>
      <c r="M144" s="154" t="str">
        <f t="shared" si="1"/>
        <v>TVQ A RECEVOIR</v>
      </c>
      <c r="N144" s="155">
        <f>+IF(OR($Q144=Parametres!$G$2,$Q144=Parametres!$G$3),I144,C144)</f>
        <v>40167.839999999997</v>
      </c>
      <c r="O144" s="155">
        <f>+IF(OR($Q144=Parametres!$G$2,$Q144=Parametres!$G$3),J144,D144)</f>
        <v>-790.99</v>
      </c>
      <c r="P144" s="155">
        <f>+IF(OR($Q144=Parametres!$G$2,$Q144=Parametres!$G$3),K144,E144)</f>
        <v>39376.85</v>
      </c>
      <c r="Q144" s="154" t="str">
        <f t="shared" si="10"/>
        <v>3-Passifs</v>
      </c>
      <c r="R144" s="153" t="str">
        <f t="shared" si="10"/>
        <v>2221</v>
      </c>
      <c r="S144" s="154">
        <f t="shared" si="10"/>
        <v>0</v>
      </c>
      <c r="T144" s="156" t="str">
        <f>+VLOOKUP($L144,Data_Validation!$A:$D,1,0)</f>
        <v>2222</v>
      </c>
      <c r="U144" s="156" t="str">
        <f>+VLOOKUP($L144,Data_Validation!$A:$D,3,0)</f>
        <v>Bilan</v>
      </c>
      <c r="V144" s="156" t="str">
        <f>+VLOOKUP($L144,Data_Validation!$A:$D,4,0)</f>
        <v>Taxes de Vente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4" t="s">
        <v>2813</v>
      </c>
      <c r="B145" s="1014" t="s">
        <v>2066</v>
      </c>
      <c r="C145" s="1016">
        <v>-193570.86</v>
      </c>
      <c r="D145" s="1016">
        <v>-45132.38</v>
      </c>
      <c r="E145" s="1016">
        <v>-238703.24</v>
      </c>
      <c r="F145" s="1014" t="s">
        <v>282</v>
      </c>
      <c r="G145" s="1014" t="s">
        <v>2066</v>
      </c>
      <c r="H145" s="970"/>
      <c r="I145" s="970"/>
      <c r="J145" s="970"/>
      <c r="K145" s="970"/>
      <c r="L145" s="153" t="str">
        <f t="shared" si="0"/>
        <v>2223</v>
      </c>
      <c r="M145" s="154" t="str">
        <f t="shared" si="1"/>
        <v>TPS A PAYER</v>
      </c>
      <c r="N145" s="155">
        <f>+IF(OR($Q145=Parametres!$G$2,$Q145=Parametres!$G$3),I145,C145)</f>
        <v>-193570.86</v>
      </c>
      <c r="O145" s="155">
        <f>+IF(OR($Q145=Parametres!$G$2,$Q145=Parametres!$G$3),J145,D145)</f>
        <v>-45132.38</v>
      </c>
      <c r="P145" s="155">
        <f>+IF(OR($Q145=Parametres!$G$2,$Q145=Parametres!$G$3),K145,E145)</f>
        <v>-238703.24</v>
      </c>
      <c r="Q145" s="154" t="str">
        <f t="shared" si="10"/>
        <v>3-Passifs</v>
      </c>
      <c r="R145" s="153" t="str">
        <f t="shared" si="10"/>
        <v>2223</v>
      </c>
      <c r="S145" s="154">
        <f t="shared" si="10"/>
        <v>0</v>
      </c>
      <c r="T145" s="156" t="str">
        <f>+VLOOKUP($L145,Data_Validation!$A:$D,1,0)</f>
        <v>2223</v>
      </c>
      <c r="U145" s="156" t="str">
        <f>+VLOOKUP($L145,Data_Validation!$A:$D,3,0)</f>
        <v>Bilan</v>
      </c>
      <c r="V145" s="156" t="str">
        <f>+VLOOKUP($L145,Data_Validation!$A:$D,4,0)</f>
        <v>Taxes de Vente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4" t="s">
        <v>2064</v>
      </c>
      <c r="B146" s="1014" t="s">
        <v>2065</v>
      </c>
      <c r="C146" s="1016">
        <v>261473.27</v>
      </c>
      <c r="D146" s="1016">
        <v>-51427.28</v>
      </c>
      <c r="E146" s="1016">
        <v>210045.99</v>
      </c>
      <c r="F146" s="1014" t="s">
        <v>282</v>
      </c>
      <c r="G146" s="1014" t="s">
        <v>2066</v>
      </c>
      <c r="H146" s="970"/>
      <c r="I146" s="970"/>
      <c r="J146" s="970"/>
      <c r="K146" s="970"/>
      <c r="L146" s="153" t="str">
        <f t="shared" si="0"/>
        <v>2224</v>
      </c>
      <c r="M146" s="154" t="str">
        <f t="shared" si="1"/>
        <v>TPS A RECEVOIR</v>
      </c>
      <c r="N146" s="155">
        <f>+IF(OR($Q146=Parametres!$G$2,$Q146=Parametres!$G$3),I146,C146)</f>
        <v>261473.27</v>
      </c>
      <c r="O146" s="155">
        <f>+IF(OR($Q146=Parametres!$G$2,$Q146=Parametres!$G$3),J146,D146)</f>
        <v>-51427.28</v>
      </c>
      <c r="P146" s="155">
        <f>+IF(OR($Q146=Parametres!$G$2,$Q146=Parametres!$G$3),K146,E146)</f>
        <v>210045.99</v>
      </c>
      <c r="Q146" s="154" t="str">
        <f t="shared" ref="Q146:S161" si="11">+F146</f>
        <v>3-Passifs</v>
      </c>
      <c r="R146" s="153" t="str">
        <f t="shared" si="11"/>
        <v>2223</v>
      </c>
      <c r="S146" s="154">
        <f t="shared" si="11"/>
        <v>0</v>
      </c>
      <c r="T146" s="156" t="str">
        <f>+VLOOKUP($L146,Data_Validation!$A:$D,1,0)</f>
        <v>2224</v>
      </c>
      <c r="U146" s="156" t="str">
        <f>+VLOOKUP($L146,Data_Validation!$A:$D,3,0)</f>
        <v>Bilan</v>
      </c>
      <c r="V146" s="156" t="str">
        <f>+VLOOKUP($L146,Data_Validation!$A:$D,4,0)</f>
        <v>Taxes de Vente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4" t="s">
        <v>2616</v>
      </c>
      <c r="B147" s="1014" t="s">
        <v>2617</v>
      </c>
      <c r="C147" s="1016">
        <v>-1350</v>
      </c>
      <c r="D147" s="1016">
        <v>-276</v>
      </c>
      <c r="E147" s="1016">
        <v>-1626</v>
      </c>
      <c r="F147" s="1014" t="s">
        <v>282</v>
      </c>
      <c r="G147" s="1014" t="s">
        <v>2057</v>
      </c>
      <c r="H147" s="970"/>
      <c r="I147" s="970"/>
      <c r="J147" s="970"/>
      <c r="K147" s="970"/>
      <c r="L147" s="153" t="str">
        <f t="shared" si="0"/>
        <v>2225</v>
      </c>
      <c r="M147" s="154" t="str">
        <f t="shared" si="1"/>
        <v>DROIT SUR PNEUS</v>
      </c>
      <c r="N147" s="155">
        <f>+IF(OR($Q147=Parametres!$G$2,$Q147=Parametres!$G$3),I147,C147)</f>
        <v>-1350</v>
      </c>
      <c r="O147" s="155">
        <f>+IF(OR($Q147=Parametres!$G$2,$Q147=Parametres!$G$3),J147,D147)</f>
        <v>-276</v>
      </c>
      <c r="P147" s="155">
        <f>+IF(OR($Q147=Parametres!$G$2,$Q147=Parametres!$G$3),K147,E147)</f>
        <v>-1626</v>
      </c>
      <c r="Q147" s="154" t="str">
        <f t="shared" si="11"/>
        <v>3-Passifs</v>
      </c>
      <c r="R147" s="153" t="str">
        <f t="shared" si="11"/>
        <v>2221</v>
      </c>
      <c r="S147" s="154">
        <f t="shared" si="11"/>
        <v>0</v>
      </c>
      <c r="T147" s="156" t="str">
        <f>+VLOOKUP($L147,Data_Validation!$A:$D,1,0)</f>
        <v>2225</v>
      </c>
      <c r="U147" s="156" t="str">
        <f>+VLOOKUP($L147,Data_Validation!$A:$D,3,0)</f>
        <v>Bilan</v>
      </c>
      <c r="V147" s="156" t="str">
        <f>+VLOOKUP($L147,Data_Validation!$A:$D,4,0)</f>
        <v>Taxes de Vente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4" t="s">
        <v>2818</v>
      </c>
      <c r="B148" s="1014" t="s">
        <v>2819</v>
      </c>
      <c r="C148" s="1016">
        <v>-67259.92</v>
      </c>
      <c r="D148" s="1016">
        <v>-24817.87</v>
      </c>
      <c r="E148" s="1016">
        <v>-92077.79</v>
      </c>
      <c r="F148" s="1014" t="s">
        <v>282</v>
      </c>
      <c r="G148" s="1014" t="s">
        <v>2134</v>
      </c>
      <c r="H148" s="970"/>
      <c r="I148" s="970"/>
      <c r="J148" s="970"/>
      <c r="K148" s="970"/>
      <c r="L148" s="153" t="str">
        <f t="shared" si="0"/>
        <v>2281</v>
      </c>
      <c r="M148" s="154" t="str">
        <f t="shared" si="1"/>
        <v>LIEN A PAYER</v>
      </c>
      <c r="N148" s="155">
        <f>+IF(OR($Q148=Parametres!$G$2,$Q148=Parametres!$G$3),I148,C148)</f>
        <v>-67259.92</v>
      </c>
      <c r="O148" s="155">
        <f>+IF(OR($Q148=Parametres!$G$2,$Q148=Parametres!$G$3),J148,D148)</f>
        <v>-24817.87</v>
      </c>
      <c r="P148" s="155">
        <f>+IF(OR($Q148=Parametres!$G$2,$Q148=Parametres!$G$3),K148,E148)</f>
        <v>-92077.79</v>
      </c>
      <c r="Q148" s="154" t="str">
        <f t="shared" si="11"/>
        <v>3-Passifs</v>
      </c>
      <c r="R148" s="153" t="str">
        <f t="shared" si="11"/>
        <v>2283</v>
      </c>
      <c r="S148" s="154">
        <f t="shared" si="11"/>
        <v>0</v>
      </c>
      <c r="T148" s="156" t="str">
        <f>+VLOOKUP($L148,Data_Validation!$A:$D,1,0)</f>
        <v>2281</v>
      </c>
      <c r="U148" s="156" t="str">
        <f>+VLOOKUP($L148,Data_Validation!$A:$D,3,0)</f>
        <v>Bilan</v>
      </c>
      <c r="V148" s="156" t="str">
        <f>+VLOOKUP($L148,Data_Validation!$A:$D,4,0)</f>
        <v>Autres Comptes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4" t="s">
        <v>2173</v>
      </c>
      <c r="B149" s="1014" t="s">
        <v>2134</v>
      </c>
      <c r="C149" s="1016">
        <v>-1690</v>
      </c>
      <c r="D149" s="1016">
        <v>-1165</v>
      </c>
      <c r="E149" s="1016">
        <v>-2855</v>
      </c>
      <c r="F149" s="1014" t="s">
        <v>282</v>
      </c>
      <c r="G149" s="1014" t="s">
        <v>2134</v>
      </c>
      <c r="H149" s="970"/>
      <c r="I149" s="970"/>
      <c r="J149" s="970"/>
      <c r="K149" s="970"/>
      <c r="L149" s="153" t="str">
        <f t="shared" si="0"/>
        <v>2283</v>
      </c>
      <c r="M149" s="154" t="str">
        <f t="shared" si="1"/>
        <v>PLAQUE A PAYER</v>
      </c>
      <c r="N149" s="155">
        <f>+IF(OR($Q149=Parametres!$G$2,$Q149=Parametres!$G$3),I149,C149)</f>
        <v>-1690</v>
      </c>
      <c r="O149" s="155">
        <f>+IF(OR($Q149=Parametres!$G$2,$Q149=Parametres!$G$3),J149,D149)</f>
        <v>-1165</v>
      </c>
      <c r="P149" s="155">
        <f>+IF(OR($Q149=Parametres!$G$2,$Q149=Parametres!$G$3),K149,E149)</f>
        <v>-2855</v>
      </c>
      <c r="Q149" s="154" t="str">
        <f t="shared" si="11"/>
        <v>3-Passifs</v>
      </c>
      <c r="R149" s="153" t="str">
        <f t="shared" si="11"/>
        <v>2283</v>
      </c>
      <c r="S149" s="154">
        <f t="shared" si="11"/>
        <v>0</v>
      </c>
      <c r="T149" s="156" t="str">
        <f>+VLOOKUP($L149,Data_Validation!$A:$D,1,0)</f>
        <v>2283</v>
      </c>
      <c r="U149" s="156" t="str">
        <f>+VLOOKUP($L149,Data_Validation!$A:$D,3,0)</f>
        <v>Bilan</v>
      </c>
      <c r="V149" s="156" t="str">
        <f>+VLOOKUP($L149,Data_Validation!$A:$D,4,0)</f>
        <v>Autres Comptes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4" t="s">
        <v>2772</v>
      </c>
      <c r="B150" s="1014" t="s">
        <v>2773</v>
      </c>
      <c r="C150" s="1016">
        <v>-51387.89</v>
      </c>
      <c r="D150" s="1016">
        <v>-20769.689999999999</v>
      </c>
      <c r="E150" s="1016">
        <v>-72157.58</v>
      </c>
      <c r="F150" s="1014" t="s">
        <v>282</v>
      </c>
      <c r="G150" s="1014" t="s">
        <v>2134</v>
      </c>
      <c r="H150" s="970"/>
      <c r="I150" s="970"/>
      <c r="J150" s="970"/>
      <c r="K150" s="970"/>
      <c r="L150" s="153" t="str">
        <f t="shared" si="0"/>
        <v>2285</v>
      </c>
      <c r="M150" s="154" t="str">
        <f t="shared" si="1"/>
        <v>PROTECTIONS A PAYER</v>
      </c>
      <c r="N150" s="155">
        <f>+IF(OR($Q150=Parametres!$G$2,$Q150=Parametres!$G$3),I150,C150)</f>
        <v>-51387.89</v>
      </c>
      <c r="O150" s="155">
        <f>+IF(OR($Q150=Parametres!$G$2,$Q150=Parametres!$G$3),J150,D150)</f>
        <v>-20769.689999999999</v>
      </c>
      <c r="P150" s="155">
        <f>+IF(OR($Q150=Parametres!$G$2,$Q150=Parametres!$G$3),K150,E150)</f>
        <v>-72157.58</v>
      </c>
      <c r="Q150" s="154" t="str">
        <f t="shared" si="11"/>
        <v>3-Passifs</v>
      </c>
      <c r="R150" s="153" t="str">
        <f t="shared" si="11"/>
        <v>2283</v>
      </c>
      <c r="S150" s="154">
        <f t="shared" si="11"/>
        <v>0</v>
      </c>
      <c r="T150" s="156" t="str">
        <f>+VLOOKUP($L150,Data_Validation!$A:$D,1,0)</f>
        <v>2285</v>
      </c>
      <c r="U150" s="156" t="str">
        <f>+VLOOKUP($L150,Data_Validation!$A:$D,3,0)</f>
        <v>Bilan</v>
      </c>
      <c r="V150" s="156" t="str">
        <f>+VLOOKUP($L150,Data_Validation!$A:$D,4,0)</f>
        <v>Autres Comptes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4" t="s">
        <v>2746</v>
      </c>
      <c r="B151" s="1014" t="s">
        <v>2747</v>
      </c>
      <c r="C151" s="1016">
        <v>-13788.22</v>
      </c>
      <c r="D151" s="1016">
        <v>2999.25</v>
      </c>
      <c r="E151" s="1016">
        <v>-10788.97</v>
      </c>
      <c r="F151" s="1014" t="s">
        <v>282</v>
      </c>
      <c r="G151" s="1014" t="s">
        <v>2134</v>
      </c>
      <c r="H151" s="970"/>
      <c r="I151" s="970"/>
      <c r="J151" s="970"/>
      <c r="K151" s="970"/>
      <c r="L151" s="153" t="str">
        <f t="shared" si="0"/>
        <v>2287</v>
      </c>
      <c r="M151" s="154" t="str">
        <f t="shared" si="1"/>
        <v>A PAYER INVAPLAN</v>
      </c>
      <c r="N151" s="155">
        <f>+IF(OR($Q151=Parametres!$G$2,$Q151=Parametres!$G$3),I151,C151)</f>
        <v>-13788.22</v>
      </c>
      <c r="O151" s="155">
        <f>+IF(OR($Q151=Parametres!$G$2,$Q151=Parametres!$G$3),J151,D151)</f>
        <v>2999.25</v>
      </c>
      <c r="P151" s="155">
        <f>+IF(OR($Q151=Parametres!$G$2,$Q151=Parametres!$G$3),K151,E151)</f>
        <v>-10788.97</v>
      </c>
      <c r="Q151" s="154" t="str">
        <f t="shared" si="11"/>
        <v>3-Passifs</v>
      </c>
      <c r="R151" s="153" t="str">
        <f t="shared" si="11"/>
        <v>2283</v>
      </c>
      <c r="S151" s="154">
        <f t="shared" si="11"/>
        <v>0</v>
      </c>
      <c r="T151" s="156" t="str">
        <f>+VLOOKUP($L151,Data_Validation!$A:$D,1,0)</f>
        <v>2287</v>
      </c>
      <c r="U151" s="156" t="str">
        <f>+VLOOKUP($L151,Data_Validation!$A:$D,3,0)</f>
        <v>Bilan</v>
      </c>
      <c r="V151" s="156" t="str">
        <f>+VLOOKUP($L151,Data_Validation!$A:$D,4,0)</f>
        <v>Autres Comptes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4" t="s">
        <v>2009</v>
      </c>
      <c r="B152" s="1014" t="s">
        <v>2010</v>
      </c>
      <c r="C152" s="1016">
        <v>-140629.51</v>
      </c>
      <c r="D152" s="1016">
        <v>26166.97</v>
      </c>
      <c r="E152" s="1016">
        <v>-114462.54</v>
      </c>
      <c r="F152" s="1014" t="s">
        <v>282</v>
      </c>
      <c r="G152" s="1014" t="s">
        <v>2010</v>
      </c>
      <c r="H152" s="970"/>
      <c r="I152" s="970"/>
      <c r="J152" s="970"/>
      <c r="K152" s="970"/>
      <c r="L152" s="153" t="str">
        <f t="shared" si="0"/>
        <v>2291</v>
      </c>
      <c r="M152" s="154" t="str">
        <f t="shared" si="1"/>
        <v>COMPTES FOURNISSEURS</v>
      </c>
      <c r="N152" s="155">
        <f>+IF(OR($Q152=Parametres!$G$2,$Q152=Parametres!$G$3),I152,C152)</f>
        <v>-140629.51</v>
      </c>
      <c r="O152" s="155">
        <f>+IF(OR($Q152=Parametres!$G$2,$Q152=Parametres!$G$3),J152,D152)</f>
        <v>26166.97</v>
      </c>
      <c r="P152" s="155">
        <f>+IF(OR($Q152=Parametres!$G$2,$Q152=Parametres!$G$3),K152,E152)</f>
        <v>-114462.54</v>
      </c>
      <c r="Q152" s="154" t="str">
        <f t="shared" si="11"/>
        <v>3-Passifs</v>
      </c>
      <c r="R152" s="153" t="str">
        <f t="shared" si="11"/>
        <v>2291</v>
      </c>
      <c r="S152" s="154">
        <f t="shared" si="11"/>
        <v>0</v>
      </c>
      <c r="T152" s="156" t="str">
        <f>+VLOOKUP($L152,Data_Validation!$A:$D,1,0)</f>
        <v>2291</v>
      </c>
      <c r="U152" s="156" t="str">
        <f>+VLOOKUP($L152,Data_Validation!$A:$D,3,0)</f>
        <v>Bilan</v>
      </c>
      <c r="V152" s="156" t="str">
        <f>+VLOOKUP($L152,Data_Validation!$A:$D,4,0)</f>
        <v>Comptes à Payer Fournisseurs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4" t="s">
        <v>2049</v>
      </c>
      <c r="B153" s="1014" t="s">
        <v>2050</v>
      </c>
      <c r="C153" s="1016">
        <v>0</v>
      </c>
      <c r="D153" s="1016">
        <v>-10598.7</v>
      </c>
      <c r="E153" s="1016">
        <v>-10598.7</v>
      </c>
      <c r="F153" s="1014" t="s">
        <v>282</v>
      </c>
      <c r="G153" s="1014" t="s">
        <v>2010</v>
      </c>
      <c r="H153" s="970"/>
      <c r="I153" s="970"/>
      <c r="J153" s="970"/>
      <c r="K153" s="970"/>
      <c r="L153" s="153" t="str">
        <f t="shared" si="0"/>
        <v>2292</v>
      </c>
      <c r="M153" s="154" t="str">
        <f t="shared" si="1"/>
        <v>ECHANGE ENTRE CONCESSIONNAIRES</v>
      </c>
      <c r="N153" s="155">
        <f>+IF(OR($Q153=Parametres!$G$2,$Q153=Parametres!$G$3),I153,C153)</f>
        <v>0</v>
      </c>
      <c r="O153" s="155">
        <f>+IF(OR($Q153=Parametres!$G$2,$Q153=Parametres!$G$3),J153,D153)</f>
        <v>-10598.7</v>
      </c>
      <c r="P153" s="155">
        <f>+IF(OR($Q153=Parametres!$G$2,$Q153=Parametres!$G$3),K153,E153)</f>
        <v>-10598.7</v>
      </c>
      <c r="Q153" s="154" t="str">
        <f t="shared" si="11"/>
        <v>3-Passifs</v>
      </c>
      <c r="R153" s="153" t="str">
        <f t="shared" si="11"/>
        <v>2291</v>
      </c>
      <c r="S153" s="154">
        <f t="shared" si="11"/>
        <v>0</v>
      </c>
      <c r="T153" s="156" t="str">
        <f>+VLOOKUP($L153,Data_Validation!$A:$D,1,0)</f>
        <v>2292</v>
      </c>
      <c r="U153" s="156" t="str">
        <f>+VLOOKUP($L153,Data_Validation!$A:$D,3,0)</f>
        <v>Bilan</v>
      </c>
      <c r="V153" s="156" t="str">
        <f>+VLOOKUP($L153,Data_Validation!$A:$D,4,0)</f>
        <v>Autres Comptes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4" t="s">
        <v>2132</v>
      </c>
      <c r="B154" s="1014" t="s">
        <v>2133</v>
      </c>
      <c r="C154" s="1016">
        <v>-2366.2800000000002</v>
      </c>
      <c r="D154" s="1016">
        <v>-4789.25</v>
      </c>
      <c r="E154" s="1016">
        <v>-7155.53</v>
      </c>
      <c r="F154" s="1014" t="s">
        <v>282</v>
      </c>
      <c r="G154" s="1014" t="s">
        <v>2134</v>
      </c>
      <c r="H154" s="970"/>
      <c r="I154" s="970"/>
      <c r="J154" s="970"/>
      <c r="K154" s="970"/>
      <c r="L154" s="153" t="str">
        <f t="shared" si="0"/>
        <v>2293</v>
      </c>
      <c r="M154" s="154" t="str">
        <f t="shared" si="1"/>
        <v>PROVISIONS GARANTIES USAGEES</v>
      </c>
      <c r="N154" s="155">
        <f>+IF(OR($Q154=Parametres!$G$2,$Q154=Parametres!$G$3),I154,C154)</f>
        <v>-2366.2800000000002</v>
      </c>
      <c r="O154" s="155">
        <f>+IF(OR($Q154=Parametres!$G$2,$Q154=Parametres!$G$3),J154,D154)</f>
        <v>-4789.25</v>
      </c>
      <c r="P154" s="155">
        <f>+IF(OR($Q154=Parametres!$G$2,$Q154=Parametres!$G$3),K154,E154)</f>
        <v>-7155.53</v>
      </c>
      <c r="Q154" s="154" t="str">
        <f t="shared" si="11"/>
        <v>3-Passifs</v>
      </c>
      <c r="R154" s="153" t="str">
        <f t="shared" si="11"/>
        <v>2283</v>
      </c>
      <c r="S154" s="154">
        <f t="shared" si="11"/>
        <v>0</v>
      </c>
      <c r="T154" s="156" t="str">
        <f>+VLOOKUP($L154,Data_Validation!$A:$D,1,0)</f>
        <v>2293</v>
      </c>
      <c r="U154" s="156" t="str">
        <f>+VLOOKUP($L154,Data_Validation!$A:$D,3,0)</f>
        <v>Bilan</v>
      </c>
      <c r="V154" s="156" t="str">
        <f>+VLOOKUP($L154,Data_Validation!$A:$D,4,0)</f>
        <v>Autres Courus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4" t="s">
        <v>2419</v>
      </c>
      <c r="B155" s="1014" t="s">
        <v>2420</v>
      </c>
      <c r="C155" s="1016">
        <v>-30.06</v>
      </c>
      <c r="D155" s="1016">
        <v>0</v>
      </c>
      <c r="E155" s="1016">
        <v>-30.06</v>
      </c>
      <c r="F155" s="1014" t="s">
        <v>282</v>
      </c>
      <c r="G155" s="1014" t="s">
        <v>2133</v>
      </c>
      <c r="H155" s="970"/>
      <c r="I155" s="970"/>
      <c r="J155" s="970"/>
      <c r="K155" s="970"/>
      <c r="L155" s="153" t="str">
        <f t="shared" si="0"/>
        <v>2295</v>
      </c>
      <c r="M155" s="154" t="str">
        <f t="shared" si="1"/>
        <v>RESERVE ESSENCE</v>
      </c>
      <c r="N155" s="155">
        <f>+IF(OR($Q155=Parametres!$G$2,$Q155=Parametres!$G$3),I155,C155)</f>
        <v>-30.06</v>
      </c>
      <c r="O155" s="155">
        <f>+IF(OR($Q155=Parametres!$G$2,$Q155=Parametres!$G$3),J155,D155)</f>
        <v>0</v>
      </c>
      <c r="P155" s="155">
        <f>+IF(OR($Q155=Parametres!$G$2,$Q155=Parametres!$G$3),K155,E155)</f>
        <v>-30.06</v>
      </c>
      <c r="Q155" s="154" t="str">
        <f t="shared" si="11"/>
        <v>3-Passifs</v>
      </c>
      <c r="R155" s="153" t="str">
        <f t="shared" si="11"/>
        <v>2293</v>
      </c>
      <c r="S155" s="154">
        <f t="shared" si="11"/>
        <v>0</v>
      </c>
      <c r="T155" s="156" t="str">
        <f>+VLOOKUP($L155,Data_Validation!$A:$D,1,0)</f>
        <v>2295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4" t="s">
        <v>2146</v>
      </c>
      <c r="B156" s="1014" t="s">
        <v>2147</v>
      </c>
      <c r="C156" s="1016">
        <v>-9250</v>
      </c>
      <c r="D156" s="1016">
        <v>-4050</v>
      </c>
      <c r="E156" s="1016">
        <v>-13300</v>
      </c>
      <c r="F156" s="1014" t="s">
        <v>282</v>
      </c>
      <c r="G156" s="1014" t="s">
        <v>2134</v>
      </c>
      <c r="H156" s="970"/>
      <c r="I156" s="970"/>
      <c r="J156" s="970"/>
      <c r="K156" s="970"/>
      <c r="L156" s="153" t="str">
        <f t="shared" si="0"/>
        <v>2297</v>
      </c>
      <c r="M156" s="154" t="str">
        <f t="shared" si="1"/>
        <v>RESERVE RENOUVELLEMENT</v>
      </c>
      <c r="N156" s="155">
        <f>+IF(OR($Q156=Parametres!$G$2,$Q156=Parametres!$G$3),I156,C156)</f>
        <v>-9250</v>
      </c>
      <c r="O156" s="155">
        <f>+IF(OR($Q156=Parametres!$G$2,$Q156=Parametres!$G$3),J156,D156)</f>
        <v>-4050</v>
      </c>
      <c r="P156" s="155">
        <f>+IF(OR($Q156=Parametres!$G$2,$Q156=Parametres!$G$3),K156,E156)</f>
        <v>-13300</v>
      </c>
      <c r="Q156" s="154" t="str">
        <f t="shared" si="11"/>
        <v>3-Passifs</v>
      </c>
      <c r="R156" s="153" t="str">
        <f t="shared" si="11"/>
        <v>2283</v>
      </c>
      <c r="S156" s="154">
        <f t="shared" si="11"/>
        <v>0</v>
      </c>
      <c r="T156" s="156" t="str">
        <f>+VLOOKUP($L156,Data_Validation!$A:$D,1,0)</f>
        <v>2297</v>
      </c>
      <c r="U156" s="156" t="str">
        <f>+VLOOKUP($L156,Data_Validation!$A:$D,3,0)</f>
        <v>Bilan</v>
      </c>
      <c r="V156" s="156" t="str">
        <f>+VLOOKUP($L156,Data_Validation!$A:$D,4,0)</f>
        <v>Autres Courus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4" t="s">
        <v>2710</v>
      </c>
      <c r="B157" s="1014" t="s">
        <v>2162</v>
      </c>
      <c r="C157" s="1016">
        <v>2740.37</v>
      </c>
      <c r="D157" s="1016">
        <v>2775.87</v>
      </c>
      <c r="E157" s="1016">
        <v>5516.24</v>
      </c>
      <c r="F157" s="1014" t="s">
        <v>282</v>
      </c>
      <c r="G157" s="1014" t="s">
        <v>2162</v>
      </c>
      <c r="H157" s="970"/>
      <c r="I157" s="970"/>
      <c r="J157" s="970"/>
      <c r="K157" s="970"/>
      <c r="L157" s="153" t="str">
        <f t="shared" si="0"/>
        <v>2315</v>
      </c>
      <c r="M157" s="154" t="str">
        <f t="shared" si="1"/>
        <v>PRIME ASSURANCE GROUPE</v>
      </c>
      <c r="N157" s="155">
        <f>+IF(OR($Q157=Parametres!$G$2,$Q157=Parametres!$G$3),I157,C157)</f>
        <v>2740.37</v>
      </c>
      <c r="O157" s="155">
        <f>+IF(OR($Q157=Parametres!$G$2,$Q157=Parametres!$G$3),J157,D157)</f>
        <v>2775.87</v>
      </c>
      <c r="P157" s="155">
        <f>+IF(OR($Q157=Parametres!$G$2,$Q157=Parametres!$G$3),K157,E157)</f>
        <v>5516.24</v>
      </c>
      <c r="Q157" s="154" t="str">
        <f t="shared" si="11"/>
        <v>3-Passifs</v>
      </c>
      <c r="R157" s="153" t="str">
        <f t="shared" si="11"/>
        <v>2315</v>
      </c>
      <c r="S157" s="154">
        <f t="shared" si="11"/>
        <v>0</v>
      </c>
      <c r="T157" s="156" t="str">
        <f>+VLOOKUP($L157,Data_Validation!$A:$D,1,0)</f>
        <v>2315</v>
      </c>
      <c r="U157" s="156" t="str">
        <f>+VLOOKUP($L157,Data_Validation!$A:$D,3,0)</f>
        <v>Bilan</v>
      </c>
      <c r="V157" s="156" t="str">
        <f>+VLOOKUP($L157,Data_Validation!$A:$D,4,0)</f>
        <v>DAS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4" t="s">
        <v>2160</v>
      </c>
      <c r="B158" s="1014" t="s">
        <v>2161</v>
      </c>
      <c r="C158" s="1016">
        <v>1597.05</v>
      </c>
      <c r="D158" s="1016">
        <v>2025.83</v>
      </c>
      <c r="E158" s="1016">
        <v>3622.88</v>
      </c>
      <c r="F158" s="1014" t="s">
        <v>282</v>
      </c>
      <c r="G158" s="1014" t="s">
        <v>2162</v>
      </c>
      <c r="H158" s="970"/>
      <c r="I158" s="970"/>
      <c r="J158" s="970"/>
      <c r="K158" s="970"/>
      <c r="L158" s="153" t="str">
        <f t="shared" si="0"/>
        <v>2335</v>
      </c>
      <c r="M158" s="154" t="str">
        <f t="shared" si="1"/>
        <v>COMITE SOCIAL</v>
      </c>
      <c r="N158" s="155">
        <f>+IF(OR($Q158=Parametres!$G$2,$Q158=Parametres!$G$3),I158,C158)</f>
        <v>1597.05</v>
      </c>
      <c r="O158" s="155">
        <f>+IF(OR($Q158=Parametres!$G$2,$Q158=Parametres!$G$3),J158,D158)</f>
        <v>2025.83</v>
      </c>
      <c r="P158" s="155">
        <f>+IF(OR($Q158=Parametres!$G$2,$Q158=Parametres!$G$3),K158,E158)</f>
        <v>3622.88</v>
      </c>
      <c r="Q158" s="154" t="str">
        <f t="shared" si="11"/>
        <v>3-Passifs</v>
      </c>
      <c r="R158" s="153" t="str">
        <f t="shared" si="11"/>
        <v>2315</v>
      </c>
      <c r="S158" s="154">
        <f t="shared" si="11"/>
        <v>0</v>
      </c>
      <c r="T158" s="156" t="str">
        <f>+VLOOKUP($L158,Data_Validation!$A:$D,1,0)</f>
        <v>2335</v>
      </c>
      <c r="U158" s="156" t="str">
        <f>+VLOOKUP($L158,Data_Validation!$A:$D,3,0)</f>
        <v>Bilan</v>
      </c>
      <c r="V158" s="156" t="str">
        <f>+VLOOKUP($L158,Data_Validation!$A:$D,4,0)</f>
        <v>DAS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014" t="s">
        <v>2749</v>
      </c>
      <c r="B159" s="1014" t="s">
        <v>2750</v>
      </c>
      <c r="C159" s="1016">
        <v>-19056.810000000001</v>
      </c>
      <c r="D159" s="1016">
        <v>-1759.3</v>
      </c>
      <c r="E159" s="1016">
        <v>-20816.11</v>
      </c>
      <c r="F159" s="1014" t="s">
        <v>282</v>
      </c>
      <c r="G159" s="1014" t="s">
        <v>2162</v>
      </c>
      <c r="H159" s="970"/>
      <c r="I159" s="970"/>
      <c r="J159" s="970"/>
      <c r="K159" s="970"/>
      <c r="L159" s="153" t="str">
        <f t="shared" si="0"/>
        <v>2342</v>
      </c>
      <c r="M159" s="154" t="str">
        <f t="shared" si="1"/>
        <v>REER STANDARD LIFE</v>
      </c>
      <c r="N159" s="155">
        <f>+IF(OR($Q159=Parametres!$G$2,$Q159=Parametres!$G$3),I159,C159)</f>
        <v>-19056.810000000001</v>
      </c>
      <c r="O159" s="155">
        <f>+IF(OR($Q159=Parametres!$G$2,$Q159=Parametres!$G$3),J159,D159)</f>
        <v>-1759.3</v>
      </c>
      <c r="P159" s="155">
        <f>+IF(OR($Q159=Parametres!$G$2,$Q159=Parametres!$G$3),K159,E159)</f>
        <v>-20816.11</v>
      </c>
      <c r="Q159" s="154" t="str">
        <f t="shared" si="11"/>
        <v>3-Passifs</v>
      </c>
      <c r="R159" s="153" t="str">
        <f t="shared" si="11"/>
        <v>2315</v>
      </c>
      <c r="S159" s="154">
        <f t="shared" si="11"/>
        <v>0</v>
      </c>
      <c r="T159" s="156" t="str">
        <f>+VLOOKUP($L159,Data_Validation!$A:$D,1,0)</f>
        <v>2342</v>
      </c>
      <c r="U159" s="156" t="str">
        <f>+VLOOKUP($L159,Data_Validation!$A:$D,3,0)</f>
        <v>Bilan</v>
      </c>
      <c r="V159" s="156" t="str">
        <f>+VLOOKUP($L159,Data_Validation!$A:$D,4,0)</f>
        <v>DAS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4" t="s">
        <v>2582</v>
      </c>
      <c r="B160" s="1014" t="s">
        <v>2583</v>
      </c>
      <c r="C160" s="1016">
        <v>-741.48</v>
      </c>
      <c r="D160" s="1016">
        <v>-44.04</v>
      </c>
      <c r="E160" s="1016">
        <v>-785.52</v>
      </c>
      <c r="F160" s="1014" t="s">
        <v>282</v>
      </c>
      <c r="G160" s="1014" t="s">
        <v>2162</v>
      </c>
      <c r="H160" s="970"/>
      <c r="I160" s="971"/>
      <c r="J160" s="971"/>
      <c r="K160" s="971"/>
      <c r="L160" s="153" t="str">
        <f t="shared" si="0"/>
        <v>2343</v>
      </c>
      <c r="M160" s="154" t="str">
        <f t="shared" si="1"/>
        <v>COMITE PARITAIRE</v>
      </c>
      <c r="N160" s="155">
        <f>+IF(OR($Q160=Parametres!$G$2,$Q160=Parametres!$G$3),I160,C160)</f>
        <v>-741.48</v>
      </c>
      <c r="O160" s="155">
        <f>+IF(OR($Q160=Parametres!$G$2,$Q160=Parametres!$G$3),J160,D160)</f>
        <v>-44.04</v>
      </c>
      <c r="P160" s="155">
        <f>+IF(OR($Q160=Parametres!$G$2,$Q160=Parametres!$G$3),K160,E160)</f>
        <v>-785.52</v>
      </c>
      <c r="Q160" s="154" t="str">
        <f t="shared" si="11"/>
        <v>3-Passifs</v>
      </c>
      <c r="R160" s="153" t="str">
        <f t="shared" si="11"/>
        <v>2315</v>
      </c>
      <c r="S160" s="154">
        <f t="shared" si="11"/>
        <v>0</v>
      </c>
      <c r="T160" s="156" t="str">
        <f>+VLOOKUP($L160,Data_Validation!$A:$D,1,0)</f>
        <v>2343</v>
      </c>
      <c r="U160" s="156" t="str">
        <f>+VLOOKUP($L160,Data_Validation!$A:$D,3,0)</f>
        <v>Bilan</v>
      </c>
      <c r="V160" s="156" t="str">
        <f>+VLOOKUP($L160,Data_Validation!$A:$D,4,0)</f>
        <v>DAS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014" t="s">
        <v>536</v>
      </c>
      <c r="B161" s="1014" t="s">
        <v>2185</v>
      </c>
      <c r="C161" s="1016">
        <v>-789</v>
      </c>
      <c r="D161" s="1016">
        <v>-297</v>
      </c>
      <c r="E161" s="1016">
        <v>-1086</v>
      </c>
      <c r="F161" s="1014" t="s">
        <v>282</v>
      </c>
      <c r="G161" s="1014" t="s">
        <v>2162</v>
      </c>
      <c r="H161" s="1015"/>
      <c r="I161" s="1015"/>
      <c r="J161" s="1015"/>
      <c r="K161" s="1015"/>
      <c r="L161" s="153" t="str">
        <f t="shared" si="0"/>
        <v>2344</v>
      </c>
      <c r="M161" s="154" t="str">
        <f t="shared" si="1"/>
        <v>CENTRAIDE</v>
      </c>
      <c r="N161" s="155">
        <f>+IF(OR($Q161=Parametres!$G$2,$Q161=Parametres!$G$3),I161,C161)</f>
        <v>-789</v>
      </c>
      <c r="O161" s="155">
        <f>+IF(OR($Q161=Parametres!$G$2,$Q161=Parametres!$G$3),J161,D161)</f>
        <v>-297</v>
      </c>
      <c r="P161" s="155">
        <f>+IF(OR($Q161=Parametres!$G$2,$Q161=Parametres!$G$3),K161,E161)</f>
        <v>-1086</v>
      </c>
      <c r="Q161" s="154" t="str">
        <f t="shared" si="11"/>
        <v>3-Passifs</v>
      </c>
      <c r="R161" s="153" t="str">
        <f t="shared" si="11"/>
        <v>2315</v>
      </c>
      <c r="S161" s="154">
        <f t="shared" si="11"/>
        <v>0</v>
      </c>
      <c r="T161" s="156" t="str">
        <f>+VLOOKUP($L161,Data_Validation!$A:$D,1,0)</f>
        <v>2344</v>
      </c>
      <c r="U161" s="156" t="str">
        <f>+VLOOKUP($L161,Data_Validation!$A:$D,3,0)</f>
        <v>Bilan</v>
      </c>
      <c r="V161" s="156" t="str">
        <f>+VLOOKUP($L161,Data_Validation!$A:$D,4,0)</f>
        <v>DAS à Payer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014" t="s">
        <v>2193</v>
      </c>
      <c r="B162" s="1014" t="s">
        <v>2194</v>
      </c>
      <c r="C162" s="1016">
        <v>-1256.02</v>
      </c>
      <c r="D162" s="1016">
        <v>-12043.98</v>
      </c>
      <c r="E162" s="1016">
        <v>-13300</v>
      </c>
      <c r="F162" s="1014" t="s">
        <v>282</v>
      </c>
      <c r="G162" s="1014" t="s">
        <v>2194</v>
      </c>
      <c r="H162" s="1015"/>
      <c r="I162" s="1015"/>
      <c r="J162" s="1015"/>
      <c r="K162" s="1015"/>
      <c r="L162" s="153" t="str">
        <f t="shared" si="0"/>
        <v>2401</v>
      </c>
      <c r="M162" s="154" t="str">
        <f t="shared" si="1"/>
        <v>DEPOTS FIDUCIE-VENTE CLIENTS</v>
      </c>
      <c r="N162" s="155">
        <f>+IF(OR($Q162=Parametres!$G$2,$Q162=Parametres!$G$3),I162,C162)</f>
        <v>-1256.02</v>
      </c>
      <c r="O162" s="155">
        <f>+IF(OR($Q162=Parametres!$G$2,$Q162=Parametres!$G$3),J162,D162)</f>
        <v>-12043.98</v>
      </c>
      <c r="P162" s="155">
        <f>+IF(OR($Q162=Parametres!$G$2,$Q162=Parametres!$G$3),K162,E162)</f>
        <v>-13300</v>
      </c>
      <c r="Q162" s="154" t="str">
        <f t="shared" ref="Q162:S177" si="12">+F162</f>
        <v>3-Passifs</v>
      </c>
      <c r="R162" s="153" t="str">
        <f t="shared" si="12"/>
        <v>2401</v>
      </c>
      <c r="S162" s="154">
        <f t="shared" si="12"/>
        <v>0</v>
      </c>
      <c r="T162" s="156" t="str">
        <f>+VLOOKUP($L162,Data_Validation!$A:$D,1,0)</f>
        <v>2401</v>
      </c>
      <c r="U162" s="156" t="str">
        <f>+VLOOKUP($L162,Data_Validation!$A:$D,3,0)</f>
        <v>Bilan</v>
      </c>
      <c r="V162" s="156" t="str">
        <f>+VLOOKUP($L162,Data_Validation!$A:$D,4,0)</f>
        <v>Dépôts de Client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014" t="s">
        <v>2600</v>
      </c>
      <c r="B163" s="1014" t="s">
        <v>2601</v>
      </c>
      <c r="C163" s="1016">
        <v>-5168.54</v>
      </c>
      <c r="D163" s="1016">
        <v>-3957.92</v>
      </c>
      <c r="E163" s="1016">
        <v>-9126.4599999999991</v>
      </c>
      <c r="F163" s="1014" t="s">
        <v>282</v>
      </c>
      <c r="G163" s="1014" t="s">
        <v>2601</v>
      </c>
      <c r="H163" s="1015"/>
      <c r="I163" s="1015"/>
      <c r="J163" s="1015"/>
      <c r="K163" s="1015"/>
      <c r="L163" s="153" t="str">
        <f t="shared" si="0"/>
        <v>2501</v>
      </c>
      <c r="M163" s="154" t="str">
        <f t="shared" si="1"/>
        <v>COMMISSION A PAYER</v>
      </c>
      <c r="N163" s="155">
        <f>+IF(OR($Q163=Parametres!$G$2,$Q163=Parametres!$G$3),I163,C163)</f>
        <v>-5168.54</v>
      </c>
      <c r="O163" s="155">
        <f>+IF(OR($Q163=Parametres!$G$2,$Q163=Parametres!$G$3),J163,D163)</f>
        <v>-3957.92</v>
      </c>
      <c r="P163" s="155">
        <f>+IF(OR($Q163=Parametres!$G$2,$Q163=Parametres!$G$3),K163,E163)</f>
        <v>-9126.4599999999991</v>
      </c>
      <c r="Q163" s="154" t="str">
        <f t="shared" si="12"/>
        <v>3-Passifs</v>
      </c>
      <c r="R163" s="153" t="str">
        <f t="shared" si="12"/>
        <v>2501</v>
      </c>
      <c r="S163" s="154">
        <f t="shared" si="12"/>
        <v>0</v>
      </c>
      <c r="T163" s="156" t="str">
        <f>+VLOOKUP($L163,Data_Validation!$A:$D,1,0)</f>
        <v>2501</v>
      </c>
      <c r="U163" s="156" t="str">
        <f>+VLOOKUP($L163,Data_Validation!$A:$D,3,0)</f>
        <v>Bilan</v>
      </c>
      <c r="V163" s="156" t="str">
        <f>+VLOOKUP($L163,Data_Validation!$A:$D,4,0)</f>
        <v>Salaires à Payer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014" t="s">
        <v>2058</v>
      </c>
      <c r="B164" s="1014" t="s">
        <v>2059</v>
      </c>
      <c r="C164" s="1016">
        <v>-7794.19</v>
      </c>
      <c r="D164" s="1016">
        <v>-33711.160000000003</v>
      </c>
      <c r="E164" s="1016">
        <v>-41505.35</v>
      </c>
      <c r="F164" s="1014" t="s">
        <v>282</v>
      </c>
      <c r="G164" s="1014" t="s">
        <v>2059</v>
      </c>
      <c r="H164" s="1015"/>
      <c r="I164" s="1015"/>
      <c r="J164" s="1015"/>
      <c r="K164" s="1015"/>
      <c r="L164" s="153" t="str">
        <f t="shared" si="0"/>
        <v>2503</v>
      </c>
      <c r="M164" s="154" t="str">
        <f t="shared" si="1"/>
        <v>SALAIRES DES EMPLOYES</v>
      </c>
      <c r="N164" s="155">
        <f>+IF(OR($Q164=Parametres!$G$2,$Q164=Parametres!$G$3),I164,C164)</f>
        <v>-7794.19</v>
      </c>
      <c r="O164" s="155">
        <f>+IF(OR($Q164=Parametres!$G$2,$Q164=Parametres!$G$3),J164,D164)</f>
        <v>-33711.160000000003</v>
      </c>
      <c r="P164" s="155">
        <f>+IF(OR($Q164=Parametres!$G$2,$Q164=Parametres!$G$3),K164,E164)</f>
        <v>-41505.35</v>
      </c>
      <c r="Q164" s="154" t="str">
        <f t="shared" si="12"/>
        <v>3-Passifs</v>
      </c>
      <c r="R164" s="153" t="str">
        <f t="shared" si="12"/>
        <v>2503</v>
      </c>
      <c r="S164" s="154">
        <f t="shared" si="12"/>
        <v>0</v>
      </c>
      <c r="T164" s="156" t="str">
        <f>+VLOOKUP($L164,Data_Validation!$A:$D,1,0)</f>
        <v>2503</v>
      </c>
      <c r="U164" s="156" t="str">
        <f>+VLOOKUP($L164,Data_Validation!$A:$D,3,0)</f>
        <v>Bilan</v>
      </c>
      <c r="V164" s="156" t="str">
        <f>+VLOOKUP($L164,Data_Validation!$A:$D,4,0)</f>
        <v>Salaires à Payer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customHeight="1">
      <c r="A165" s="1014" t="s">
        <v>2098</v>
      </c>
      <c r="B165" s="1014" t="s">
        <v>2099</v>
      </c>
      <c r="C165" s="1036">
        <v>22178.26</v>
      </c>
      <c r="D165" s="1036">
        <v>-25749.58</v>
      </c>
      <c r="E165" s="1036">
        <v>-3571.32</v>
      </c>
      <c r="F165" s="1014" t="s">
        <v>282</v>
      </c>
      <c r="G165" s="1014" t="s">
        <v>2059</v>
      </c>
      <c r="H165" s="1015"/>
      <c r="I165" s="1016"/>
      <c r="J165" s="1016"/>
      <c r="K165" s="1016"/>
      <c r="L165" s="153" t="str">
        <f t="shared" si="0"/>
        <v>2505</v>
      </c>
      <c r="M165" s="154" t="str">
        <f t="shared" si="1"/>
        <v>JOURS FERIES</v>
      </c>
      <c r="N165" s="155">
        <f>+IF(OR($Q165=Parametres!$G$2,$Q165=Parametres!$G$3),I165,C165)</f>
        <v>22178.26</v>
      </c>
      <c r="O165" s="155">
        <f>+IF(OR($Q165=Parametres!$G$2,$Q165=Parametres!$G$3),J165,D165)</f>
        <v>-25749.58</v>
      </c>
      <c r="P165" s="155">
        <f>+IF(OR($Q165=Parametres!$G$2,$Q165=Parametres!$G$3),K165,E165)</f>
        <v>-3571.32</v>
      </c>
      <c r="Q165" s="154" t="str">
        <f t="shared" si="12"/>
        <v>3-Passifs</v>
      </c>
      <c r="R165" s="153" t="str">
        <f t="shared" si="12"/>
        <v>2503</v>
      </c>
      <c r="S165" s="154">
        <f t="shared" si="12"/>
        <v>0</v>
      </c>
      <c r="T165" s="156" t="str">
        <f>+VLOOKUP($L165,Data_Validation!$A:$D,1,0)</f>
        <v>2505</v>
      </c>
      <c r="U165" s="156" t="str">
        <f>+VLOOKUP($L165,Data_Validation!$A:$D,3,0)</f>
        <v>Bilan</v>
      </c>
      <c r="V165" s="156" t="str">
        <f>+VLOOKUP($L165,Data_Validation!$A:$D,4,0)</f>
        <v>Salaires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customHeight="1">
      <c r="A166" s="1014" t="s">
        <v>2094</v>
      </c>
      <c r="B166" s="1014" t="s">
        <v>2095</v>
      </c>
      <c r="C166" s="1016">
        <v>-170609.78</v>
      </c>
      <c r="D166" s="1016">
        <v>3208.47</v>
      </c>
      <c r="E166" s="1016">
        <v>-167401.31</v>
      </c>
      <c r="F166" s="1014" t="s">
        <v>282</v>
      </c>
      <c r="G166" s="1014" t="s">
        <v>2059</v>
      </c>
      <c r="H166" s="1015"/>
      <c r="I166" s="1015"/>
      <c r="J166" s="1015"/>
      <c r="K166" s="1015"/>
      <c r="L166" s="153" t="str">
        <f t="shared" si="0"/>
        <v>2509</v>
      </c>
      <c r="M166" s="154" t="str">
        <f t="shared" si="1"/>
        <v>SALAIRES DE VACANCES</v>
      </c>
      <c r="N166" s="155">
        <f>+IF(OR($Q166=Parametres!$G$2,$Q166=Parametres!$G$3),I166,C166)</f>
        <v>-170609.78</v>
      </c>
      <c r="O166" s="155">
        <f>+IF(OR($Q166=Parametres!$G$2,$Q166=Parametres!$G$3),J166,D166)</f>
        <v>3208.47</v>
      </c>
      <c r="P166" s="155">
        <f>+IF(OR($Q166=Parametres!$G$2,$Q166=Parametres!$G$3),K166,E166)</f>
        <v>-167401.31</v>
      </c>
      <c r="Q166" s="154" t="str">
        <f t="shared" si="12"/>
        <v>3-Passifs</v>
      </c>
      <c r="R166" s="153" t="str">
        <f t="shared" si="12"/>
        <v>2503</v>
      </c>
      <c r="S166" s="154">
        <f t="shared" si="12"/>
        <v>0</v>
      </c>
      <c r="T166" s="156" t="str">
        <f>+VLOOKUP($L166,Data_Validation!$A:$D,1,0)</f>
        <v>2509</v>
      </c>
      <c r="U166" s="156" t="str">
        <f>+VLOOKUP($L166,Data_Validation!$A:$D,3,0)</f>
        <v>Bilan</v>
      </c>
      <c r="V166" s="156" t="str">
        <f>+VLOOKUP($L166,Data_Validation!$A:$D,4,0)</f>
        <v>Salaires à Payer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customHeight="1">
      <c r="A167" s="1014" t="s">
        <v>2188</v>
      </c>
      <c r="B167" s="1014" t="s">
        <v>2189</v>
      </c>
      <c r="C167" s="1036">
        <v>9332.08</v>
      </c>
      <c r="D167" s="1015">
        <v>896.8</v>
      </c>
      <c r="E167" s="1036">
        <v>10228.879999999999</v>
      </c>
      <c r="F167" s="1014" t="s">
        <v>282</v>
      </c>
      <c r="G167" s="1014" t="s">
        <v>2059</v>
      </c>
      <c r="H167" s="1015"/>
      <c r="I167" s="1016"/>
      <c r="J167" s="1016"/>
      <c r="K167" s="1016"/>
      <c r="L167" s="153" t="str">
        <f t="shared" si="0"/>
        <v>2511</v>
      </c>
      <c r="M167" s="154" t="str">
        <f t="shared" si="1"/>
        <v>JOURNEE MALADIE</v>
      </c>
      <c r="N167" s="155">
        <f>+IF(OR($Q167=Parametres!$G$2,$Q167=Parametres!$G$3),I167,C167)</f>
        <v>9332.08</v>
      </c>
      <c r="O167" s="155">
        <f>+IF(OR($Q167=Parametres!$G$2,$Q167=Parametres!$G$3),J167,D167)</f>
        <v>896.8</v>
      </c>
      <c r="P167" s="155">
        <f>+IF(OR($Q167=Parametres!$G$2,$Q167=Parametres!$G$3),K167,E167)</f>
        <v>10228.879999999999</v>
      </c>
      <c r="Q167" s="154" t="str">
        <f t="shared" si="12"/>
        <v>3-Passifs</v>
      </c>
      <c r="R167" s="153" t="str">
        <f t="shared" si="12"/>
        <v>2503</v>
      </c>
      <c r="S167" s="154">
        <f t="shared" si="12"/>
        <v>0</v>
      </c>
      <c r="T167" s="156" t="str">
        <f>+VLOOKUP($L167,Data_Validation!$A:$D,1,0)</f>
        <v>2511</v>
      </c>
      <c r="U167" s="156" t="str">
        <f>+VLOOKUP($L167,Data_Validation!$A:$D,3,0)</f>
        <v>Bilan</v>
      </c>
      <c r="V167" s="156" t="str">
        <f>+VLOOKUP($L167,Data_Validation!$A:$D,4,0)</f>
        <v>Salaires à Payer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customHeight="1">
      <c r="A168" s="1014" t="s">
        <v>2689</v>
      </c>
      <c r="B168" s="1014" t="s">
        <v>2690</v>
      </c>
      <c r="C168" s="1016">
        <v>-53726.75</v>
      </c>
      <c r="D168" s="1016">
        <v>1317.5</v>
      </c>
      <c r="E168" s="1016">
        <v>-52409.25</v>
      </c>
      <c r="F168" s="1014" t="s">
        <v>282</v>
      </c>
      <c r="G168" s="1014" t="s">
        <v>2690</v>
      </c>
      <c r="H168" s="1015"/>
      <c r="I168" s="1015"/>
      <c r="J168" s="1015"/>
      <c r="K168" s="1015"/>
      <c r="L168" s="153" t="str">
        <f t="shared" si="0"/>
        <v>2801</v>
      </c>
      <c r="M168" s="154" t="str">
        <f t="shared" si="1"/>
        <v>PRET CIBC</v>
      </c>
      <c r="N168" s="155">
        <f>+IF(OR($Q168=Parametres!$G$2,$Q168=Parametres!$G$3),I168,C168)</f>
        <v>-53726.75</v>
      </c>
      <c r="O168" s="155">
        <f>+IF(OR($Q168=Parametres!$G$2,$Q168=Parametres!$G$3),J168,D168)</f>
        <v>1317.5</v>
      </c>
      <c r="P168" s="155">
        <f>+IF(OR($Q168=Parametres!$G$2,$Q168=Parametres!$G$3),K168,E168)</f>
        <v>-52409.25</v>
      </c>
      <c r="Q168" s="154" t="str">
        <f t="shared" si="12"/>
        <v>3-Passifs</v>
      </c>
      <c r="R168" s="153" t="str">
        <f t="shared" si="12"/>
        <v>2801</v>
      </c>
      <c r="S168" s="154">
        <f t="shared" si="12"/>
        <v>0</v>
      </c>
      <c r="T168" s="156" t="str">
        <f>+VLOOKUP($L168,Data_Validation!$A:$D,1,0)</f>
        <v>2801</v>
      </c>
      <c r="U168" s="156" t="str">
        <f>+VLOOKUP($L168,Data_Validation!$A:$D,3,0)</f>
        <v>Bilan</v>
      </c>
      <c r="V168" s="156" t="str">
        <f>+VLOOKUP($L168,Data_Validation!$A:$D,4,0)</f>
        <v>Dette à Long Terme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customHeight="1">
      <c r="A169" s="1014" t="s">
        <v>827</v>
      </c>
      <c r="B169" s="1014" t="s">
        <v>2190</v>
      </c>
      <c r="C169" s="1036">
        <v>-21075.35</v>
      </c>
      <c r="D169" s="1015">
        <v>-241.99</v>
      </c>
      <c r="E169" s="1036">
        <v>-21317.34</v>
      </c>
      <c r="F169" s="1014" t="s">
        <v>282</v>
      </c>
      <c r="G169" s="1014" t="s">
        <v>2190</v>
      </c>
      <c r="H169" s="1015"/>
      <c r="I169" s="1016"/>
      <c r="J169" s="1016"/>
      <c r="K169" s="1016"/>
      <c r="L169" s="153" t="str">
        <f t="shared" si="0"/>
        <v>2901</v>
      </c>
      <c r="M169" s="154" t="str">
        <f t="shared" si="1"/>
        <v>RESERVE CARTES PRIVILEGE</v>
      </c>
      <c r="N169" s="155">
        <f>+IF(OR($Q169=Parametres!$G$2,$Q169=Parametres!$G$3),I169,C169)</f>
        <v>-21075.35</v>
      </c>
      <c r="O169" s="155">
        <f>+IF(OR($Q169=Parametres!$G$2,$Q169=Parametres!$G$3),J169,D169)</f>
        <v>-241.99</v>
      </c>
      <c r="P169" s="155">
        <f>+IF(OR($Q169=Parametres!$G$2,$Q169=Parametres!$G$3),K169,E169)</f>
        <v>-21317.34</v>
      </c>
      <c r="Q169" s="154" t="str">
        <f t="shared" si="12"/>
        <v>3-Passifs</v>
      </c>
      <c r="R169" s="153" t="str">
        <f t="shared" si="12"/>
        <v>2901</v>
      </c>
      <c r="S169" s="154">
        <f t="shared" si="12"/>
        <v>0</v>
      </c>
      <c r="T169" s="156" t="str">
        <f>+VLOOKUP($L169,Data_Validation!$A:$D,1,0)</f>
        <v>2901</v>
      </c>
      <c r="U169" s="156" t="str">
        <f>+VLOOKUP($L169,Data_Validation!$A:$D,3,0)</f>
        <v>Bilan</v>
      </c>
      <c r="V169" s="156" t="str">
        <f>+VLOOKUP($L169,Data_Validation!$A:$D,4,0)</f>
        <v>Autres Courus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customHeight="1">
      <c r="A170" s="1014" t="s">
        <v>2423</v>
      </c>
      <c r="B170" s="1014" t="s">
        <v>2424</v>
      </c>
      <c r="C170" s="1016">
        <v>-2350000</v>
      </c>
      <c r="D170" s="1016">
        <v>0</v>
      </c>
      <c r="E170" s="1016">
        <v>-2350000</v>
      </c>
      <c r="F170" s="1014" t="s">
        <v>831</v>
      </c>
      <c r="G170" s="1014" t="s">
        <v>2424</v>
      </c>
      <c r="H170" s="1015"/>
      <c r="I170" s="1015"/>
      <c r="J170" s="1015"/>
      <c r="K170" s="1015"/>
      <c r="L170" s="153" t="str">
        <f t="shared" si="0"/>
        <v>3001</v>
      </c>
      <c r="M170" s="154" t="str">
        <f t="shared" si="1"/>
        <v>ACTIONS CATEGORIE 1</v>
      </c>
      <c r="N170" s="155">
        <f>+IF(OR($Q170=Parametres!$G$2,$Q170=Parametres!$G$3),I170,C170)</f>
        <v>-2350000</v>
      </c>
      <c r="O170" s="155">
        <f>+IF(OR($Q170=Parametres!$G$2,$Q170=Parametres!$G$3),J170,D170)</f>
        <v>0</v>
      </c>
      <c r="P170" s="155">
        <f>+IF(OR($Q170=Parametres!$G$2,$Q170=Parametres!$G$3),K170,E170)</f>
        <v>-2350000</v>
      </c>
      <c r="Q170" s="154" t="str">
        <f t="shared" si="12"/>
        <v>4-Valeur nette</v>
      </c>
      <c r="R170" s="153" t="str">
        <f t="shared" si="12"/>
        <v>3001</v>
      </c>
      <c r="S170" s="154">
        <f t="shared" si="12"/>
        <v>0</v>
      </c>
      <c r="T170" s="156" t="str">
        <f>+VLOOKUP($L170,Data_Validation!$A:$D,1,0)</f>
        <v>3001</v>
      </c>
      <c r="U170" s="156" t="str">
        <f>+VLOOKUP($L170,Data_Validation!$A:$D,3,0)</f>
        <v>Bilan</v>
      </c>
      <c r="V170" s="156" t="str">
        <f>+VLOOKUP($L170,Data_Validation!$A:$D,4,0)</f>
        <v>Capital Actions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customHeight="1">
      <c r="A171" s="1014" t="s">
        <v>2425</v>
      </c>
      <c r="B171" s="1014" t="s">
        <v>2426</v>
      </c>
      <c r="C171" s="1036">
        <v>-1846000</v>
      </c>
      <c r="D171" s="1015">
        <v>0</v>
      </c>
      <c r="E171" s="1036">
        <v>-1846000</v>
      </c>
      <c r="F171" s="1014" t="s">
        <v>831</v>
      </c>
      <c r="G171" s="1014" t="s">
        <v>2424</v>
      </c>
      <c r="H171" s="1015"/>
      <c r="I171" s="1016"/>
      <c r="J171" s="1016"/>
      <c r="K171" s="1016"/>
      <c r="L171" s="153" t="str">
        <f t="shared" si="0"/>
        <v>3003</v>
      </c>
      <c r="M171" s="154" t="str">
        <f t="shared" si="1"/>
        <v>APPORT / RETRAIT</v>
      </c>
      <c r="N171" s="155">
        <f>+IF(OR($Q171=Parametres!$G$2,$Q171=Parametres!$G$3),I171,C171)</f>
        <v>-1846000</v>
      </c>
      <c r="O171" s="155">
        <f>+IF(OR($Q171=Parametres!$G$2,$Q171=Parametres!$G$3),J171,D171)</f>
        <v>0</v>
      </c>
      <c r="P171" s="155">
        <f>+IF(OR($Q171=Parametres!$G$2,$Q171=Parametres!$G$3),K171,E171)</f>
        <v>-1846000</v>
      </c>
      <c r="Q171" s="154" t="str">
        <f t="shared" si="12"/>
        <v>4-Valeur nette</v>
      </c>
      <c r="R171" s="153" t="str">
        <f t="shared" si="12"/>
        <v>3001</v>
      </c>
      <c r="S171" s="154">
        <f t="shared" si="12"/>
        <v>0</v>
      </c>
      <c r="T171" s="156" t="str">
        <f>+VLOOKUP($L171,Data_Validation!$A:$D,1,0)</f>
        <v>3003</v>
      </c>
      <c r="U171" s="156" t="str">
        <f>+VLOOKUP($L171,Data_Validation!$A:$D,3,0)</f>
        <v>Bilan</v>
      </c>
      <c r="V171" s="156" t="str">
        <f>+VLOOKUP($L171,Data_Validation!$A:$D,4,0)</f>
        <v>Apport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customHeight="1">
      <c r="A172" s="1014" t="s">
        <v>2427</v>
      </c>
      <c r="B172" s="1014" t="s">
        <v>2428</v>
      </c>
      <c r="C172" s="1016">
        <v>-347547.5</v>
      </c>
      <c r="D172" s="1016">
        <v>0</v>
      </c>
      <c r="E172" s="1016">
        <v>-347547.5</v>
      </c>
      <c r="F172" s="1014" t="s">
        <v>831</v>
      </c>
      <c r="G172" s="1014" t="s">
        <v>2424</v>
      </c>
      <c r="H172" s="1015"/>
      <c r="I172" s="1015"/>
      <c r="J172" s="1015"/>
      <c r="K172" s="1015"/>
      <c r="L172" s="153" t="str">
        <f t="shared" si="0"/>
        <v>3007</v>
      </c>
      <c r="M172" s="154" t="str">
        <f t="shared" si="1"/>
        <v>ACTIONS PARTICIPANTES</v>
      </c>
      <c r="N172" s="155">
        <f>+IF(OR($Q172=Parametres!$G$2,$Q172=Parametres!$G$3),I172,C172)</f>
        <v>-347547.5</v>
      </c>
      <c r="O172" s="155">
        <f>+IF(OR($Q172=Parametres!$G$2,$Q172=Parametres!$G$3),J172,D172)</f>
        <v>0</v>
      </c>
      <c r="P172" s="155">
        <f>+IF(OR($Q172=Parametres!$G$2,$Q172=Parametres!$G$3),K172,E172)</f>
        <v>-347547.5</v>
      </c>
      <c r="Q172" s="154" t="str">
        <f t="shared" si="12"/>
        <v>4-Valeur nette</v>
      </c>
      <c r="R172" s="153" t="str">
        <f t="shared" si="12"/>
        <v>3001</v>
      </c>
      <c r="S172" s="154">
        <f t="shared" si="12"/>
        <v>0</v>
      </c>
      <c r="T172" s="156" t="str">
        <f>+VLOOKUP($L172,Data_Validation!$A:$D,1,0)</f>
        <v>3007</v>
      </c>
      <c r="U172" s="156" t="str">
        <f>+VLOOKUP($L172,Data_Validation!$A:$D,3,0)</f>
        <v>Bilan</v>
      </c>
      <c r="V172" s="156" t="str">
        <f>+VLOOKUP($L172,Data_Validation!$A:$D,4,0)</f>
        <v>Capital Actions</v>
      </c>
      <c r="W172" s="156">
        <f>+VLOOKUP($L172,Data_Validation!$A:$E,5,0)</f>
        <v>0</v>
      </c>
      <c r="X172" s="156">
        <f>+VLOOKUP($L172,Data_Validation!$A:$F,6,0)</f>
        <v>0</v>
      </c>
    </row>
    <row r="173" spans="1:24" ht="15" customHeight="1">
      <c r="A173" s="1014" t="s">
        <v>2429</v>
      </c>
      <c r="B173" s="1014" t="s">
        <v>2430</v>
      </c>
      <c r="C173" s="1036">
        <v>-231711.86</v>
      </c>
      <c r="D173" s="1015">
        <v>0</v>
      </c>
      <c r="E173" s="1036">
        <v>-231711.86</v>
      </c>
      <c r="F173" s="1014" t="s">
        <v>831</v>
      </c>
      <c r="G173" s="1014" t="s">
        <v>2424</v>
      </c>
      <c r="H173" s="1015"/>
      <c r="I173" s="1016"/>
      <c r="J173" s="1016"/>
      <c r="K173" s="1016"/>
      <c r="L173" s="153" t="str">
        <f t="shared" si="0"/>
        <v>3201</v>
      </c>
      <c r="M173" s="154" t="str">
        <f t="shared" si="1"/>
        <v>BENEFICES NON-REPARTIS</v>
      </c>
      <c r="N173" s="155">
        <f>+IF(OR($Q173=Parametres!$G$2,$Q173=Parametres!$G$3),I173,C173)</f>
        <v>-231711.86</v>
      </c>
      <c r="O173" s="155">
        <f>+IF(OR($Q173=Parametres!$G$2,$Q173=Parametres!$G$3),J173,D173)</f>
        <v>0</v>
      </c>
      <c r="P173" s="155">
        <f>+IF(OR($Q173=Parametres!$G$2,$Q173=Parametres!$G$3),K173,E173)</f>
        <v>-231711.86</v>
      </c>
      <c r="Q173" s="154" t="str">
        <f t="shared" si="12"/>
        <v>4-Valeur nette</v>
      </c>
      <c r="R173" s="153" t="str">
        <f t="shared" si="12"/>
        <v>3001</v>
      </c>
      <c r="S173" s="154">
        <f t="shared" si="12"/>
        <v>0</v>
      </c>
      <c r="T173" s="156" t="str">
        <f>+VLOOKUP($L173,Data_Validation!$A:$D,1,0)</f>
        <v>3201</v>
      </c>
      <c r="U173" s="156" t="str">
        <f>+VLOOKUP($L173,Data_Validation!$A:$D,3,0)</f>
        <v>Bilan</v>
      </c>
      <c r="V173" s="156" t="str">
        <f>+VLOOKUP($L173,Data_Validation!$A:$D,4,0)</f>
        <v>Bénéfices non répartis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customHeight="1">
      <c r="A174" s="1014" t="s">
        <v>2025</v>
      </c>
      <c r="B174" s="1014" t="s">
        <v>2026</v>
      </c>
      <c r="C174" s="1016">
        <v>-22912.21</v>
      </c>
      <c r="D174" s="1016">
        <v>-162929.95000000001</v>
      </c>
      <c r="E174" s="1016">
        <v>-185842.16</v>
      </c>
      <c r="F174" s="1014" t="s">
        <v>285</v>
      </c>
      <c r="G174" s="1014" t="s">
        <v>2026</v>
      </c>
      <c r="H174" s="1015"/>
      <c r="I174" s="1015"/>
      <c r="J174" s="1015"/>
      <c r="K174" s="1015"/>
      <c r="L174" s="153" t="str">
        <f t="shared" si="0"/>
        <v>4100</v>
      </c>
      <c r="M174" s="154" t="str">
        <f t="shared" si="1"/>
        <v>VTE - RACHAT BAIL VW</v>
      </c>
      <c r="N174" s="155">
        <f>+IF(OR($Q174=Parametres!$G$2,$Q174=Parametres!$G$3),I174,C174)</f>
        <v>-22912.21</v>
      </c>
      <c r="O174" s="155">
        <f>+IF(OR($Q174=Parametres!$G$2,$Q174=Parametres!$G$3),J174,D174)</f>
        <v>-162929.95000000001</v>
      </c>
      <c r="P174" s="155">
        <f>+IF(OR($Q174=Parametres!$G$2,$Q174=Parametres!$G$3),K174,E174)</f>
        <v>-185842.16</v>
      </c>
      <c r="Q174" s="154" t="str">
        <f t="shared" si="12"/>
        <v>5-Ventes</v>
      </c>
      <c r="R174" s="153" t="str">
        <f t="shared" si="12"/>
        <v>4100</v>
      </c>
      <c r="S174" s="154">
        <f t="shared" si="12"/>
        <v>0</v>
      </c>
      <c r="T174" s="156" t="str">
        <f>+VLOOKUP($L174,Data_Validation!$A:$D,1,0)</f>
        <v>4100</v>
      </c>
      <c r="U174" s="156" t="str">
        <f>+VLOOKUP($L174,Data_Validation!$A:$D,3,0)</f>
        <v>Véhicules neufs</v>
      </c>
      <c r="V174" s="156" t="str">
        <f>+VLOOKUP($L174,Data_Validation!$A:$D,4,0)</f>
        <v>Rachat bail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4" t="s">
        <v>2482</v>
      </c>
      <c r="B175" s="1014" t="s">
        <v>2483</v>
      </c>
      <c r="C175" s="1015"/>
      <c r="D175" s="1015"/>
      <c r="E175" s="1015"/>
      <c r="F175" s="1014" t="s">
        <v>4</v>
      </c>
      <c r="G175" s="1014" t="s">
        <v>2026</v>
      </c>
      <c r="H175" s="1015"/>
      <c r="I175" s="1016">
        <v>-1</v>
      </c>
      <c r="J175" s="1016">
        <v>-11</v>
      </c>
      <c r="K175" s="1016">
        <v>-12</v>
      </c>
      <c r="L175" s="153" t="str">
        <f t="shared" si="0"/>
        <v>4100@</v>
      </c>
      <c r="M175" s="154" t="str">
        <f t="shared" si="1"/>
        <v>RESERVE</v>
      </c>
      <c r="N175" s="155">
        <f>+IF(OR($Q175=Parametres!$G$2,$Q175=Parametres!$G$3),I175,C175)</f>
        <v>-1</v>
      </c>
      <c r="O175" s="155">
        <f>+IF(OR($Q175=Parametres!$G$2,$Q175=Parametres!$G$3),J175,D175)</f>
        <v>-11</v>
      </c>
      <c r="P175" s="155">
        <f>+IF(OR($Q175=Parametres!$G$2,$Q175=Parametres!$G$3),K175,E175)</f>
        <v>-12</v>
      </c>
      <c r="Q175" s="154" t="str">
        <f t="shared" si="12"/>
        <v>10-Compte compteur</v>
      </c>
      <c r="R175" s="153" t="str">
        <f t="shared" si="12"/>
        <v>4100</v>
      </c>
      <c r="S175" s="154">
        <f t="shared" si="12"/>
        <v>0</v>
      </c>
      <c r="T175" s="156" t="str">
        <f>+VLOOKUP($L175,Data_Validation!$A:$D,1,0)</f>
        <v>4100@</v>
      </c>
      <c r="U175" s="156" t="str">
        <f>+VLOOKUP($L175,Data_Validation!$A:$D,3,0)</f>
        <v>Véhicules neufs</v>
      </c>
      <c r="V175" s="156" t="str">
        <f>+VLOOKUP($L175,Data_Validation!$A:$D,4,0)</f>
        <v>Rachat bail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4" t="s">
        <v>2431</v>
      </c>
      <c r="B176" s="1014" t="s">
        <v>2432</v>
      </c>
      <c r="C176" s="1016">
        <v>-97400.77</v>
      </c>
      <c r="D176" s="1016">
        <v>-103591.5</v>
      </c>
      <c r="E176" s="1016">
        <v>-200992.27</v>
      </c>
      <c r="F176" s="1014" t="s">
        <v>285</v>
      </c>
      <c r="G176" s="1014" t="s">
        <v>2432</v>
      </c>
      <c r="H176" s="1015"/>
      <c r="I176" s="1015"/>
      <c r="J176" s="1015"/>
      <c r="K176" s="1015"/>
      <c r="L176" s="153" t="str">
        <f t="shared" si="0"/>
        <v>4101</v>
      </c>
      <c r="M176" s="154" t="str">
        <f t="shared" si="1"/>
        <v>VTE - NEW BEETLE</v>
      </c>
      <c r="N176" s="155">
        <f>+IF(OR($Q176=Parametres!$G$2,$Q176=Parametres!$G$3),I176,C176)</f>
        <v>-97400.77</v>
      </c>
      <c r="O176" s="155">
        <f>+IF(OR($Q176=Parametres!$G$2,$Q176=Parametres!$G$3),J176,D176)</f>
        <v>-103591.5</v>
      </c>
      <c r="P176" s="155">
        <f>+IF(OR($Q176=Parametres!$G$2,$Q176=Parametres!$G$3),K176,E176)</f>
        <v>-200992.27</v>
      </c>
      <c r="Q176" s="154" t="str">
        <f t="shared" si="12"/>
        <v>5-Ventes</v>
      </c>
      <c r="R176" s="153" t="str">
        <f t="shared" si="12"/>
        <v>4101</v>
      </c>
      <c r="S176" s="154">
        <f t="shared" si="12"/>
        <v>0</v>
      </c>
      <c r="T176" s="156" t="str">
        <f>+VLOOKUP($L176,Data_Validation!$A:$D,1,0)</f>
        <v>4101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4" t="s">
        <v>2484</v>
      </c>
      <c r="B177" s="1014" t="s">
        <v>2485</v>
      </c>
      <c r="C177" s="1015"/>
      <c r="D177" s="1015"/>
      <c r="E177" s="1015"/>
      <c r="F177" s="1014" t="s">
        <v>4</v>
      </c>
      <c r="G177" s="1014" t="s">
        <v>2432</v>
      </c>
      <c r="H177" s="1015"/>
      <c r="I177" s="1016">
        <v>-3</v>
      </c>
      <c r="J177" s="1016">
        <v>-4</v>
      </c>
      <c r="K177" s="1016">
        <v>-7</v>
      </c>
      <c r="L177" s="153" t="str">
        <f t="shared" si="0"/>
        <v>4101@</v>
      </c>
      <c r="M177" s="154" t="str">
        <f t="shared" si="1"/>
        <v>VTES NEW BEETLE</v>
      </c>
      <c r="N177" s="155">
        <f>+IF(OR($Q177=Parametres!$G$2,$Q177=Parametres!$G$3),I177,C177)</f>
        <v>-3</v>
      </c>
      <c r="O177" s="155">
        <f>+IF(OR($Q177=Parametres!$G$2,$Q177=Parametres!$G$3),J177,D177)</f>
        <v>-4</v>
      </c>
      <c r="P177" s="155">
        <f>+IF(OR($Q177=Parametres!$G$2,$Q177=Parametres!$G$3),K177,E177)</f>
        <v>-7</v>
      </c>
      <c r="Q177" s="154" t="str">
        <f t="shared" si="12"/>
        <v>10-Compte compteur</v>
      </c>
      <c r="R177" s="153" t="str">
        <f t="shared" si="12"/>
        <v>4101</v>
      </c>
      <c r="S177" s="154">
        <f t="shared" si="12"/>
        <v>0</v>
      </c>
      <c r="T177" s="156" t="str">
        <f>+VLOOKUP($L177,Data_Validation!$A:$D,1,0)</f>
        <v>4101@</v>
      </c>
      <c r="U177" s="156" t="str">
        <f>+VLOOKUP($L177,Data_Validation!$A:$D,3,0)</f>
        <v>Véhicules neufs</v>
      </c>
      <c r="V177" s="156" t="str">
        <f>+VLOOKUP($L177,Data_Validation!$A:$D,4,0)</f>
        <v>Autos détail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4" t="s">
        <v>2018</v>
      </c>
      <c r="B178" s="1014" t="s">
        <v>2019</v>
      </c>
      <c r="C178" s="1016">
        <v>-331578.25</v>
      </c>
      <c r="D178" s="1016">
        <v>-268407.21999999997</v>
      </c>
      <c r="E178" s="1016">
        <v>-599985.47</v>
      </c>
      <c r="F178" s="1014" t="s">
        <v>285</v>
      </c>
      <c r="G178" s="1014" t="s">
        <v>2019</v>
      </c>
      <c r="H178" s="1015"/>
      <c r="I178" s="1015"/>
      <c r="J178" s="1015"/>
      <c r="K178" s="1015"/>
      <c r="L178" s="153" t="str">
        <f t="shared" si="0"/>
        <v>4107</v>
      </c>
      <c r="M178" s="154" t="str">
        <f t="shared" si="1"/>
        <v>VTE - GOLF A6</v>
      </c>
      <c r="N178" s="155">
        <f>+IF(OR($Q178=Parametres!$G$2,$Q178=Parametres!$G$3),I178,C178)</f>
        <v>-331578.25</v>
      </c>
      <c r="O178" s="155">
        <f>+IF(OR($Q178=Parametres!$G$2,$Q178=Parametres!$G$3),J178,D178)</f>
        <v>-268407.21999999997</v>
      </c>
      <c r="P178" s="155">
        <f>+IF(OR($Q178=Parametres!$G$2,$Q178=Parametres!$G$3),K178,E178)</f>
        <v>-599985.47</v>
      </c>
      <c r="Q178" s="154" t="str">
        <f t="shared" ref="Q178:S193" si="13">+F178</f>
        <v>5-Ventes</v>
      </c>
      <c r="R178" s="153" t="str">
        <f t="shared" si="13"/>
        <v>4107</v>
      </c>
      <c r="S178" s="154">
        <f t="shared" si="13"/>
        <v>0</v>
      </c>
      <c r="T178" s="156" t="str">
        <f>+VLOOKUP($L178,Data_Validation!$A:$D,1,0)</f>
        <v>4107</v>
      </c>
      <c r="U178" s="156" t="str">
        <f>+VLOOKUP($L178,Data_Validation!$A:$D,3,0)</f>
        <v>Véhicules neufs</v>
      </c>
      <c r="V178" s="156" t="str">
        <f>+VLOOKUP($L178,Data_Validation!$A:$D,4,0)</f>
        <v>Autos détail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4" t="s">
        <v>2488</v>
      </c>
      <c r="B179" s="1014" t="s">
        <v>2489</v>
      </c>
      <c r="C179" s="1015"/>
      <c r="D179" s="1015"/>
      <c r="E179" s="1015"/>
      <c r="F179" s="1014" t="s">
        <v>4</v>
      </c>
      <c r="G179" s="1014" t="s">
        <v>2019</v>
      </c>
      <c r="H179" s="1015"/>
      <c r="I179" s="1016">
        <v>-13</v>
      </c>
      <c r="J179" s="1016">
        <v>-10</v>
      </c>
      <c r="K179" s="1016">
        <v>-23</v>
      </c>
      <c r="L179" s="153" t="str">
        <f t="shared" si="0"/>
        <v>4107@</v>
      </c>
      <c r="M179" s="154" t="str">
        <f t="shared" si="1"/>
        <v>UNITES VENDUES GOLF</v>
      </c>
      <c r="N179" s="155">
        <f>+IF(OR($Q179=Parametres!$G$2,$Q179=Parametres!$G$3),I179,C179)</f>
        <v>-13</v>
      </c>
      <c r="O179" s="155">
        <f>+IF(OR($Q179=Parametres!$G$2,$Q179=Parametres!$G$3),J179,D179)</f>
        <v>-10</v>
      </c>
      <c r="P179" s="155">
        <f>+IF(OR($Q179=Parametres!$G$2,$Q179=Parametres!$G$3),K179,E179)</f>
        <v>-23</v>
      </c>
      <c r="Q179" s="154" t="str">
        <f t="shared" si="13"/>
        <v>10-Compte compteur</v>
      </c>
      <c r="R179" s="153" t="str">
        <f t="shared" si="13"/>
        <v>4107</v>
      </c>
      <c r="S179" s="154">
        <f t="shared" si="13"/>
        <v>0</v>
      </c>
      <c r="T179" s="156" t="str">
        <f>+VLOOKUP($L179,Data_Validation!$A:$D,1,0)</f>
        <v>4107@</v>
      </c>
      <c r="U179" s="156" t="str">
        <f>+VLOOKUP($L179,Data_Validation!$A:$D,3,0)</f>
        <v>Véhicules neufs</v>
      </c>
      <c r="V179" s="156" t="str">
        <f>+VLOOKUP($L179,Data_Validation!$A:$D,4,0)</f>
        <v>Autos détail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4" t="s">
        <v>2435</v>
      </c>
      <c r="B180" s="1014" t="s">
        <v>2436</v>
      </c>
      <c r="C180" s="1016">
        <v>-219523.27</v>
      </c>
      <c r="D180" s="1016">
        <v>0</v>
      </c>
      <c r="E180" s="1016">
        <v>-219523.27</v>
      </c>
      <c r="F180" s="1014" t="s">
        <v>285</v>
      </c>
      <c r="G180" s="1014" t="s">
        <v>2436</v>
      </c>
      <c r="H180" s="1015"/>
      <c r="I180" s="1015"/>
      <c r="J180" s="1015"/>
      <c r="K180" s="1015"/>
      <c r="L180" s="153" t="str">
        <f t="shared" si="0"/>
        <v>4109</v>
      </c>
      <c r="M180" s="154" t="str">
        <f t="shared" si="1"/>
        <v>VTE - GOLF R</v>
      </c>
      <c r="N180" s="155">
        <f>+IF(OR($Q180=Parametres!$G$2,$Q180=Parametres!$G$3),I180,C180)</f>
        <v>-219523.27</v>
      </c>
      <c r="O180" s="155">
        <f>+IF(OR($Q180=Parametres!$G$2,$Q180=Parametres!$G$3),J180,D180)</f>
        <v>0</v>
      </c>
      <c r="P180" s="155">
        <f>+IF(OR($Q180=Parametres!$G$2,$Q180=Parametres!$G$3),K180,E180)</f>
        <v>-219523.27</v>
      </c>
      <c r="Q180" s="154" t="str">
        <f t="shared" si="13"/>
        <v>5-Ventes</v>
      </c>
      <c r="R180" s="153" t="str">
        <f t="shared" si="13"/>
        <v>4109</v>
      </c>
      <c r="S180" s="154">
        <f t="shared" si="13"/>
        <v>0</v>
      </c>
      <c r="T180" s="156" t="str">
        <f>+VLOOKUP($L180,Data_Validation!$A:$D,1,0)</f>
        <v>4109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4" t="s">
        <v>2490</v>
      </c>
      <c r="B181" s="1014" t="s">
        <v>2491</v>
      </c>
      <c r="C181" s="1015"/>
      <c r="D181" s="1015"/>
      <c r="E181" s="1015"/>
      <c r="F181" s="1014" t="s">
        <v>4</v>
      </c>
      <c r="G181" s="1014" t="s">
        <v>2436</v>
      </c>
      <c r="H181" s="1015"/>
      <c r="I181" s="1016">
        <v>-5</v>
      </c>
      <c r="J181" s="1016">
        <v>0</v>
      </c>
      <c r="K181" s="1016">
        <v>-5</v>
      </c>
      <c r="L181" s="153" t="str">
        <f t="shared" si="0"/>
        <v>4109@</v>
      </c>
      <c r="M181" s="154" t="str">
        <f t="shared" si="1"/>
        <v># DE VENTE - GOLF R</v>
      </c>
      <c r="N181" s="155">
        <f>+IF(OR($Q181=Parametres!$G$2,$Q181=Parametres!$G$3),I181,C181)</f>
        <v>-5</v>
      </c>
      <c r="O181" s="155">
        <f>+IF(OR($Q181=Parametres!$G$2,$Q181=Parametres!$G$3),J181,D181)</f>
        <v>0</v>
      </c>
      <c r="P181" s="155">
        <f>+IF(OR($Q181=Parametres!$G$2,$Q181=Parametres!$G$3),K181,E181)</f>
        <v>-5</v>
      </c>
      <c r="Q181" s="154" t="str">
        <f t="shared" si="13"/>
        <v>10-Compte compteur</v>
      </c>
      <c r="R181" s="153" t="str">
        <f t="shared" si="13"/>
        <v>4109</v>
      </c>
      <c r="S181" s="154">
        <f t="shared" si="13"/>
        <v>0</v>
      </c>
      <c r="T181" s="156" t="str">
        <f>+VLOOKUP($L181,Data_Validation!$A:$D,1,0)</f>
        <v>4109@</v>
      </c>
      <c r="U181" s="156" t="str">
        <f>+VLOOKUP($L181,Data_Validation!$A:$D,3,0)</f>
        <v>Véhicules neufs</v>
      </c>
      <c r="V181" s="156" t="str">
        <f>+VLOOKUP($L181,Data_Validation!$A:$D,4,0)</f>
        <v>Autos détail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4" t="s">
        <v>2013</v>
      </c>
      <c r="B182" s="1014" t="s">
        <v>2014</v>
      </c>
      <c r="C182" s="1016">
        <v>-620921.86</v>
      </c>
      <c r="D182" s="1016">
        <v>-529525.31000000006</v>
      </c>
      <c r="E182" s="1016">
        <v>-1150447.17</v>
      </c>
      <c r="F182" s="1014" t="s">
        <v>285</v>
      </c>
      <c r="G182" s="1014" t="s">
        <v>2014</v>
      </c>
      <c r="H182" s="1015"/>
      <c r="I182" s="1015"/>
      <c r="J182" s="1015"/>
      <c r="K182" s="1015"/>
      <c r="L182" s="153" t="str">
        <f t="shared" si="0"/>
        <v>4111</v>
      </c>
      <c r="M182" s="154" t="str">
        <f t="shared" si="1"/>
        <v>VTE - JETTA</v>
      </c>
      <c r="N182" s="155">
        <f>+IF(OR($Q182=Parametres!$G$2,$Q182=Parametres!$G$3),I182,C182)</f>
        <v>-620921.86</v>
      </c>
      <c r="O182" s="155">
        <f>+IF(OR($Q182=Parametres!$G$2,$Q182=Parametres!$G$3),J182,D182)</f>
        <v>-529525.31000000006</v>
      </c>
      <c r="P182" s="155">
        <f>+IF(OR($Q182=Parametres!$G$2,$Q182=Parametres!$G$3),K182,E182)</f>
        <v>-1150447.17</v>
      </c>
      <c r="Q182" s="154" t="str">
        <f t="shared" si="13"/>
        <v>5-Ventes</v>
      </c>
      <c r="R182" s="153" t="str">
        <f t="shared" si="13"/>
        <v>4111</v>
      </c>
      <c r="S182" s="154">
        <f t="shared" si="13"/>
        <v>0</v>
      </c>
      <c r="T182" s="156" t="str">
        <f>+VLOOKUP($L182,Data_Validation!$A:$D,1,0)</f>
        <v>4111</v>
      </c>
      <c r="U182" s="156" t="str">
        <f>+VLOOKUP($L182,Data_Validation!$A:$D,3,0)</f>
        <v>Véhicules neufs</v>
      </c>
      <c r="V182" s="156" t="str">
        <f>+VLOOKUP($L182,Data_Validation!$A:$D,4,0)</f>
        <v>Autos détail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4" t="s">
        <v>2492</v>
      </c>
      <c r="B183" s="1014" t="s">
        <v>2493</v>
      </c>
      <c r="C183" s="1015"/>
      <c r="D183" s="1015"/>
      <c r="E183" s="1015"/>
      <c r="F183" s="1014" t="s">
        <v>4</v>
      </c>
      <c r="G183" s="1014" t="s">
        <v>2014</v>
      </c>
      <c r="H183" s="1015"/>
      <c r="I183" s="1016">
        <v>-25</v>
      </c>
      <c r="J183" s="1016">
        <v>-19</v>
      </c>
      <c r="K183" s="1016">
        <v>-44</v>
      </c>
      <c r="L183" s="153" t="str">
        <f t="shared" si="0"/>
        <v>4111@</v>
      </c>
      <c r="M183" s="154" t="str">
        <f t="shared" si="1"/>
        <v>UNITES VENDUES - JETTA</v>
      </c>
      <c r="N183" s="155">
        <f>+IF(OR($Q183=Parametres!$G$2,$Q183=Parametres!$G$3),I183,C183)</f>
        <v>-25</v>
      </c>
      <c r="O183" s="155">
        <f>+IF(OR($Q183=Parametres!$G$2,$Q183=Parametres!$G$3),J183,D183)</f>
        <v>-19</v>
      </c>
      <c r="P183" s="155">
        <f>+IF(OR($Q183=Parametres!$G$2,$Q183=Parametres!$G$3),K183,E183)</f>
        <v>-44</v>
      </c>
      <c r="Q183" s="154" t="str">
        <f t="shared" si="13"/>
        <v>10-Compte compteur</v>
      </c>
      <c r="R183" s="153" t="str">
        <f t="shared" si="13"/>
        <v>4111</v>
      </c>
      <c r="S183" s="154">
        <f t="shared" si="13"/>
        <v>0</v>
      </c>
      <c r="T183" s="156" t="str">
        <f>+VLOOKUP($L183,Data_Validation!$A:$D,1,0)</f>
        <v>4111@</v>
      </c>
      <c r="U183" s="156" t="str">
        <f>+VLOOKUP($L183,Data_Validation!$A:$D,3,0)</f>
        <v>Véhicules neufs</v>
      </c>
      <c r="V183" s="156" t="str">
        <f>+VLOOKUP($L183,Data_Validation!$A:$D,4,0)</f>
        <v>Autos détail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customHeight="1">
      <c r="A184" s="1014" t="s">
        <v>2437</v>
      </c>
      <c r="B184" s="1014" t="s">
        <v>2438</v>
      </c>
      <c r="C184" s="1016">
        <v>-304390.38</v>
      </c>
      <c r="D184" s="1016">
        <v>-170455.7</v>
      </c>
      <c r="E184" s="1016">
        <v>-474846.08</v>
      </c>
      <c r="F184" s="1014" t="s">
        <v>285</v>
      </c>
      <c r="G184" s="1014" t="s">
        <v>2438</v>
      </c>
      <c r="H184" s="1015"/>
      <c r="I184" s="1015"/>
      <c r="J184" s="1015"/>
      <c r="K184" s="1015"/>
      <c r="L184" s="153" t="str">
        <f t="shared" si="0"/>
        <v>4113</v>
      </c>
      <c r="M184" s="154" t="str">
        <f t="shared" si="1"/>
        <v>VTE - GOLF (FAMILIALE)</v>
      </c>
      <c r="N184" s="155">
        <f>+IF(OR($Q184=Parametres!$G$2,$Q184=Parametres!$G$3),I184,C184)</f>
        <v>-304390.38</v>
      </c>
      <c r="O184" s="155">
        <f>+IF(OR($Q184=Parametres!$G$2,$Q184=Parametres!$G$3),J184,D184)</f>
        <v>-170455.7</v>
      </c>
      <c r="P184" s="155">
        <f>+IF(OR($Q184=Parametres!$G$2,$Q184=Parametres!$G$3),K184,E184)</f>
        <v>-474846.08</v>
      </c>
      <c r="Q184" s="154" t="str">
        <f t="shared" si="13"/>
        <v>5-Ventes</v>
      </c>
      <c r="R184" s="153" t="str">
        <f t="shared" si="13"/>
        <v>4113</v>
      </c>
      <c r="S184" s="154">
        <f t="shared" si="13"/>
        <v>0</v>
      </c>
      <c r="T184" s="156" t="str">
        <f>+VLOOKUP($L184,Data_Validation!$A:$D,1,0)</f>
        <v>4113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customHeight="1">
      <c r="A185" s="1014" t="s">
        <v>2494</v>
      </c>
      <c r="B185" s="1014" t="s">
        <v>2495</v>
      </c>
      <c r="C185" s="1015"/>
      <c r="D185" s="1015"/>
      <c r="E185" s="1015"/>
      <c r="F185" s="1014" t="s">
        <v>4</v>
      </c>
      <c r="G185" s="1014" t="s">
        <v>2438</v>
      </c>
      <c r="H185" s="1015"/>
      <c r="I185" s="1016">
        <v>-9</v>
      </c>
      <c r="J185" s="1016">
        <v>-6</v>
      </c>
      <c r="K185" s="1016">
        <v>-15</v>
      </c>
      <c r="L185" s="153" t="str">
        <f t="shared" si="0"/>
        <v>4113@</v>
      </c>
      <c r="M185" s="154" t="str">
        <f t="shared" si="1"/>
        <v>UNITES VENDUES - GOLF (FAMILIALE)</v>
      </c>
      <c r="N185" s="155">
        <f>+IF(OR($Q185=Parametres!$G$2,$Q185=Parametres!$G$3),I185,C185)</f>
        <v>-9</v>
      </c>
      <c r="O185" s="155">
        <f>+IF(OR($Q185=Parametres!$G$2,$Q185=Parametres!$G$3),J185,D185)</f>
        <v>-6</v>
      </c>
      <c r="P185" s="155">
        <f>+IF(OR($Q185=Parametres!$G$2,$Q185=Parametres!$G$3),K185,E185)</f>
        <v>-15</v>
      </c>
      <c r="Q185" s="154" t="str">
        <f t="shared" si="13"/>
        <v>10-Compte compteur</v>
      </c>
      <c r="R185" s="153" t="str">
        <f t="shared" si="13"/>
        <v>4113</v>
      </c>
      <c r="S185" s="154">
        <f t="shared" si="13"/>
        <v>0</v>
      </c>
      <c r="T185" s="156" t="str">
        <f>+VLOOKUP($L185,Data_Validation!$A:$D,1,0)</f>
        <v>4113@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customHeight="1">
      <c r="A186" s="1014" t="s">
        <v>2439</v>
      </c>
      <c r="B186" s="1014" t="s">
        <v>2440</v>
      </c>
      <c r="C186" s="1016">
        <v>0</v>
      </c>
      <c r="D186" s="1016">
        <v>-37395.17</v>
      </c>
      <c r="E186" s="1016">
        <v>-37395.17</v>
      </c>
      <c r="F186" s="1014" t="s">
        <v>285</v>
      </c>
      <c r="G186" s="1014" t="s">
        <v>2440</v>
      </c>
      <c r="H186" s="1015"/>
      <c r="I186" s="1015"/>
      <c r="J186" s="1015"/>
      <c r="K186" s="1015"/>
      <c r="L186" s="153" t="str">
        <f t="shared" si="0"/>
        <v>4115</v>
      </c>
      <c r="M186" s="154" t="str">
        <f t="shared" si="1"/>
        <v>VTE - PASSAT BERLINE</v>
      </c>
      <c r="N186" s="155">
        <f>+IF(OR($Q186=Parametres!$G$2,$Q186=Parametres!$G$3),I186,C186)</f>
        <v>0</v>
      </c>
      <c r="O186" s="155">
        <f>+IF(OR($Q186=Parametres!$G$2,$Q186=Parametres!$G$3),J186,D186)</f>
        <v>-37395.17</v>
      </c>
      <c r="P186" s="155">
        <f>+IF(OR($Q186=Parametres!$G$2,$Q186=Parametres!$G$3),K186,E186)</f>
        <v>-37395.17</v>
      </c>
      <c r="Q186" s="154" t="str">
        <f t="shared" si="13"/>
        <v>5-Ventes</v>
      </c>
      <c r="R186" s="153" t="str">
        <f t="shared" si="13"/>
        <v>4115</v>
      </c>
      <c r="S186" s="154">
        <f t="shared" si="13"/>
        <v>0</v>
      </c>
      <c r="T186" s="156" t="str">
        <f>+VLOOKUP($L186,Data_Validation!$A:$D,1,0)</f>
        <v>4115</v>
      </c>
      <c r="U186" s="156" t="str">
        <f>+VLOOKUP($L186,Data_Validation!$A:$D,3,0)</f>
        <v>Véhicules neufs</v>
      </c>
      <c r="V186" s="156" t="str">
        <f>+VLOOKUP($L186,Data_Validation!$A:$D,4,0)</f>
        <v>Autos détail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customHeight="1">
      <c r="A187" s="1014" t="s">
        <v>2496</v>
      </c>
      <c r="B187" s="1014" t="s">
        <v>2497</v>
      </c>
      <c r="C187" s="1015"/>
      <c r="D187" s="1015"/>
      <c r="E187" s="1015"/>
      <c r="F187" s="1014" t="s">
        <v>4</v>
      </c>
      <c r="G187" s="1014" t="s">
        <v>2440</v>
      </c>
      <c r="H187" s="1015"/>
      <c r="I187" s="1016">
        <v>0</v>
      </c>
      <c r="J187" s="1016">
        <v>-1</v>
      </c>
      <c r="K187" s="1016">
        <v>-1</v>
      </c>
      <c r="L187" s="153" t="str">
        <f t="shared" si="0"/>
        <v>4115@</v>
      </c>
      <c r="M187" s="154" t="str">
        <f t="shared" si="1"/>
        <v>PASSAT SEDAN</v>
      </c>
      <c r="N187" s="155">
        <f>+IF(OR($Q187=Parametres!$G$2,$Q187=Parametres!$G$3),I187,C187)</f>
        <v>0</v>
      </c>
      <c r="O187" s="155">
        <f>+IF(OR($Q187=Parametres!$G$2,$Q187=Parametres!$G$3),J187,D187)</f>
        <v>-1</v>
      </c>
      <c r="P187" s="155">
        <f>+IF(OR($Q187=Parametres!$G$2,$Q187=Parametres!$G$3),K187,E187)</f>
        <v>-1</v>
      </c>
      <c r="Q187" s="154" t="str">
        <f t="shared" si="13"/>
        <v>10-Compte compteur</v>
      </c>
      <c r="R187" s="153" t="str">
        <f t="shared" si="13"/>
        <v>4115</v>
      </c>
      <c r="S187" s="154">
        <f t="shared" si="13"/>
        <v>0</v>
      </c>
      <c r="T187" s="156" t="str">
        <f>+VLOOKUP($L187,Data_Validation!$A:$D,1,0)</f>
        <v>4115@</v>
      </c>
      <c r="U187" s="156" t="str">
        <f>+VLOOKUP($L187,Data_Validation!$A:$D,3,0)</f>
        <v>Véhicules neufs</v>
      </c>
      <c r="V187" s="156" t="str">
        <f>+VLOOKUP($L187,Data_Validation!$A:$D,4,0)</f>
        <v>Autos détail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customHeight="1">
      <c r="A188" s="1014" t="s">
        <v>2002</v>
      </c>
      <c r="B188" s="1014" t="s">
        <v>2003</v>
      </c>
      <c r="C188" s="1016">
        <v>-500455.96</v>
      </c>
      <c r="D188" s="1016">
        <v>-361523.25</v>
      </c>
      <c r="E188" s="1016">
        <v>-861979.21</v>
      </c>
      <c r="F188" s="1014" t="s">
        <v>285</v>
      </c>
      <c r="G188" s="1014" t="s">
        <v>2003</v>
      </c>
      <c r="H188" s="1015"/>
      <c r="I188" s="1015"/>
      <c r="J188" s="1015"/>
      <c r="K188" s="1015"/>
      <c r="L188" s="153" t="str">
        <f t="shared" si="0"/>
        <v>4119</v>
      </c>
      <c r="M188" s="154" t="str">
        <f t="shared" si="1"/>
        <v>VTE - ATLAS</v>
      </c>
      <c r="N188" s="155">
        <f>+IF(OR($Q188=Parametres!$G$2,$Q188=Parametres!$G$3),I188,C188)</f>
        <v>-500455.96</v>
      </c>
      <c r="O188" s="155">
        <f>+IF(OR($Q188=Parametres!$G$2,$Q188=Parametres!$G$3),J188,D188)</f>
        <v>-361523.25</v>
      </c>
      <c r="P188" s="155">
        <f>+IF(OR($Q188=Parametres!$G$2,$Q188=Parametres!$G$3),K188,E188)</f>
        <v>-861979.21</v>
      </c>
      <c r="Q188" s="154" t="str">
        <f t="shared" si="13"/>
        <v>5-Ventes</v>
      </c>
      <c r="R188" s="153" t="str">
        <f t="shared" si="13"/>
        <v>4119</v>
      </c>
      <c r="S188" s="154">
        <f t="shared" si="13"/>
        <v>0</v>
      </c>
      <c r="T188" s="156" t="str">
        <f>+VLOOKUP($L188,Data_Validation!$A:$D,1,0)</f>
        <v>4119</v>
      </c>
      <c r="U188" s="156" t="str">
        <f>+VLOOKUP($L188,Data_Validation!$A:$D,3,0)</f>
        <v>Véhicules neufs</v>
      </c>
      <c r="V188" s="156" t="str">
        <f>+VLOOKUP($L188,Data_Validation!$A:$D,4,0)</f>
        <v>Camions détail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customHeight="1">
      <c r="A189" s="1014" t="s">
        <v>2498</v>
      </c>
      <c r="B189" s="1014" t="s">
        <v>2499</v>
      </c>
      <c r="C189" s="1015"/>
      <c r="D189" s="1015"/>
      <c r="E189" s="1015"/>
      <c r="F189" s="1014" t="s">
        <v>4</v>
      </c>
      <c r="G189" s="1014" t="s">
        <v>2003</v>
      </c>
      <c r="H189" s="1015"/>
      <c r="I189" s="1016">
        <v>-10</v>
      </c>
      <c r="J189" s="1016">
        <v>-7</v>
      </c>
      <c r="K189" s="1016">
        <v>-17</v>
      </c>
      <c r="L189" s="153" t="str">
        <f t="shared" si="0"/>
        <v>4119@</v>
      </c>
      <c r="M189" s="154" t="str">
        <f t="shared" si="1"/>
        <v># DE VTE - ATLAS</v>
      </c>
      <c r="N189" s="155">
        <f>+IF(OR($Q189=Parametres!$G$2,$Q189=Parametres!$G$3),I189,C189)</f>
        <v>-10</v>
      </c>
      <c r="O189" s="155">
        <f>+IF(OR($Q189=Parametres!$G$2,$Q189=Parametres!$G$3),J189,D189)</f>
        <v>-7</v>
      </c>
      <c r="P189" s="155">
        <f>+IF(OR($Q189=Parametres!$G$2,$Q189=Parametres!$G$3),K189,E189)</f>
        <v>-17</v>
      </c>
      <c r="Q189" s="154" t="str">
        <f t="shared" si="13"/>
        <v>10-Compte compteur</v>
      </c>
      <c r="R189" s="153" t="str">
        <f t="shared" si="13"/>
        <v>4119</v>
      </c>
      <c r="S189" s="154">
        <f t="shared" si="13"/>
        <v>0</v>
      </c>
      <c r="T189" s="156" t="str">
        <f>+VLOOKUP($L189,Data_Validation!$A:$D,1,0)</f>
        <v>4119@</v>
      </c>
      <c r="U189" s="156" t="str">
        <f>+VLOOKUP($L189,Data_Validation!$A:$D,3,0)</f>
        <v>Véhicules neufs</v>
      </c>
      <c r="V189" s="156" t="str">
        <f>+VLOOKUP($L189,Data_Validation!$A:$D,4,0)</f>
        <v>Camions détail</v>
      </c>
      <c r="W189" s="156" t="str">
        <f>+VLOOKUP($L189,Data_Validation!$A:$E,5,0)</f>
        <v>NB</v>
      </c>
      <c r="X189" s="156">
        <f>+VLOOKUP($L189,Data_Validation!$A:$F,6,0)</f>
        <v>0</v>
      </c>
    </row>
    <row r="190" spans="1:24" ht="15" customHeight="1">
      <c r="A190" s="1014" t="s">
        <v>2030</v>
      </c>
      <c r="B190" s="1014" t="s">
        <v>2031</v>
      </c>
      <c r="C190" s="1016">
        <v>-73310.95</v>
      </c>
      <c r="D190" s="1016">
        <v>-71149.02</v>
      </c>
      <c r="E190" s="1016">
        <v>-144459.97</v>
      </c>
      <c r="F190" s="1014" t="s">
        <v>285</v>
      </c>
      <c r="G190" s="1014" t="s">
        <v>2031</v>
      </c>
      <c r="H190" s="1015"/>
      <c r="I190" s="1015"/>
      <c r="J190" s="1015"/>
      <c r="K190" s="1015"/>
      <c r="L190" s="153" t="str">
        <f t="shared" si="0"/>
        <v>4127</v>
      </c>
      <c r="M190" s="154" t="str">
        <f t="shared" si="1"/>
        <v>VTE - GOLF GTI</v>
      </c>
      <c r="N190" s="155">
        <f>+IF(OR($Q190=Parametres!$G$2,$Q190=Parametres!$G$3),I190,C190)</f>
        <v>-73310.95</v>
      </c>
      <c r="O190" s="155">
        <f>+IF(OR($Q190=Parametres!$G$2,$Q190=Parametres!$G$3),J190,D190)</f>
        <v>-71149.02</v>
      </c>
      <c r="P190" s="155">
        <f>+IF(OR($Q190=Parametres!$G$2,$Q190=Parametres!$G$3),K190,E190)</f>
        <v>-144459.97</v>
      </c>
      <c r="Q190" s="154" t="str">
        <f t="shared" si="13"/>
        <v>5-Ventes</v>
      </c>
      <c r="R190" s="153" t="str">
        <f t="shared" si="13"/>
        <v>4127</v>
      </c>
      <c r="S190" s="154">
        <f t="shared" si="13"/>
        <v>0</v>
      </c>
      <c r="T190" s="156" t="str">
        <f>+VLOOKUP($L190,Data_Validation!$A:$D,1,0)</f>
        <v>4127</v>
      </c>
      <c r="U190" s="156" t="str">
        <f>+VLOOKUP($L190,Data_Validation!$A:$D,3,0)</f>
        <v>Véhicules neufs</v>
      </c>
      <c r="V190" s="156" t="str">
        <f>+VLOOKUP($L190,Data_Validation!$A:$D,4,0)</f>
        <v>Autos détail</v>
      </c>
      <c r="W190" s="156" t="str">
        <f>+VLOOKUP($L190,Data_Validation!$A:$E,5,0)</f>
        <v>$</v>
      </c>
      <c r="X190" s="156" t="str">
        <f>+VLOOKUP($L190,Data_Validation!$A:$F,6,0)</f>
        <v>Oui</v>
      </c>
    </row>
    <row r="191" spans="1:24" ht="15" customHeight="1">
      <c r="A191" s="1014" t="s">
        <v>2500</v>
      </c>
      <c r="B191" s="1014" t="s">
        <v>2501</v>
      </c>
      <c r="C191" s="1015"/>
      <c r="D191" s="1015"/>
      <c r="E191" s="1015"/>
      <c r="F191" s="1014" t="s">
        <v>4</v>
      </c>
      <c r="G191" s="1014" t="s">
        <v>2031</v>
      </c>
      <c r="H191" s="1015"/>
      <c r="I191" s="1016">
        <v>-2</v>
      </c>
      <c r="J191" s="1016">
        <v>-2</v>
      </c>
      <c r="K191" s="1016">
        <v>-4</v>
      </c>
      <c r="L191" s="153" t="str">
        <f t="shared" si="0"/>
        <v>4127@</v>
      </c>
      <c r="M191" s="154" t="str">
        <f t="shared" si="1"/>
        <v># DE VENTE - GOLF GTI</v>
      </c>
      <c r="N191" s="155">
        <f>+IF(OR($Q191=Parametres!$G$2,$Q191=Parametres!$G$3),I191,C191)</f>
        <v>-2</v>
      </c>
      <c r="O191" s="155">
        <f>+IF(OR($Q191=Parametres!$G$2,$Q191=Parametres!$G$3),J191,D191)</f>
        <v>-2</v>
      </c>
      <c r="P191" s="155">
        <f>+IF(OR($Q191=Parametres!$G$2,$Q191=Parametres!$G$3),K191,E191)</f>
        <v>-4</v>
      </c>
      <c r="Q191" s="154" t="str">
        <f t="shared" si="13"/>
        <v>10-Compte compteur</v>
      </c>
      <c r="R191" s="153" t="str">
        <f t="shared" si="13"/>
        <v>4127</v>
      </c>
      <c r="S191" s="154">
        <f t="shared" si="13"/>
        <v>0</v>
      </c>
      <c r="T191" s="156" t="str">
        <f>+VLOOKUP($L191,Data_Validation!$A:$D,1,0)</f>
        <v>4127@</v>
      </c>
      <c r="U191" s="156" t="str">
        <f>+VLOOKUP($L191,Data_Validation!$A:$D,3,0)</f>
        <v>Véhicules neufs</v>
      </c>
      <c r="V191" s="156" t="str">
        <f>+VLOOKUP($L191,Data_Validation!$A:$D,4,0)</f>
        <v>Autos détail</v>
      </c>
      <c r="W191" s="156" t="str">
        <f>+VLOOKUP($L191,Data_Validation!$A:$E,5,0)</f>
        <v>NB</v>
      </c>
      <c r="X191" s="156">
        <f>+VLOOKUP($L191,Data_Validation!$A:$F,6,0)</f>
        <v>0</v>
      </c>
    </row>
    <row r="192" spans="1:24" ht="15" customHeight="1">
      <c r="A192" s="1014" t="s">
        <v>1998</v>
      </c>
      <c r="B192" s="1014" t="s">
        <v>1999</v>
      </c>
      <c r="C192" s="1016">
        <v>-1624501.08</v>
      </c>
      <c r="D192" s="1016">
        <v>-1025377.53</v>
      </c>
      <c r="E192" s="1016">
        <v>-2649878.61</v>
      </c>
      <c r="F192" s="1014" t="s">
        <v>285</v>
      </c>
      <c r="G192" s="1014" t="s">
        <v>1999</v>
      </c>
      <c r="H192" s="1015"/>
      <c r="I192" s="1015"/>
      <c r="J192" s="1015"/>
      <c r="K192" s="1015"/>
      <c r="L192" s="153" t="str">
        <f t="shared" si="0"/>
        <v>4131</v>
      </c>
      <c r="M192" s="154" t="str">
        <f t="shared" si="1"/>
        <v>VTE - TIGUAN LWB</v>
      </c>
      <c r="N192" s="155">
        <f>+IF(OR($Q192=Parametres!$G$2,$Q192=Parametres!$G$3),I192,C192)</f>
        <v>-1624501.08</v>
      </c>
      <c r="O192" s="155">
        <f>+IF(OR($Q192=Parametres!$G$2,$Q192=Parametres!$G$3),J192,D192)</f>
        <v>-1025377.53</v>
      </c>
      <c r="P192" s="155">
        <f>+IF(OR($Q192=Parametres!$G$2,$Q192=Parametres!$G$3),K192,E192)</f>
        <v>-2649878.61</v>
      </c>
      <c r="Q192" s="154" t="str">
        <f t="shared" si="13"/>
        <v>5-Ventes</v>
      </c>
      <c r="R192" s="153" t="str">
        <f t="shared" si="13"/>
        <v>4131</v>
      </c>
      <c r="S192" s="154">
        <f t="shared" si="13"/>
        <v>0</v>
      </c>
      <c r="T192" s="156" t="str">
        <f>+VLOOKUP($L192,Data_Validation!$A:$D,1,0)</f>
        <v>4131</v>
      </c>
      <c r="U192" s="156" t="str">
        <f>+VLOOKUP($L192,Data_Validation!$A:$D,3,0)</f>
        <v>Véhicules neufs</v>
      </c>
      <c r="V192" s="156" t="str">
        <f>+VLOOKUP($L192,Data_Validation!$A:$D,4,0)</f>
        <v>Camions détail</v>
      </c>
      <c r="W192" s="156" t="str">
        <f>+VLOOKUP($L192,Data_Validation!$A:$E,5,0)</f>
        <v>$</v>
      </c>
      <c r="X192" s="156" t="str">
        <f>+VLOOKUP($L192,Data_Validation!$A:$F,6,0)</f>
        <v>Oui</v>
      </c>
    </row>
    <row r="193" spans="1:24" ht="15" customHeight="1">
      <c r="A193" s="1014" t="s">
        <v>2502</v>
      </c>
      <c r="B193" s="1014" t="s">
        <v>2503</v>
      </c>
      <c r="C193" s="1015"/>
      <c r="D193" s="1015"/>
      <c r="E193" s="1015"/>
      <c r="F193" s="1014" t="s">
        <v>4</v>
      </c>
      <c r="G193" s="1014" t="s">
        <v>1999</v>
      </c>
      <c r="H193" s="1015"/>
      <c r="I193" s="1016">
        <v>-43</v>
      </c>
      <c r="J193" s="1016">
        <v>-27</v>
      </c>
      <c r="K193" s="1016">
        <v>-70</v>
      </c>
      <c r="L193" s="153" t="str">
        <f t="shared" si="0"/>
        <v>4131@</v>
      </c>
      <c r="M193" s="154" t="str">
        <f t="shared" si="1"/>
        <v># DE VTE - TIGUAN LWB</v>
      </c>
      <c r="N193" s="155">
        <f>+IF(OR($Q193=Parametres!$G$2,$Q193=Parametres!$G$3),I193,C193)</f>
        <v>-43</v>
      </c>
      <c r="O193" s="155">
        <f>+IF(OR($Q193=Parametres!$G$2,$Q193=Parametres!$G$3),J193,D193)</f>
        <v>-27</v>
      </c>
      <c r="P193" s="155">
        <f>+IF(OR($Q193=Parametres!$G$2,$Q193=Parametres!$G$3),K193,E193)</f>
        <v>-70</v>
      </c>
      <c r="Q193" s="154" t="str">
        <f t="shared" si="13"/>
        <v>10-Compte compteur</v>
      </c>
      <c r="R193" s="153" t="str">
        <f t="shared" si="13"/>
        <v>4131</v>
      </c>
      <c r="S193" s="154">
        <f t="shared" si="13"/>
        <v>0</v>
      </c>
      <c r="T193" s="156" t="str">
        <f>+VLOOKUP($L193,Data_Validation!$A:$D,1,0)</f>
        <v>4131@</v>
      </c>
      <c r="U193" s="156" t="str">
        <f>+VLOOKUP($L193,Data_Validation!$A:$D,3,0)</f>
        <v>Véhicules neufs</v>
      </c>
      <c r="V193" s="156" t="str">
        <f>+VLOOKUP($L193,Data_Validation!$A:$D,4,0)</f>
        <v>Camions détail</v>
      </c>
      <c r="W193" s="156" t="str">
        <f>+VLOOKUP($L193,Data_Validation!$A:$E,5,0)</f>
        <v>NB</v>
      </c>
      <c r="X193" s="156">
        <f>+VLOOKUP($L193,Data_Validation!$A:$F,6,0)</f>
        <v>0</v>
      </c>
    </row>
    <row r="194" spans="1:24" ht="15.75" customHeight="1">
      <c r="A194" s="1014" t="s">
        <v>2028</v>
      </c>
      <c r="B194" s="1014" t="s">
        <v>2029</v>
      </c>
      <c r="C194" s="1016">
        <v>-246063.52</v>
      </c>
      <c r="D194" s="1016">
        <v>-79313.679999999993</v>
      </c>
      <c r="E194" s="1016">
        <v>-325377.2</v>
      </c>
      <c r="F194" s="1014" t="s">
        <v>285</v>
      </c>
      <c r="G194" s="1014" t="s">
        <v>2029</v>
      </c>
      <c r="H194" s="1015"/>
      <c r="I194" s="1015"/>
      <c r="J194" s="1015"/>
      <c r="K194" s="1015"/>
      <c r="L194" s="153" t="str">
        <f t="shared" si="0"/>
        <v>4135</v>
      </c>
      <c r="M194" s="154" t="str">
        <f t="shared" si="1"/>
        <v>VTE - EGOLF</v>
      </c>
      <c r="N194" s="155">
        <f>+IF(OR($Q194=Parametres!$G$2,$Q194=Parametres!$G$3),I194,C194)</f>
        <v>-246063.52</v>
      </c>
      <c r="O194" s="155">
        <f>+IF(OR($Q194=Parametres!$G$2,$Q194=Parametres!$G$3),J194,D194)</f>
        <v>-79313.679999999993</v>
      </c>
      <c r="P194" s="155">
        <f>+IF(OR($Q194=Parametres!$G$2,$Q194=Parametres!$G$3),K194,E194)</f>
        <v>-325377.2</v>
      </c>
      <c r="Q194" s="154" t="str">
        <f t="shared" ref="Q194:S209" si="14">+F194</f>
        <v>5-Ventes</v>
      </c>
      <c r="R194" s="153" t="str">
        <f t="shared" si="14"/>
        <v>4135</v>
      </c>
      <c r="S194" s="154">
        <f t="shared" si="14"/>
        <v>0</v>
      </c>
      <c r="T194" s="156" t="str">
        <f>+VLOOKUP($L194,Data_Validation!$A:$D,1,0)</f>
        <v>4135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 t="str">
        <f>+VLOOKUP($L194,Data_Validation!$A:$F,6,0)</f>
        <v>Oui</v>
      </c>
    </row>
    <row r="195" spans="1:24" ht="15" customHeight="1">
      <c r="A195" s="1014" t="s">
        <v>2504</v>
      </c>
      <c r="B195" s="1014" t="s">
        <v>2505</v>
      </c>
      <c r="C195" s="1036"/>
      <c r="D195" s="1036"/>
      <c r="E195" s="1036"/>
      <c r="F195" s="1014" t="s">
        <v>4</v>
      </c>
      <c r="G195" s="1014" t="s">
        <v>2506</v>
      </c>
      <c r="H195" s="1015"/>
      <c r="I195" s="1016">
        <v>-6</v>
      </c>
      <c r="J195" s="1016">
        <v>-2</v>
      </c>
      <c r="K195" s="1016">
        <v>-8</v>
      </c>
      <c r="L195" s="153" t="str">
        <f t="shared" si="0"/>
        <v>4135@</v>
      </c>
      <c r="M195" s="154" t="str">
        <f t="shared" si="1"/>
        <v>UNITES VENDUES - EGOLF</v>
      </c>
      <c r="N195" s="155">
        <f>+IF(OR($Q195=Parametres!$G$2,$Q195=Parametres!$G$3),I195,C195)</f>
        <v>-6</v>
      </c>
      <c r="O195" s="155">
        <f>+IF(OR($Q195=Parametres!$G$2,$Q195=Parametres!$G$3),J195,D195)</f>
        <v>-2</v>
      </c>
      <c r="P195" s="155">
        <f>+IF(OR($Q195=Parametres!$G$2,$Q195=Parametres!$G$3),K195,E195)</f>
        <v>-8</v>
      </c>
      <c r="Q195" s="154" t="str">
        <f t="shared" si="14"/>
        <v>10-Compte compteur</v>
      </c>
      <c r="R195" s="153" t="str">
        <f t="shared" si="14"/>
        <v>84135</v>
      </c>
      <c r="S195" s="154">
        <f t="shared" si="14"/>
        <v>0</v>
      </c>
      <c r="T195" s="156" t="str">
        <f>+VLOOKUP($L195,Data_Validation!$A:$D,1,0)</f>
        <v>4135@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NB</v>
      </c>
      <c r="X195" s="156">
        <f>+VLOOKUP($L195,Data_Validation!$A:$F,6,0)</f>
        <v>0</v>
      </c>
    </row>
    <row r="196" spans="1:24" ht="15" customHeight="1">
      <c r="A196" s="1014" t="s">
        <v>2443</v>
      </c>
      <c r="B196" s="1014" t="s">
        <v>2444</v>
      </c>
      <c r="C196" s="1016">
        <v>-655118.6</v>
      </c>
      <c r="D196" s="1016">
        <v>-537468.29</v>
      </c>
      <c r="E196" s="1016">
        <v>-1192586.8899999999</v>
      </c>
      <c r="F196" s="1014" t="s">
        <v>285</v>
      </c>
      <c r="G196" s="1014" t="s">
        <v>2444</v>
      </c>
      <c r="H196" s="1015"/>
      <c r="I196" s="1015"/>
      <c r="J196" s="1015"/>
      <c r="K196" s="1015"/>
      <c r="L196" s="153" t="str">
        <f t="shared" si="0"/>
        <v>4211</v>
      </c>
      <c r="M196" s="154" t="str">
        <f t="shared" si="1"/>
        <v>VTE - VW USAGES DETAIL</v>
      </c>
      <c r="N196" s="155">
        <f>+IF(OR($Q196=Parametres!$G$2,$Q196=Parametres!$G$3),I196,C196)</f>
        <v>-655118.6</v>
      </c>
      <c r="O196" s="155">
        <f>+IF(OR($Q196=Parametres!$G$2,$Q196=Parametres!$G$3),J196,D196)</f>
        <v>-537468.29</v>
      </c>
      <c r="P196" s="155">
        <f>+IF(OR($Q196=Parametres!$G$2,$Q196=Parametres!$G$3),K196,E196)</f>
        <v>-1192586.8899999999</v>
      </c>
      <c r="Q196" s="154" t="str">
        <f t="shared" si="14"/>
        <v>5-Ventes</v>
      </c>
      <c r="R196" s="153" t="str">
        <f t="shared" si="14"/>
        <v>4211</v>
      </c>
      <c r="S196" s="154">
        <f t="shared" si="14"/>
        <v>0</v>
      </c>
      <c r="T196" s="156" t="str">
        <f>+VLOOKUP($L196,Data_Validation!$A:$D,1,0)</f>
        <v>4211</v>
      </c>
      <c r="U196" s="156" t="str">
        <f>+VLOOKUP($L196,Data_Validation!$A:$D,3,0)</f>
        <v>Véhicules usagés</v>
      </c>
      <c r="V196" s="156" t="str">
        <f>+VLOOKUP($L196,Data_Validation!$A:$D,4,0)</f>
        <v>Non Certifié</v>
      </c>
      <c r="W196" s="156" t="str">
        <f>+VLOOKUP($L196,Data_Validation!$A:$E,5,0)</f>
        <v>$</v>
      </c>
      <c r="X196" s="156" t="str">
        <f>+VLOOKUP($L196,Data_Validation!$A:$F,6,0)</f>
        <v>Oui</v>
      </c>
    </row>
    <row r="197" spans="1:24" ht="15" customHeight="1">
      <c r="A197" s="1014" t="s">
        <v>2513</v>
      </c>
      <c r="B197" s="1014" t="s">
        <v>2514</v>
      </c>
      <c r="C197" s="1036"/>
      <c r="D197" s="1036"/>
      <c r="E197" s="1036"/>
      <c r="F197" s="1014" t="s">
        <v>4</v>
      </c>
      <c r="G197" s="1014" t="s">
        <v>2444</v>
      </c>
      <c r="H197" s="1015"/>
      <c r="I197" s="1016">
        <v>-34</v>
      </c>
      <c r="J197" s="1016">
        <v>-29</v>
      </c>
      <c r="K197" s="1016">
        <v>-63</v>
      </c>
      <c r="L197" s="153" t="str">
        <f t="shared" si="0"/>
        <v>4211@</v>
      </c>
      <c r="M197" s="154" t="str">
        <f t="shared" si="1"/>
        <v>VENTES USED DET. CHAMBLY</v>
      </c>
      <c r="N197" s="155">
        <f>+IF(OR($Q197=Parametres!$G$2,$Q197=Parametres!$G$3),I197,C197)</f>
        <v>-34</v>
      </c>
      <c r="O197" s="155">
        <f>+IF(OR($Q197=Parametres!$G$2,$Q197=Parametres!$G$3),J197,D197)</f>
        <v>-29</v>
      </c>
      <c r="P197" s="155">
        <f>+IF(OR($Q197=Parametres!$G$2,$Q197=Parametres!$G$3),K197,E197)</f>
        <v>-63</v>
      </c>
      <c r="Q197" s="154" t="str">
        <f t="shared" si="14"/>
        <v>10-Compte compteur</v>
      </c>
      <c r="R197" s="153" t="str">
        <f t="shared" si="14"/>
        <v>4211</v>
      </c>
      <c r="S197" s="154">
        <f t="shared" si="14"/>
        <v>0</v>
      </c>
      <c r="T197" s="156" t="str">
        <f>+VLOOKUP($L197,Data_Validation!$A:$D,1,0)</f>
        <v>4211@</v>
      </c>
      <c r="U197" s="156" t="str">
        <f>+VLOOKUP($L197,Data_Validation!$A:$D,3,0)</f>
        <v>Véhicules usagés</v>
      </c>
      <c r="V197" s="156" t="str">
        <f>+VLOOKUP($L197,Data_Validation!$A:$D,4,0)</f>
        <v>Non Certifié</v>
      </c>
      <c r="W197" s="156" t="str">
        <f>+VLOOKUP($L197,Data_Validation!$A:$E,5,0)</f>
        <v>NB</v>
      </c>
      <c r="X197" s="156">
        <f>+VLOOKUP($L197,Data_Validation!$A:$F,6,0)</f>
        <v>0</v>
      </c>
    </row>
    <row r="198" spans="1:24" ht="15" customHeight="1">
      <c r="A198" s="1014" t="s">
        <v>2038</v>
      </c>
      <c r="B198" s="1014" t="s">
        <v>2039</v>
      </c>
      <c r="C198" s="1016">
        <v>-208022.85</v>
      </c>
      <c r="D198" s="1016">
        <v>-66648</v>
      </c>
      <c r="E198" s="1016">
        <v>-274670.84999999998</v>
      </c>
      <c r="F198" s="1014" t="s">
        <v>285</v>
      </c>
      <c r="G198" s="1014" t="s">
        <v>2040</v>
      </c>
      <c r="H198" s="1015"/>
      <c r="I198" s="1015"/>
      <c r="J198" s="1015"/>
      <c r="K198" s="1015"/>
      <c r="L198" s="153" t="str">
        <f t="shared" si="0"/>
        <v>4285</v>
      </c>
      <c r="M198" s="154" t="str">
        <f t="shared" si="1"/>
        <v>VEH. D'OCC. AUTRE DETAIL</v>
      </c>
      <c r="N198" s="155">
        <f>+IF(OR($Q198=Parametres!$G$2,$Q198=Parametres!$G$3),I198,C198)</f>
        <v>-208022.85</v>
      </c>
      <c r="O198" s="155">
        <f>+IF(OR($Q198=Parametres!$G$2,$Q198=Parametres!$G$3),J198,D198)</f>
        <v>-66648</v>
      </c>
      <c r="P198" s="155">
        <f>+IF(OR($Q198=Parametres!$G$2,$Q198=Parametres!$G$3),K198,E198)</f>
        <v>-274670.84999999998</v>
      </c>
      <c r="Q198" s="154" t="str">
        <f t="shared" si="14"/>
        <v>5-Ventes</v>
      </c>
      <c r="R198" s="153" t="str">
        <f t="shared" si="14"/>
        <v>4261</v>
      </c>
      <c r="S198" s="154">
        <f t="shared" si="14"/>
        <v>0</v>
      </c>
      <c r="T198" s="156" t="str">
        <f>+VLOOKUP($L198,Data_Validation!$A:$D,1,0)</f>
        <v>4285</v>
      </c>
      <c r="U198" s="156" t="str">
        <f>+VLOOKUP($L198,Data_Validation!$A:$D,3,0)</f>
        <v>Véhicules usagés</v>
      </c>
      <c r="V198" s="156" t="str">
        <f>+VLOOKUP($L198,Data_Validation!$A:$D,4,0)</f>
        <v>Non Certifié</v>
      </c>
      <c r="W198" s="156" t="str">
        <f>+VLOOKUP($L198,Data_Validation!$A:$E,5,0)</f>
        <v>$</v>
      </c>
      <c r="X198" s="156" t="str">
        <f>+VLOOKUP($L198,Data_Validation!$A:$F,6,0)</f>
        <v>Oui</v>
      </c>
    </row>
    <row r="199" spans="1:24" ht="15.75" customHeight="1">
      <c r="A199" s="1014" t="s">
        <v>2515</v>
      </c>
      <c r="B199" s="1014" t="s">
        <v>2516</v>
      </c>
      <c r="C199" s="1036"/>
      <c r="D199" s="1036"/>
      <c r="E199" s="1036"/>
      <c r="F199" s="1014" t="s">
        <v>4</v>
      </c>
      <c r="G199" s="1014" t="s">
        <v>2040</v>
      </c>
      <c r="H199" s="1015"/>
      <c r="I199" s="1016">
        <v>-12</v>
      </c>
      <c r="J199" s="1016">
        <v>-4</v>
      </c>
      <c r="K199" s="1016">
        <v>-16</v>
      </c>
      <c r="L199" s="153" t="str">
        <f t="shared" si="0"/>
        <v>4285@</v>
      </c>
      <c r="M199" s="154" t="str">
        <f t="shared" si="1"/>
        <v>AUTRE MARQUES DETAIL - USAGE</v>
      </c>
      <c r="N199" s="155">
        <f>+IF(OR($Q199=Parametres!$G$2,$Q199=Parametres!$G$3),I199,C199)</f>
        <v>-12</v>
      </c>
      <c r="O199" s="155">
        <f>+IF(OR($Q199=Parametres!$G$2,$Q199=Parametres!$G$3),J199,D199)</f>
        <v>-4</v>
      </c>
      <c r="P199" s="155">
        <f>+IF(OR($Q199=Parametres!$G$2,$Q199=Parametres!$G$3),K199,E199)</f>
        <v>-16</v>
      </c>
      <c r="Q199" s="154" t="str">
        <f t="shared" si="14"/>
        <v>10-Compte compteur</v>
      </c>
      <c r="R199" s="153" t="str">
        <f t="shared" si="14"/>
        <v>4261</v>
      </c>
      <c r="S199" s="154">
        <f t="shared" si="14"/>
        <v>0</v>
      </c>
      <c r="T199" s="156" t="str">
        <f>+VLOOKUP($L199,Data_Validation!$A:$D,1,0)</f>
        <v>4285@</v>
      </c>
      <c r="U199" s="156" t="str">
        <f>+VLOOKUP($L199,Data_Validation!$A:$D,3,0)</f>
        <v>Véhicules usagés</v>
      </c>
      <c r="V199" s="156" t="str">
        <f>+VLOOKUP($L199,Data_Validation!$A:$D,4,0)</f>
        <v>Non Certifié</v>
      </c>
      <c r="W199" s="156" t="str">
        <f>+VLOOKUP($L199,Data_Validation!$A:$E,5,0)</f>
        <v>NB</v>
      </c>
      <c r="X199" s="156">
        <f>+VLOOKUP($L199,Data_Validation!$A:$F,6,0)</f>
        <v>0</v>
      </c>
    </row>
    <row r="200" spans="1:24" ht="15" customHeight="1">
      <c r="A200" s="1014" t="s">
        <v>2006</v>
      </c>
      <c r="B200" s="1014" t="s">
        <v>2007</v>
      </c>
      <c r="C200" s="1016">
        <v>-407413.5</v>
      </c>
      <c r="D200" s="1016">
        <v>-106707</v>
      </c>
      <c r="E200" s="1016">
        <v>-514120.5</v>
      </c>
      <c r="F200" s="1014" t="s">
        <v>285</v>
      </c>
      <c r="G200" s="1014" t="s">
        <v>2008</v>
      </c>
      <c r="H200" s="1015"/>
      <c r="I200" s="1015"/>
      <c r="J200" s="1015"/>
      <c r="K200" s="1015"/>
      <c r="L200" s="153" t="str">
        <f t="shared" si="0"/>
        <v>4291</v>
      </c>
      <c r="M200" s="154" t="str">
        <f t="shared" si="1"/>
        <v>VEH. D'OCC. AU GROS</v>
      </c>
      <c r="N200" s="155">
        <f>+IF(OR($Q200=Parametres!$G$2,$Q200=Parametres!$G$3),I200,C200)</f>
        <v>-407413.5</v>
      </c>
      <c r="O200" s="155">
        <f>+IF(OR($Q200=Parametres!$G$2,$Q200=Parametres!$G$3),J200,D200)</f>
        <v>-106707</v>
      </c>
      <c r="P200" s="155">
        <f>+IF(OR($Q200=Parametres!$G$2,$Q200=Parametres!$G$3),K200,E200)</f>
        <v>-514120.5</v>
      </c>
      <c r="Q200" s="154" t="str">
        <f t="shared" si="14"/>
        <v>5-Ventes</v>
      </c>
      <c r="R200" s="153" t="str">
        <f t="shared" si="14"/>
        <v>4281</v>
      </c>
      <c r="S200" s="154">
        <f t="shared" si="14"/>
        <v>0</v>
      </c>
      <c r="T200" s="156" t="str">
        <f>+VLOOKUP($L200,Data_Validation!$A:$D,1,0)</f>
        <v>4291</v>
      </c>
      <c r="U200" s="156" t="str">
        <f>+VLOOKUP($L200,Data_Validation!$A:$D,3,0)</f>
        <v>Véhicules usagés</v>
      </c>
      <c r="V200" s="156" t="str">
        <f>+VLOOKUP($L200,Data_Validation!$A:$D,4,0)</f>
        <v>Ventes au Gros</v>
      </c>
      <c r="W200" s="156" t="str">
        <f>+VLOOKUP($L200,Data_Validation!$A:$E,5,0)</f>
        <v>$</v>
      </c>
      <c r="X200" s="156" t="str">
        <f>+VLOOKUP($L200,Data_Validation!$A:$F,6,0)</f>
        <v>Oui</v>
      </c>
    </row>
    <row r="201" spans="1:24" ht="15" customHeight="1">
      <c r="A201" s="1014" t="s">
        <v>2517</v>
      </c>
      <c r="B201" s="1014" t="s">
        <v>2518</v>
      </c>
      <c r="C201" s="1036"/>
      <c r="D201" s="1036"/>
      <c r="E201" s="1036"/>
      <c r="F201" s="1014" t="s">
        <v>4</v>
      </c>
      <c r="G201" s="1014" t="s">
        <v>2008</v>
      </c>
      <c r="H201" s="1015"/>
      <c r="I201" s="1016">
        <v>-36</v>
      </c>
      <c r="J201" s="1016">
        <v>-15</v>
      </c>
      <c r="K201" s="1016">
        <v>-51</v>
      </c>
      <c r="L201" s="153" t="str">
        <f t="shared" si="0"/>
        <v>4291@</v>
      </c>
      <c r="M201" s="154" t="str">
        <f t="shared" si="1"/>
        <v>VENTE AU GROS - USAGES</v>
      </c>
      <c r="N201" s="155">
        <f>+IF(OR($Q201=Parametres!$G$2,$Q201=Parametres!$G$3),I201,C201)</f>
        <v>-36</v>
      </c>
      <c r="O201" s="155">
        <f>+IF(OR($Q201=Parametres!$G$2,$Q201=Parametres!$G$3),J201,D201)</f>
        <v>-15</v>
      </c>
      <c r="P201" s="155">
        <f>+IF(OR($Q201=Parametres!$G$2,$Q201=Parametres!$G$3),K201,E201)</f>
        <v>-51</v>
      </c>
      <c r="Q201" s="154" t="str">
        <f t="shared" si="14"/>
        <v>10-Compte compteur</v>
      </c>
      <c r="R201" s="153" t="str">
        <f t="shared" si="14"/>
        <v>4281</v>
      </c>
      <c r="S201" s="154">
        <f t="shared" si="14"/>
        <v>0</v>
      </c>
      <c r="T201" s="156" t="str">
        <f>+VLOOKUP($L201,Data_Validation!$A:$D,1,0)</f>
        <v>4291@</v>
      </c>
      <c r="U201" s="156" t="str">
        <f>+VLOOKUP($L201,Data_Validation!$A:$D,3,0)</f>
        <v>Véhicules usagés</v>
      </c>
      <c r="V201" s="156" t="str">
        <f>+VLOOKUP($L201,Data_Validation!$A:$D,4,0)</f>
        <v>Ventes au Gros</v>
      </c>
      <c r="W201" s="156" t="str">
        <f>+VLOOKUP($L201,Data_Validation!$A:$E,5,0)</f>
        <v>NB</v>
      </c>
      <c r="X201" s="156">
        <f>+VLOOKUP($L201,Data_Validation!$A:$F,6,0)</f>
        <v>0</v>
      </c>
    </row>
    <row r="202" spans="1:24" ht="15" customHeight="1">
      <c r="A202" s="1014" t="s">
        <v>2011</v>
      </c>
      <c r="B202" s="1014" t="s">
        <v>2012</v>
      </c>
      <c r="C202" s="1016">
        <v>-138797.51</v>
      </c>
      <c r="D202" s="1016">
        <v>-82275.63</v>
      </c>
      <c r="E202" s="1016">
        <v>-221073.14</v>
      </c>
      <c r="F202" s="1014" t="s">
        <v>285</v>
      </c>
      <c r="G202" s="1014" t="s">
        <v>2012</v>
      </c>
      <c r="H202" s="1015"/>
      <c r="I202" s="1015"/>
      <c r="J202" s="1015"/>
      <c r="K202" s="1015"/>
      <c r="L202" s="153" t="str">
        <f t="shared" si="0"/>
        <v>4401</v>
      </c>
      <c r="M202" s="154" t="str">
        <f t="shared" si="1"/>
        <v>M.O. MECANIQUE-VENTE CLIENTS</v>
      </c>
      <c r="N202" s="155">
        <f>+IF(OR($Q202=Parametres!$G$2,$Q202=Parametres!$G$3),I202,C202)</f>
        <v>-138797.51</v>
      </c>
      <c r="O202" s="155">
        <f>+IF(OR($Q202=Parametres!$G$2,$Q202=Parametres!$G$3),J202,D202)</f>
        <v>-82275.63</v>
      </c>
      <c r="P202" s="155">
        <f>+IF(OR($Q202=Parametres!$G$2,$Q202=Parametres!$G$3),K202,E202)</f>
        <v>-221073.14</v>
      </c>
      <c r="Q202" s="154" t="str">
        <f t="shared" si="14"/>
        <v>5-Ventes</v>
      </c>
      <c r="R202" s="153" t="str">
        <f t="shared" si="14"/>
        <v>4401</v>
      </c>
      <c r="S202" s="154">
        <f t="shared" si="14"/>
        <v>0</v>
      </c>
      <c r="T202" s="156" t="str">
        <f>+VLOOKUP($L202,Data_Validation!$A:$D,1,0)</f>
        <v>4401</v>
      </c>
      <c r="U202" s="156" t="str">
        <f>+VLOOKUP($L202,Data_Validation!$A:$D,3,0)</f>
        <v>Service</v>
      </c>
      <c r="V202" s="156" t="str">
        <f>+VLOOKUP($L202,Data_Validation!$A:$D,4,0)</f>
        <v>M/O Client</v>
      </c>
      <c r="W202" s="156" t="str">
        <f>+VLOOKUP($L202,Data_Validation!$A:$E,5,0)</f>
        <v>$</v>
      </c>
      <c r="X202" s="156" t="str">
        <f>+VLOOKUP($L202,Data_Validation!$A:$F,6,0)</f>
        <v>Oui</v>
      </c>
    </row>
    <row r="203" spans="1:24" ht="15" customHeight="1">
      <c r="A203" s="1014" t="s">
        <v>2011</v>
      </c>
      <c r="B203" s="1014" t="s">
        <v>2519</v>
      </c>
      <c r="C203" s="1036"/>
      <c r="D203" s="1015"/>
      <c r="E203" s="1036"/>
      <c r="F203" s="1014" t="s">
        <v>4</v>
      </c>
      <c r="G203" s="1014" t="s">
        <v>2012</v>
      </c>
      <c r="H203" s="1015"/>
      <c r="I203" s="1016">
        <v>-600</v>
      </c>
      <c r="J203" s="1016">
        <v>-344</v>
      </c>
      <c r="K203" s="1016">
        <v>-944</v>
      </c>
      <c r="L203" s="153" t="str">
        <f t="shared" si="0"/>
        <v>4401@</v>
      </c>
      <c r="M203" s="154" t="str">
        <f t="shared" si="1"/>
        <v>M.O. MECANIQUE-VENTE CLIENTS</v>
      </c>
      <c r="N203" s="155">
        <f>+IF(OR($Q203=Parametres!$G$2,$Q203=Parametres!$G$3),I203,C203)</f>
        <v>-600</v>
      </c>
      <c r="O203" s="155">
        <f>+IF(OR($Q203=Parametres!$G$2,$Q203=Parametres!$G$3),J203,D203)</f>
        <v>-344</v>
      </c>
      <c r="P203" s="155">
        <f>+IF(OR($Q203=Parametres!$G$2,$Q203=Parametres!$G$3),K203,E203)</f>
        <v>-944</v>
      </c>
      <c r="Q203" s="154" t="str">
        <f t="shared" si="14"/>
        <v>10-Compte compteur</v>
      </c>
      <c r="R203" s="153" t="str">
        <f t="shared" si="14"/>
        <v>4401</v>
      </c>
      <c r="S203" s="154">
        <f t="shared" si="14"/>
        <v>0</v>
      </c>
      <c r="T203" s="156" t="str">
        <f>+VLOOKUP($L203,Data_Validation!$A:$D,1,0)</f>
        <v>4401@</v>
      </c>
      <c r="U203" s="156" t="str">
        <f>+VLOOKUP($L203,Data_Validation!$A:$D,3,0)</f>
        <v>Service</v>
      </c>
      <c r="V203" s="156" t="str">
        <f>+VLOOKUP($L203,Data_Validation!$A:$D,4,0)</f>
        <v>M/O Client</v>
      </c>
      <c r="W203" s="156" t="str">
        <f>+VLOOKUP($L203,Data_Validation!$A:$E,5,0)</f>
        <v>NB</v>
      </c>
      <c r="X203" s="156">
        <f>+VLOOKUP($L203,Data_Validation!$A:$F,6,0)</f>
        <v>0</v>
      </c>
    </row>
    <row r="204" spans="1:24" ht="15" customHeight="1">
      <c r="A204" s="1014" t="s">
        <v>2191</v>
      </c>
      <c r="B204" s="1014" t="s">
        <v>2192</v>
      </c>
      <c r="C204" s="1016">
        <v>-49.94</v>
      </c>
      <c r="D204" s="1016">
        <v>0</v>
      </c>
      <c r="E204" s="1016">
        <v>-49.94</v>
      </c>
      <c r="F204" s="1014" t="s">
        <v>285</v>
      </c>
      <c r="G204" s="1014" t="s">
        <v>2192</v>
      </c>
      <c r="H204" s="1015"/>
      <c r="I204" s="1015"/>
      <c r="J204" s="1015"/>
      <c r="K204" s="1015"/>
      <c r="L204" s="153" t="str">
        <f t="shared" si="0"/>
        <v>4402</v>
      </c>
      <c r="M204" s="154" t="str">
        <f t="shared" si="1"/>
        <v>VTE - M.O. ESTHETIQUE CLIENT</v>
      </c>
      <c r="N204" s="155">
        <f>+IF(OR($Q204=Parametres!$G$2,$Q204=Parametres!$G$3),I204,C204)</f>
        <v>-49.94</v>
      </c>
      <c r="O204" s="155">
        <f>+IF(OR($Q204=Parametres!$G$2,$Q204=Parametres!$G$3),J204,D204)</f>
        <v>0</v>
      </c>
      <c r="P204" s="155">
        <f>+IF(OR($Q204=Parametres!$G$2,$Q204=Parametres!$G$3),K204,E204)</f>
        <v>-49.94</v>
      </c>
      <c r="Q204" s="154" t="str">
        <f t="shared" si="14"/>
        <v>5-Ventes</v>
      </c>
      <c r="R204" s="153" t="str">
        <f t="shared" si="14"/>
        <v>4402</v>
      </c>
      <c r="S204" s="154">
        <f t="shared" si="14"/>
        <v>0</v>
      </c>
      <c r="T204" s="156" t="str">
        <f>+VLOOKUP($L204,Data_Validation!$A:$D,1,0)</f>
        <v>4402</v>
      </c>
      <c r="U204" s="156" t="str">
        <f>+VLOOKUP($L204,Data_Validation!$A:$D,3,0)</f>
        <v>Service</v>
      </c>
      <c r="V204" s="156" t="str">
        <f>+VLOOKUP($L204,Data_Validation!$A:$D,4,0)</f>
        <v>M/O Esthétique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customHeight="1">
      <c r="A205" s="1014" t="s">
        <v>2041</v>
      </c>
      <c r="B205" s="1014" t="s">
        <v>2042</v>
      </c>
      <c r="C205" s="1036">
        <v>-114108.5</v>
      </c>
      <c r="D205" s="1036">
        <v>-64816.27</v>
      </c>
      <c r="E205" s="1036">
        <v>-178924.77</v>
      </c>
      <c r="F205" s="1014" t="s">
        <v>285</v>
      </c>
      <c r="G205" s="1014" t="s">
        <v>2042</v>
      </c>
      <c r="H205" s="1015"/>
      <c r="I205" s="1016"/>
      <c r="J205" s="1016"/>
      <c r="K205" s="1016"/>
      <c r="L205" s="153" t="str">
        <f t="shared" si="0"/>
        <v>4403</v>
      </c>
      <c r="M205" s="154" t="str">
        <f t="shared" si="1"/>
        <v>M.O. MECANIQUE-VENTE GAR. MANU</v>
      </c>
      <c r="N205" s="155">
        <f>+IF(OR($Q205=Parametres!$G$2,$Q205=Parametres!$G$3),I205,C205)</f>
        <v>-114108.5</v>
      </c>
      <c r="O205" s="155">
        <f>+IF(OR($Q205=Parametres!$G$2,$Q205=Parametres!$G$3),J205,D205)</f>
        <v>-64816.27</v>
      </c>
      <c r="P205" s="155">
        <f>+IF(OR($Q205=Parametres!$G$2,$Q205=Parametres!$G$3),K205,E205)</f>
        <v>-178924.77</v>
      </c>
      <c r="Q205" s="154" t="str">
        <f t="shared" si="14"/>
        <v>5-Ventes</v>
      </c>
      <c r="R205" s="153" t="str">
        <f t="shared" si="14"/>
        <v>4403</v>
      </c>
      <c r="S205" s="154">
        <f t="shared" si="14"/>
        <v>0</v>
      </c>
      <c r="T205" s="156" t="str">
        <f>+VLOOKUP($L205,Data_Validation!$A:$D,1,0)</f>
        <v>4403</v>
      </c>
      <c r="U205" s="156" t="str">
        <f>+VLOOKUP($L205,Data_Validation!$A:$D,3,0)</f>
        <v>Service</v>
      </c>
      <c r="V205" s="156" t="str">
        <f>+VLOOKUP($L205,Data_Validation!$A:$D,4,0)</f>
        <v>M/O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4" t="s">
        <v>2041</v>
      </c>
      <c r="B206" s="1014" t="s">
        <v>2522</v>
      </c>
      <c r="C206" s="1016"/>
      <c r="D206" s="1016"/>
      <c r="E206" s="1016"/>
      <c r="F206" s="1014" t="s">
        <v>4</v>
      </c>
      <c r="G206" s="1014" t="s">
        <v>2042</v>
      </c>
      <c r="H206" s="1015"/>
      <c r="I206" s="1015">
        <v>-520</v>
      </c>
      <c r="J206" s="1015">
        <v>-282</v>
      </c>
      <c r="K206" s="1015">
        <v>-802</v>
      </c>
      <c r="L206" s="153" t="str">
        <f t="shared" si="0"/>
        <v>4403@</v>
      </c>
      <c r="M206" s="154" t="str">
        <f t="shared" si="1"/>
        <v>M.O. MECANIQUE-VENTE GAR. MANU</v>
      </c>
      <c r="N206" s="155">
        <f>+IF(OR($Q206=Parametres!$G$2,$Q206=Parametres!$G$3),I206,C206)</f>
        <v>-520</v>
      </c>
      <c r="O206" s="155">
        <f>+IF(OR($Q206=Parametres!$G$2,$Q206=Parametres!$G$3),J206,D206)</f>
        <v>-282</v>
      </c>
      <c r="P206" s="155">
        <f>+IF(OR($Q206=Parametres!$G$2,$Q206=Parametres!$G$3),K206,E206)</f>
        <v>-802</v>
      </c>
      <c r="Q206" s="154" t="str">
        <f t="shared" si="14"/>
        <v>10-Compte compteur</v>
      </c>
      <c r="R206" s="153" t="str">
        <f t="shared" si="14"/>
        <v>4403</v>
      </c>
      <c r="S206" s="154">
        <f t="shared" si="14"/>
        <v>0</v>
      </c>
      <c r="T206" s="156" t="str">
        <f>+VLOOKUP($L206,Data_Validation!$A:$D,1,0)</f>
        <v>4403@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4" t="s">
        <v>2051</v>
      </c>
      <c r="B207" s="1014" t="s">
        <v>2052</v>
      </c>
      <c r="C207" s="1036">
        <v>-79844.429999999993</v>
      </c>
      <c r="D207" s="1036">
        <v>-38804.76</v>
      </c>
      <c r="E207" s="1036">
        <v>-118649.19</v>
      </c>
      <c r="F207" s="1014" t="s">
        <v>285</v>
      </c>
      <c r="G207" s="1014" t="s">
        <v>2052</v>
      </c>
      <c r="H207" s="1015"/>
      <c r="I207" s="1016"/>
      <c r="J207" s="1016"/>
      <c r="K207" s="1016"/>
      <c r="L207" s="153" t="str">
        <f t="shared" si="0"/>
        <v>4405</v>
      </c>
      <c r="M207" s="154" t="str">
        <f t="shared" si="1"/>
        <v>M.O. MECANIQUE-VENTE INTERNE</v>
      </c>
      <c r="N207" s="155">
        <f>+IF(OR($Q207=Parametres!$G$2,$Q207=Parametres!$G$3),I207,C207)</f>
        <v>-79844.429999999993</v>
      </c>
      <c r="O207" s="155">
        <f>+IF(OR($Q207=Parametres!$G$2,$Q207=Parametres!$G$3),J207,D207)</f>
        <v>-38804.76</v>
      </c>
      <c r="P207" s="155">
        <f>+IF(OR($Q207=Parametres!$G$2,$Q207=Parametres!$G$3),K207,E207)</f>
        <v>-118649.19</v>
      </c>
      <c r="Q207" s="154" t="str">
        <f t="shared" si="14"/>
        <v>5-Ventes</v>
      </c>
      <c r="R207" s="153" t="str">
        <f t="shared" si="14"/>
        <v>4405</v>
      </c>
      <c r="S207" s="154">
        <f t="shared" si="14"/>
        <v>0</v>
      </c>
      <c r="T207" s="156" t="str">
        <f>+VLOOKUP($L207,Data_Validation!$A:$D,1,0)</f>
        <v>4405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4" t="s">
        <v>2051</v>
      </c>
      <c r="B208" s="1014" t="s">
        <v>2523</v>
      </c>
      <c r="C208" s="1016"/>
      <c r="D208" s="1016"/>
      <c r="E208" s="1016"/>
      <c r="F208" s="1014" t="s">
        <v>4</v>
      </c>
      <c r="G208" s="1014" t="s">
        <v>2052</v>
      </c>
      <c r="H208" s="1015"/>
      <c r="I208" s="1015">
        <v>-443</v>
      </c>
      <c r="J208" s="1015">
        <v>-214</v>
      </c>
      <c r="K208" s="1015">
        <v>-657</v>
      </c>
      <c r="L208" s="153" t="str">
        <f t="shared" si="0"/>
        <v>4405@</v>
      </c>
      <c r="M208" s="154" t="str">
        <f t="shared" si="1"/>
        <v>M.O. MECANIQUE-VENTE INTERNE</v>
      </c>
      <c r="N208" s="155">
        <f>+IF(OR($Q208=Parametres!$G$2,$Q208=Parametres!$G$3),I208,C208)</f>
        <v>-443</v>
      </c>
      <c r="O208" s="155">
        <f>+IF(OR($Q208=Parametres!$G$2,$Q208=Parametres!$G$3),J208,D208)</f>
        <v>-214</v>
      </c>
      <c r="P208" s="155">
        <f>+IF(OR($Q208=Parametres!$G$2,$Q208=Parametres!$G$3),K208,E208)</f>
        <v>-657</v>
      </c>
      <c r="Q208" s="154" t="str">
        <f t="shared" si="14"/>
        <v>10-Compte compteur</v>
      </c>
      <c r="R208" s="153" t="str">
        <f t="shared" si="14"/>
        <v>4405</v>
      </c>
      <c r="S208" s="154">
        <f t="shared" si="14"/>
        <v>0</v>
      </c>
      <c r="T208" s="156" t="str">
        <f>+VLOOKUP($L208,Data_Validation!$A:$D,1,0)</f>
        <v>4405@</v>
      </c>
      <c r="U208" s="156" t="str">
        <f>+VLOOKUP($L208,Data_Validation!$A:$D,3,0)</f>
        <v>Service</v>
      </c>
      <c r="V208" s="156" t="str">
        <f>+VLOOKUP($L208,Data_Validation!$A:$D,4,0)</f>
        <v>M/O Interne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4" t="s">
        <v>2071</v>
      </c>
      <c r="B209" s="1014" t="s">
        <v>2072</v>
      </c>
      <c r="C209" s="1036">
        <v>-25824.32</v>
      </c>
      <c r="D209" s="1036">
        <v>-14977.23</v>
      </c>
      <c r="E209" s="1036">
        <v>-40801.550000000003</v>
      </c>
      <c r="F209" s="1014" t="s">
        <v>285</v>
      </c>
      <c r="G209" s="1014" t="s">
        <v>2073</v>
      </c>
      <c r="H209" s="1015"/>
      <c r="I209" s="1016"/>
      <c r="J209" s="1016"/>
      <c r="K209" s="1016"/>
      <c r="L209" s="153" t="str">
        <f t="shared" si="0"/>
        <v>4451</v>
      </c>
      <c r="M209" s="154" t="str">
        <f t="shared" si="1"/>
        <v>CARBURANT/HUILE/GRAISSE</v>
      </c>
      <c r="N209" s="155">
        <f>+IF(OR($Q209=Parametres!$G$2,$Q209=Parametres!$G$3),I209,C209)</f>
        <v>-25824.32</v>
      </c>
      <c r="O209" s="155">
        <f>+IF(OR($Q209=Parametres!$G$2,$Q209=Parametres!$G$3),J209,D209)</f>
        <v>-14977.23</v>
      </c>
      <c r="P209" s="155">
        <f>+IF(OR($Q209=Parametres!$G$2,$Q209=Parametres!$G$3),K209,E209)</f>
        <v>-40801.550000000003</v>
      </c>
      <c r="Q209" s="154" t="str">
        <f t="shared" si="14"/>
        <v>5-Ventes</v>
      </c>
      <c r="R209" s="153" t="str">
        <f t="shared" si="14"/>
        <v>4782</v>
      </c>
      <c r="S209" s="154">
        <f t="shared" si="14"/>
        <v>0</v>
      </c>
      <c r="T209" s="156" t="str">
        <f>+VLOOKUP($L209,Data_Validation!$A:$D,1,0)</f>
        <v>4451</v>
      </c>
      <c r="U209" s="156" t="str">
        <f>+VLOOKUP($L209,Data_Validation!$A:$D,3,0)</f>
        <v>Pièces</v>
      </c>
      <c r="V209" s="156" t="str">
        <f>+VLOOKUP($L209,Data_Validation!$A:$D,4,0)</f>
        <v>Huiles et Graisse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4" t="s">
        <v>2071</v>
      </c>
      <c r="B210" s="1014" t="s">
        <v>2526</v>
      </c>
      <c r="C210" s="1016"/>
      <c r="D210" s="1016"/>
      <c r="E210" s="1016"/>
      <c r="F210" s="1014" t="s">
        <v>4</v>
      </c>
      <c r="G210" s="1014" t="s">
        <v>2073</v>
      </c>
      <c r="H210" s="1015"/>
      <c r="I210" s="1015">
        <v>-471</v>
      </c>
      <c r="J210" s="1015">
        <v>-267</v>
      </c>
      <c r="K210" s="1015">
        <v>-738</v>
      </c>
      <c r="L210" s="153" t="str">
        <f t="shared" si="0"/>
        <v>4451@</v>
      </c>
      <c r="M210" s="154" t="str">
        <f t="shared" si="1"/>
        <v>CARBURANT/HUILE/GRAISSE</v>
      </c>
      <c r="N210" s="155">
        <f>+IF(OR($Q210=Parametres!$G$2,$Q210=Parametres!$G$3),I210,C210)</f>
        <v>-471</v>
      </c>
      <c r="O210" s="155">
        <f>+IF(OR($Q210=Parametres!$G$2,$Q210=Parametres!$G$3),J210,D210)</f>
        <v>-267</v>
      </c>
      <c r="P210" s="155">
        <f>+IF(OR($Q210=Parametres!$G$2,$Q210=Parametres!$G$3),K210,E210)</f>
        <v>-738</v>
      </c>
      <c r="Q210" s="154" t="str">
        <f t="shared" ref="Q210:S225" si="15">+F210</f>
        <v>10-Compte compteur</v>
      </c>
      <c r="R210" s="153" t="str">
        <f t="shared" si="15"/>
        <v>4782</v>
      </c>
      <c r="S210" s="154">
        <f t="shared" si="15"/>
        <v>0</v>
      </c>
      <c r="T210" s="156" t="str">
        <f>+VLOOKUP($L210,Data_Validation!$A:$D,1,0)</f>
        <v>4451@</v>
      </c>
      <c r="U210" s="156" t="str">
        <f>+VLOOKUP($L210,Data_Validation!$A:$D,3,0)</f>
        <v>Pièces</v>
      </c>
      <c r="V210" s="156" t="str">
        <f>+VLOOKUP($L210,Data_Validation!$A:$D,4,0)</f>
        <v>Huiles et Graisse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4" t="s">
        <v>2144</v>
      </c>
      <c r="B211" s="1014" t="s">
        <v>2145</v>
      </c>
      <c r="C211" s="1036">
        <v>-2900.12</v>
      </c>
      <c r="D211" s="1036">
        <v>-2549.25</v>
      </c>
      <c r="E211" s="1036">
        <v>-5449.37</v>
      </c>
      <c r="F211" s="1014" t="s">
        <v>285</v>
      </c>
      <c r="G211" s="1014" t="s">
        <v>2145</v>
      </c>
      <c r="H211" s="1015"/>
      <c r="I211" s="1016"/>
      <c r="J211" s="1016"/>
      <c r="K211" s="1016"/>
      <c r="L211" s="153" t="str">
        <f t="shared" si="0"/>
        <v>4491</v>
      </c>
      <c r="M211" s="154" t="str">
        <f t="shared" si="1"/>
        <v>REPARATION SOUS-LOC. - GENERAL</v>
      </c>
      <c r="N211" s="155">
        <f>+IF(OR($Q211=Parametres!$G$2,$Q211=Parametres!$G$3),I211,C211)</f>
        <v>-2900.12</v>
      </c>
      <c r="O211" s="155">
        <f>+IF(OR($Q211=Parametres!$G$2,$Q211=Parametres!$G$3),J211,D211)</f>
        <v>-2549.25</v>
      </c>
      <c r="P211" s="155">
        <f>+IF(OR($Q211=Parametres!$G$2,$Q211=Parametres!$G$3),K211,E211)</f>
        <v>-5449.37</v>
      </c>
      <c r="Q211" s="154" t="str">
        <f t="shared" si="15"/>
        <v>5-Ventes</v>
      </c>
      <c r="R211" s="153" t="str">
        <f t="shared" si="15"/>
        <v>4491</v>
      </c>
      <c r="S211" s="154">
        <f t="shared" si="15"/>
        <v>0</v>
      </c>
      <c r="T211" s="156" t="str">
        <f>+VLOOKUP($L211,Data_Validation!$A:$D,1,0)</f>
        <v>4491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4" t="s">
        <v>2144</v>
      </c>
      <c r="B212" s="1014" t="s">
        <v>2527</v>
      </c>
      <c r="C212" s="1016"/>
      <c r="D212" s="1016"/>
      <c r="E212" s="1016"/>
      <c r="F212" s="1014" t="s">
        <v>4</v>
      </c>
      <c r="G212" s="1014" t="s">
        <v>2145</v>
      </c>
      <c r="H212" s="1015"/>
      <c r="I212" s="1015">
        <v>-22</v>
      </c>
      <c r="J212" s="1015">
        <v>-21</v>
      </c>
      <c r="K212" s="1015">
        <v>-43</v>
      </c>
      <c r="L212" s="153" t="str">
        <f t="shared" si="0"/>
        <v>4491@</v>
      </c>
      <c r="M212" s="154" t="str">
        <f t="shared" si="1"/>
        <v>REPARATION SOUS-LOC. - GENERAL</v>
      </c>
      <c r="N212" s="155">
        <f>+IF(OR($Q212=Parametres!$G$2,$Q212=Parametres!$G$3),I212,C212)</f>
        <v>-22</v>
      </c>
      <c r="O212" s="155">
        <f>+IF(OR($Q212=Parametres!$G$2,$Q212=Parametres!$G$3),J212,D212)</f>
        <v>-21</v>
      </c>
      <c r="P212" s="155">
        <f>+IF(OR($Q212=Parametres!$G$2,$Q212=Parametres!$G$3),K212,E212)</f>
        <v>-43</v>
      </c>
      <c r="Q212" s="154" t="str">
        <f t="shared" si="15"/>
        <v>10-Compte compteur</v>
      </c>
      <c r="R212" s="153" t="str">
        <f t="shared" si="15"/>
        <v>4491</v>
      </c>
      <c r="S212" s="154">
        <f t="shared" si="15"/>
        <v>0</v>
      </c>
      <c r="T212" s="156" t="str">
        <f>+VLOOKUP($L212,Data_Validation!$A:$D,1,0)</f>
        <v>4491@</v>
      </c>
      <c r="U212" s="156" t="str">
        <f>+VLOOKUP($L212,Data_Validation!$A:$D,3,0)</f>
        <v>Service</v>
      </c>
      <c r="V212" s="156" t="str">
        <f>+VLOOKUP($L212,Data_Validation!$A:$D,4,0)</f>
        <v>Sous-traitement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4" t="s">
        <v>2167</v>
      </c>
      <c r="B213" s="1014" t="s">
        <v>2168</v>
      </c>
      <c r="C213" s="1036">
        <v>-1499.06</v>
      </c>
      <c r="D213" s="1036">
        <v>-688</v>
      </c>
      <c r="E213" s="1036">
        <v>-2187.06</v>
      </c>
      <c r="F213" s="1014" t="s">
        <v>285</v>
      </c>
      <c r="G213" s="1014" t="s">
        <v>2168</v>
      </c>
      <c r="H213" s="1015"/>
      <c r="I213" s="1016"/>
      <c r="J213" s="1016"/>
      <c r="K213" s="1016"/>
      <c r="L213" s="153" t="str">
        <f t="shared" si="0"/>
        <v>4493</v>
      </c>
      <c r="M213" s="154" t="str">
        <f t="shared" si="1"/>
        <v>VTE - SOUS-TRAITANCE GARANTIE</v>
      </c>
      <c r="N213" s="155">
        <f>+IF(OR($Q213=Parametres!$G$2,$Q213=Parametres!$G$3),I213,C213)</f>
        <v>-1499.06</v>
      </c>
      <c r="O213" s="155">
        <f>+IF(OR($Q213=Parametres!$G$2,$Q213=Parametres!$G$3),J213,D213)</f>
        <v>-688</v>
      </c>
      <c r="P213" s="155">
        <f>+IF(OR($Q213=Parametres!$G$2,$Q213=Parametres!$G$3),K213,E213)</f>
        <v>-2187.06</v>
      </c>
      <c r="Q213" s="154" t="str">
        <f t="shared" si="15"/>
        <v>5-Ventes</v>
      </c>
      <c r="R213" s="153" t="str">
        <f t="shared" si="15"/>
        <v>4493</v>
      </c>
      <c r="S213" s="154">
        <f t="shared" si="15"/>
        <v>0</v>
      </c>
      <c r="T213" s="156" t="str">
        <f>+VLOOKUP($L213,Data_Validation!$A:$D,1,0)</f>
        <v>4493</v>
      </c>
      <c r="U213" s="156" t="str">
        <f>+VLOOKUP($L213,Data_Validation!$A:$D,3,0)</f>
        <v>Service</v>
      </c>
      <c r="V213" s="156" t="str">
        <f>+VLOOKUP($L213,Data_Validation!$A:$D,4,0)</f>
        <v>Sous-traitement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4" t="s">
        <v>2528</v>
      </c>
      <c r="B214" s="1014" t="s">
        <v>2529</v>
      </c>
      <c r="C214" s="1016"/>
      <c r="D214" s="1016"/>
      <c r="E214" s="1016"/>
      <c r="F214" s="1014" t="s">
        <v>4</v>
      </c>
      <c r="G214" s="1014" t="s">
        <v>2168</v>
      </c>
      <c r="H214" s="1015"/>
      <c r="I214" s="1015">
        <v>-13</v>
      </c>
      <c r="J214" s="1015">
        <v>-3</v>
      </c>
      <c r="K214" s="1015">
        <v>-16</v>
      </c>
      <c r="L214" s="153" t="str">
        <f t="shared" si="0"/>
        <v>4493@</v>
      </c>
      <c r="M214" s="154" t="str">
        <f t="shared" si="1"/>
        <v># DE VTE - SOUS-TRAITANCE GARANTIE</v>
      </c>
      <c r="N214" s="155">
        <f>+IF(OR($Q214=Parametres!$G$2,$Q214=Parametres!$G$3),I214,C214)</f>
        <v>-13</v>
      </c>
      <c r="O214" s="155">
        <f>+IF(OR($Q214=Parametres!$G$2,$Q214=Parametres!$G$3),J214,D214)</f>
        <v>-3</v>
      </c>
      <c r="P214" s="155">
        <f>+IF(OR($Q214=Parametres!$G$2,$Q214=Parametres!$G$3),K214,E214)</f>
        <v>-16</v>
      </c>
      <c r="Q214" s="154" t="str">
        <f t="shared" si="15"/>
        <v>10-Compte compteur</v>
      </c>
      <c r="R214" s="153" t="str">
        <f t="shared" si="15"/>
        <v>4493</v>
      </c>
      <c r="S214" s="154">
        <f t="shared" si="15"/>
        <v>0</v>
      </c>
      <c r="T214" s="156" t="str">
        <f>+VLOOKUP($L214,Data_Validation!$A:$D,1,0)</f>
        <v>4493@</v>
      </c>
      <c r="U214" s="156" t="str">
        <f>+VLOOKUP($L214,Data_Validation!$A:$D,3,0)</f>
        <v>Service</v>
      </c>
      <c r="V214" s="156" t="str">
        <f>+VLOOKUP($L214,Data_Validation!$A:$D,4,0)</f>
        <v>Sous-traitement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4" t="s">
        <v>2086</v>
      </c>
      <c r="B215" s="1014" t="s">
        <v>2087</v>
      </c>
      <c r="C215" s="1036">
        <v>-46219.65</v>
      </c>
      <c r="D215" s="1036">
        <v>-30772.59</v>
      </c>
      <c r="E215" s="1036">
        <v>-76992.240000000005</v>
      </c>
      <c r="F215" s="1014" t="s">
        <v>285</v>
      </c>
      <c r="G215" s="1014" t="s">
        <v>2087</v>
      </c>
      <c r="H215" s="1015"/>
      <c r="I215" s="1016"/>
      <c r="J215" s="1016"/>
      <c r="K215" s="1016"/>
      <c r="L215" s="153" t="str">
        <f t="shared" si="0"/>
        <v>4495</v>
      </c>
      <c r="M215" s="154" t="str">
        <f t="shared" si="1"/>
        <v>VTE - S-TRAITANCE MEC.INTERNE VW</v>
      </c>
      <c r="N215" s="155">
        <f>+IF(OR($Q215=Parametres!$G$2,$Q215=Parametres!$G$3),I215,C215)</f>
        <v>-46219.65</v>
      </c>
      <c r="O215" s="155">
        <f>+IF(OR($Q215=Parametres!$G$2,$Q215=Parametres!$G$3),J215,D215)</f>
        <v>-30772.59</v>
      </c>
      <c r="P215" s="155">
        <f>+IF(OR($Q215=Parametres!$G$2,$Q215=Parametres!$G$3),K215,E215)</f>
        <v>-76992.240000000005</v>
      </c>
      <c r="Q215" s="154" t="str">
        <f t="shared" si="15"/>
        <v>5-Ventes</v>
      </c>
      <c r="R215" s="153" t="str">
        <f t="shared" si="15"/>
        <v>4495</v>
      </c>
      <c r="S215" s="154">
        <f t="shared" si="15"/>
        <v>0</v>
      </c>
      <c r="T215" s="156" t="str">
        <f>+VLOOKUP($L215,Data_Validation!$A:$D,1,0)</f>
        <v>4495</v>
      </c>
      <c r="U215" s="156" t="str">
        <f>+VLOOKUP($L215,Data_Validation!$A:$D,3,0)</f>
        <v>Service</v>
      </c>
      <c r="V215" s="156" t="str">
        <f>+VLOOKUP($L215,Data_Validation!$A:$D,4,0)</f>
        <v>Sous-traitement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4" t="s">
        <v>2530</v>
      </c>
      <c r="B216" s="1014" t="s">
        <v>2531</v>
      </c>
      <c r="C216" s="1016"/>
      <c r="D216" s="1016"/>
      <c r="E216" s="1016"/>
      <c r="F216" s="1014" t="s">
        <v>4</v>
      </c>
      <c r="G216" s="1014" t="s">
        <v>2087</v>
      </c>
      <c r="H216" s="1015"/>
      <c r="I216" s="1015">
        <v>-280</v>
      </c>
      <c r="J216" s="1015">
        <v>-197</v>
      </c>
      <c r="K216" s="1015">
        <v>-477</v>
      </c>
      <c r="L216" s="153" t="str">
        <f t="shared" si="0"/>
        <v>4495@</v>
      </c>
      <c r="M216" s="154" t="str">
        <f t="shared" si="1"/>
        <v># DE VTE - S-TRAITANCE MEC.INTERNE VW</v>
      </c>
      <c r="N216" s="155">
        <f>+IF(OR($Q216=Parametres!$G$2,$Q216=Parametres!$G$3),I216,C216)</f>
        <v>-280</v>
      </c>
      <c r="O216" s="155">
        <f>+IF(OR($Q216=Parametres!$G$2,$Q216=Parametres!$G$3),J216,D216)</f>
        <v>-197</v>
      </c>
      <c r="P216" s="155">
        <f>+IF(OR($Q216=Parametres!$G$2,$Q216=Parametres!$G$3),K216,E216)</f>
        <v>-477</v>
      </c>
      <c r="Q216" s="154" t="str">
        <f t="shared" si="15"/>
        <v>10-Compte compteur</v>
      </c>
      <c r="R216" s="153" t="str">
        <f t="shared" si="15"/>
        <v>4495</v>
      </c>
      <c r="S216" s="154">
        <f t="shared" si="15"/>
        <v>0</v>
      </c>
      <c r="T216" s="156" t="str">
        <f>+VLOOKUP($L216,Data_Validation!$A:$D,1,0)</f>
        <v>4495@</v>
      </c>
      <c r="U216" s="156" t="str">
        <f>+VLOOKUP($L216,Data_Validation!$A:$D,3,0)</f>
        <v>Service</v>
      </c>
      <c r="V216" s="156" t="str">
        <f>+VLOOKUP($L216,Data_Validation!$A:$D,4,0)</f>
        <v>Sous-traitement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4" t="s">
        <v>2069</v>
      </c>
      <c r="B217" s="1014" t="s">
        <v>2070</v>
      </c>
      <c r="C217" s="1036">
        <v>-91247.44</v>
      </c>
      <c r="D217" s="1036">
        <v>-55392.39</v>
      </c>
      <c r="E217" s="1036">
        <v>-146639.82999999999</v>
      </c>
      <c r="F217" s="1014" t="s">
        <v>285</v>
      </c>
      <c r="G217" s="1014" t="s">
        <v>2070</v>
      </c>
      <c r="H217" s="1015"/>
      <c r="I217" s="1016"/>
      <c r="J217" s="1016"/>
      <c r="K217" s="1016"/>
      <c r="L217" s="153" t="str">
        <f t="shared" si="0"/>
        <v>4591</v>
      </c>
      <c r="M217" s="154" t="str">
        <f t="shared" si="1"/>
        <v>VTE - S-TRAIT. CARR.</v>
      </c>
      <c r="N217" s="155">
        <f>+IF(OR($Q217=Parametres!$G$2,$Q217=Parametres!$G$3),I217,C217)</f>
        <v>-91247.44</v>
      </c>
      <c r="O217" s="155">
        <f>+IF(OR($Q217=Parametres!$G$2,$Q217=Parametres!$G$3),J217,D217)</f>
        <v>-55392.39</v>
      </c>
      <c r="P217" s="155">
        <f>+IF(OR($Q217=Parametres!$G$2,$Q217=Parametres!$G$3),K217,E217)</f>
        <v>-146639.82999999999</v>
      </c>
      <c r="Q217" s="154" t="str">
        <f t="shared" si="15"/>
        <v>5-Ventes</v>
      </c>
      <c r="R217" s="153" t="str">
        <f t="shared" si="15"/>
        <v>4591</v>
      </c>
      <c r="S217" s="154">
        <f t="shared" si="15"/>
        <v>0</v>
      </c>
      <c r="T217" s="156" t="str">
        <f>+VLOOKUP($L217,Data_Validation!$A:$D,1,0)</f>
        <v>4591</v>
      </c>
      <c r="U217" s="156" t="str">
        <f>+VLOOKUP($L217,Data_Validation!$A:$D,3,0)</f>
        <v>Carrosserie</v>
      </c>
      <c r="V217" s="156" t="str">
        <f>+VLOOKUP($L217,Data_Validation!$A:$D,4,0)</f>
        <v>M/O Sous-traitement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4" t="s">
        <v>2532</v>
      </c>
      <c r="B218" s="1014" t="s">
        <v>2533</v>
      </c>
      <c r="C218" s="1016"/>
      <c r="D218" s="1016"/>
      <c r="E218" s="1016"/>
      <c r="F218" s="1014" t="s">
        <v>4</v>
      </c>
      <c r="G218" s="1014" t="s">
        <v>2070</v>
      </c>
      <c r="H218" s="1015"/>
      <c r="I218" s="1015">
        <v>-79</v>
      </c>
      <c r="J218" s="1015">
        <v>-42</v>
      </c>
      <c r="K218" s="1015">
        <v>-121</v>
      </c>
      <c r="L218" s="153" t="str">
        <f t="shared" si="0"/>
        <v>4591@</v>
      </c>
      <c r="M218" s="154" t="str">
        <f t="shared" si="1"/>
        <v>REPARATION SOUS-LOC.-PEINT/DEB</v>
      </c>
      <c r="N218" s="155">
        <f>+IF(OR($Q218=Parametres!$G$2,$Q218=Parametres!$G$3),I218,C218)</f>
        <v>-79</v>
      </c>
      <c r="O218" s="155">
        <f>+IF(OR($Q218=Parametres!$G$2,$Q218=Parametres!$G$3),J218,D218)</f>
        <v>-42</v>
      </c>
      <c r="P218" s="155">
        <f>+IF(OR($Q218=Parametres!$G$2,$Q218=Parametres!$G$3),K218,E218)</f>
        <v>-121</v>
      </c>
      <c r="Q218" s="154" t="str">
        <f t="shared" si="15"/>
        <v>10-Compte compteur</v>
      </c>
      <c r="R218" s="153" t="str">
        <f t="shared" si="15"/>
        <v>4591</v>
      </c>
      <c r="S218" s="154">
        <f t="shared" si="15"/>
        <v>0</v>
      </c>
      <c r="T218" s="156" t="str">
        <f>+VLOOKUP($L218,Data_Validation!$A:$D,1,0)</f>
        <v>4591@</v>
      </c>
      <c r="U218" s="156" t="str">
        <f>+VLOOKUP($L218,Data_Validation!$A:$D,3,0)</f>
        <v>Carrosserie</v>
      </c>
      <c r="V218" s="156" t="str">
        <f>+VLOOKUP($L218,Data_Validation!$A:$D,4,0)</f>
        <v>M/O Sous-traitement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4" t="s">
        <v>2067</v>
      </c>
      <c r="B219" s="1014" t="s">
        <v>2068</v>
      </c>
      <c r="C219" s="1036">
        <v>-88522.1</v>
      </c>
      <c r="D219" s="1036">
        <v>-64782.36</v>
      </c>
      <c r="E219" s="1036">
        <v>-153304.46</v>
      </c>
      <c r="F219" s="1014" t="s">
        <v>285</v>
      </c>
      <c r="G219" s="1014" t="s">
        <v>2068</v>
      </c>
      <c r="H219" s="1015"/>
      <c r="I219" s="1016"/>
      <c r="J219" s="1016"/>
      <c r="K219" s="1016"/>
      <c r="L219" s="153" t="str">
        <f t="shared" si="0"/>
        <v>4593</v>
      </c>
      <c r="M219" s="154" t="str">
        <f t="shared" si="1"/>
        <v>VTE - SOUS-TRAITANCE GARANTIE CARR.</v>
      </c>
      <c r="N219" s="155">
        <f>+IF(OR($Q219=Parametres!$G$2,$Q219=Parametres!$G$3),I219,C219)</f>
        <v>-88522.1</v>
      </c>
      <c r="O219" s="155">
        <f>+IF(OR($Q219=Parametres!$G$2,$Q219=Parametres!$G$3),J219,D219)</f>
        <v>-64782.36</v>
      </c>
      <c r="P219" s="155">
        <f>+IF(OR($Q219=Parametres!$G$2,$Q219=Parametres!$G$3),K219,E219)</f>
        <v>-153304.46</v>
      </c>
      <c r="Q219" s="154" t="str">
        <f t="shared" si="15"/>
        <v>5-Ventes</v>
      </c>
      <c r="R219" s="153" t="str">
        <f t="shared" si="15"/>
        <v>4593</v>
      </c>
      <c r="S219" s="154">
        <f t="shared" si="15"/>
        <v>0</v>
      </c>
      <c r="T219" s="156" t="str">
        <f>+VLOOKUP($L219,Data_Validation!$A:$D,1,0)</f>
        <v>4593</v>
      </c>
      <c r="U219" s="156" t="str">
        <f>+VLOOKUP($L219,Data_Validation!$A:$D,3,0)</f>
        <v>Carrosserie</v>
      </c>
      <c r="V219" s="156" t="str">
        <f>+VLOOKUP($L219,Data_Validation!$A:$D,4,0)</f>
        <v>M/O Sous-traitement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4" t="s">
        <v>2534</v>
      </c>
      <c r="B220" s="1014" t="s">
        <v>2535</v>
      </c>
      <c r="C220" s="1016"/>
      <c r="D220" s="1016"/>
      <c r="E220" s="1016"/>
      <c r="F220" s="1014" t="s">
        <v>4</v>
      </c>
      <c r="G220" s="1014" t="s">
        <v>2068</v>
      </c>
      <c r="H220" s="1015"/>
      <c r="I220" s="1015">
        <v>-43</v>
      </c>
      <c r="J220" s="1015">
        <v>-34</v>
      </c>
      <c r="K220" s="1015">
        <v>-77</v>
      </c>
      <c r="L220" s="153" t="str">
        <f t="shared" si="0"/>
        <v>4593@</v>
      </c>
      <c r="M220" s="154" t="str">
        <f t="shared" si="1"/>
        <v># DE VTE - S-TRAITANCE GAR.CARR.</v>
      </c>
      <c r="N220" s="155">
        <f>+IF(OR($Q220=Parametres!$G$2,$Q220=Parametres!$G$3),I220,C220)</f>
        <v>-43</v>
      </c>
      <c r="O220" s="155">
        <f>+IF(OR($Q220=Parametres!$G$2,$Q220=Parametres!$G$3),J220,D220)</f>
        <v>-34</v>
      </c>
      <c r="P220" s="155">
        <f>+IF(OR($Q220=Parametres!$G$2,$Q220=Parametres!$G$3),K220,E220)</f>
        <v>-77</v>
      </c>
      <c r="Q220" s="154" t="str">
        <f t="shared" si="15"/>
        <v>10-Compte compteur</v>
      </c>
      <c r="R220" s="153" t="str">
        <f t="shared" si="15"/>
        <v>4593</v>
      </c>
      <c r="S220" s="154">
        <f t="shared" si="15"/>
        <v>0</v>
      </c>
      <c r="T220" s="156" t="str">
        <f>+VLOOKUP($L220,Data_Validation!$A:$D,1,0)</f>
        <v>4593@</v>
      </c>
      <c r="U220" s="156" t="str">
        <f>+VLOOKUP($L220,Data_Validation!$A:$D,3,0)</f>
        <v>Carrosserie</v>
      </c>
      <c r="V220" s="156" t="str">
        <f>+VLOOKUP($L220,Data_Validation!$A:$D,4,0)</f>
        <v>M/O Sous-traitement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4" t="s">
        <v>2100</v>
      </c>
      <c r="B221" s="1014" t="s">
        <v>2101</v>
      </c>
      <c r="C221" s="1036">
        <v>-7997.95</v>
      </c>
      <c r="D221" s="1036">
        <v>-11498.85</v>
      </c>
      <c r="E221" s="1036">
        <v>-19496.8</v>
      </c>
      <c r="F221" s="1014" t="s">
        <v>285</v>
      </c>
      <c r="G221" s="1014" t="s">
        <v>2101</v>
      </c>
      <c r="H221" s="1015"/>
      <c r="I221" s="1016"/>
      <c r="J221" s="1016"/>
      <c r="K221" s="1016"/>
      <c r="L221" s="153" t="str">
        <f t="shared" si="0"/>
        <v>4595</v>
      </c>
      <c r="M221" s="154" t="str">
        <f t="shared" si="1"/>
        <v>VTE - SOUS-TRAITANCE INTERNE CARR.</v>
      </c>
      <c r="N221" s="155">
        <f>+IF(OR($Q221=Parametres!$G$2,$Q221=Parametres!$G$3),I221,C221)</f>
        <v>-7997.95</v>
      </c>
      <c r="O221" s="155">
        <f>+IF(OR($Q221=Parametres!$G$2,$Q221=Parametres!$G$3),J221,D221)</f>
        <v>-11498.85</v>
      </c>
      <c r="P221" s="155">
        <f>+IF(OR($Q221=Parametres!$G$2,$Q221=Parametres!$G$3),K221,E221)</f>
        <v>-19496.8</v>
      </c>
      <c r="Q221" s="154" t="str">
        <f t="shared" si="15"/>
        <v>5-Ventes</v>
      </c>
      <c r="R221" s="153" t="str">
        <f t="shared" si="15"/>
        <v>4595</v>
      </c>
      <c r="S221" s="154">
        <f t="shared" si="15"/>
        <v>0</v>
      </c>
      <c r="T221" s="156" t="str">
        <f>+VLOOKUP($L221,Data_Validation!$A:$D,1,0)</f>
        <v>4595</v>
      </c>
      <c r="U221" s="156" t="str">
        <f>+VLOOKUP($L221,Data_Validation!$A:$D,3,0)</f>
        <v>Carrosserie</v>
      </c>
      <c r="V221" s="156" t="str">
        <f>+VLOOKUP($L221,Data_Validation!$A:$D,4,0)</f>
        <v>M/O Sous-traitement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4" t="s">
        <v>2536</v>
      </c>
      <c r="B222" s="1014" t="s">
        <v>2537</v>
      </c>
      <c r="C222" s="1016"/>
      <c r="D222" s="1016"/>
      <c r="E222" s="1016"/>
      <c r="F222" s="1014" t="s">
        <v>4</v>
      </c>
      <c r="G222" s="1014" t="s">
        <v>2101</v>
      </c>
      <c r="H222" s="1015"/>
      <c r="I222" s="1015">
        <v>-18</v>
      </c>
      <c r="J222" s="1015">
        <v>-16</v>
      </c>
      <c r="K222" s="1015">
        <v>-34</v>
      </c>
      <c r="L222" s="153" t="str">
        <f t="shared" si="0"/>
        <v>4595@</v>
      </c>
      <c r="M222" s="154" t="str">
        <f t="shared" si="1"/>
        <v># DE VTE - S-TRAIT.INTERNE CARR.</v>
      </c>
      <c r="N222" s="155">
        <f>+IF(OR($Q222=Parametres!$G$2,$Q222=Parametres!$G$3),I222,C222)</f>
        <v>-18</v>
      </c>
      <c r="O222" s="155">
        <f>+IF(OR($Q222=Parametres!$G$2,$Q222=Parametres!$G$3),J222,D222)</f>
        <v>-16</v>
      </c>
      <c r="P222" s="155">
        <f>+IF(OR($Q222=Parametres!$G$2,$Q222=Parametres!$G$3),K222,E222)</f>
        <v>-34</v>
      </c>
      <c r="Q222" s="154" t="str">
        <f t="shared" si="15"/>
        <v>10-Compte compteur</v>
      </c>
      <c r="R222" s="153" t="str">
        <f t="shared" si="15"/>
        <v>4595</v>
      </c>
      <c r="S222" s="154">
        <f t="shared" si="15"/>
        <v>0</v>
      </c>
      <c r="T222" s="156" t="str">
        <f>+VLOOKUP($L222,Data_Validation!$A:$D,1,0)</f>
        <v>4595@</v>
      </c>
      <c r="U222" s="156" t="str">
        <f>+VLOOKUP($L222,Data_Validation!$A:$D,3,0)</f>
        <v>Carrosserie</v>
      </c>
      <c r="V222" s="156" t="str">
        <f>+VLOOKUP($L222,Data_Validation!$A:$D,4,0)</f>
        <v>M/O Sous-traitement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4" t="s">
        <v>2023</v>
      </c>
      <c r="B223" s="1014" t="s">
        <v>2024</v>
      </c>
      <c r="C223" s="1036">
        <v>-94165.85</v>
      </c>
      <c r="D223" s="1036">
        <v>-48094.01</v>
      </c>
      <c r="E223" s="1036">
        <v>-142259.85999999999</v>
      </c>
      <c r="F223" s="1014" t="s">
        <v>285</v>
      </c>
      <c r="G223" s="1014" t="s">
        <v>2024</v>
      </c>
      <c r="H223" s="1015"/>
      <c r="I223" s="1016"/>
      <c r="J223" s="1016"/>
      <c r="K223" s="1016"/>
      <c r="L223" s="153" t="str">
        <f t="shared" si="0"/>
        <v>4701</v>
      </c>
      <c r="M223" s="154" t="str">
        <f t="shared" si="1"/>
        <v>VTE - PIECE/ACC B.R. CLIENT VW</v>
      </c>
      <c r="N223" s="155">
        <f>+IF(OR($Q223=Parametres!$G$2,$Q223=Parametres!$G$3),I223,C223)</f>
        <v>-94165.85</v>
      </c>
      <c r="O223" s="155">
        <f>+IF(OR($Q223=Parametres!$G$2,$Q223=Parametres!$G$3),J223,D223)</f>
        <v>-48094.01</v>
      </c>
      <c r="P223" s="155">
        <f>+IF(OR($Q223=Parametres!$G$2,$Q223=Parametres!$G$3),K223,E223)</f>
        <v>-142259.85999999999</v>
      </c>
      <c r="Q223" s="154" t="str">
        <f t="shared" si="15"/>
        <v>5-Ventes</v>
      </c>
      <c r="R223" s="153" t="str">
        <f t="shared" si="15"/>
        <v>4701</v>
      </c>
      <c r="S223" s="154">
        <f t="shared" si="15"/>
        <v>0</v>
      </c>
      <c r="T223" s="156" t="str">
        <f>+VLOOKUP($L223,Data_Validation!$A:$D,1,0)</f>
        <v>4701</v>
      </c>
      <c r="U223" s="156" t="str">
        <f>+VLOOKUP($L223,Data_Validation!$A:$D,3,0)</f>
        <v>Pièces</v>
      </c>
      <c r="V223" s="156" t="str">
        <f>+VLOOKUP($L223,Data_Validation!$A:$D,4,0)</f>
        <v>Pièces Ro Clients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4" t="s">
        <v>2538</v>
      </c>
      <c r="B224" s="1014" t="s">
        <v>2539</v>
      </c>
      <c r="C224" s="1016"/>
      <c r="D224" s="1016"/>
      <c r="E224" s="1016"/>
      <c r="F224" s="1014" t="s">
        <v>4</v>
      </c>
      <c r="G224" s="1014" t="s">
        <v>2024</v>
      </c>
      <c r="H224" s="1015"/>
      <c r="I224" s="1015">
        <v>-596</v>
      </c>
      <c r="J224" s="1015">
        <v>-324</v>
      </c>
      <c r="K224" s="1015">
        <v>-920</v>
      </c>
      <c r="L224" s="153" t="str">
        <f t="shared" si="0"/>
        <v>4701@</v>
      </c>
      <c r="M224" s="154" t="str">
        <f t="shared" si="1"/>
        <v>PIECES-BON REPARATION- CLIENTS</v>
      </c>
      <c r="N224" s="155">
        <f>+IF(OR($Q224=Parametres!$G$2,$Q224=Parametres!$G$3),I224,C224)</f>
        <v>-596</v>
      </c>
      <c r="O224" s="155">
        <f>+IF(OR($Q224=Parametres!$G$2,$Q224=Parametres!$G$3),J224,D224)</f>
        <v>-324</v>
      </c>
      <c r="P224" s="155">
        <f>+IF(OR($Q224=Parametres!$G$2,$Q224=Parametres!$G$3),K224,E224)</f>
        <v>-920</v>
      </c>
      <c r="Q224" s="154" t="str">
        <f t="shared" si="15"/>
        <v>10-Compte compteur</v>
      </c>
      <c r="R224" s="153" t="str">
        <f t="shared" si="15"/>
        <v>4701</v>
      </c>
      <c r="S224" s="154">
        <f t="shared" si="15"/>
        <v>0</v>
      </c>
      <c r="T224" s="156" t="str">
        <f>+VLOOKUP($L224,Data_Validation!$A:$D,1,0)</f>
        <v>4701@</v>
      </c>
      <c r="U224" s="156" t="str">
        <f>+VLOOKUP($L224,Data_Validation!$A:$D,3,0)</f>
        <v>Pièces</v>
      </c>
      <c r="V224" s="156" t="str">
        <f>+VLOOKUP($L224,Data_Validation!$A:$D,4,0)</f>
        <v>Pièces Ro Clients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4" t="s">
        <v>2043</v>
      </c>
      <c r="B225" s="1014" t="s">
        <v>2044</v>
      </c>
      <c r="C225" s="1036">
        <v>-170422.35</v>
      </c>
      <c r="D225" s="1036">
        <v>-78789.27</v>
      </c>
      <c r="E225" s="1036">
        <v>-249211.62</v>
      </c>
      <c r="F225" s="1014" t="s">
        <v>285</v>
      </c>
      <c r="G225" s="1014" t="s">
        <v>2044</v>
      </c>
      <c r="H225" s="1015"/>
      <c r="I225" s="1016"/>
      <c r="J225" s="1016"/>
      <c r="K225" s="1016"/>
      <c r="L225" s="153" t="str">
        <f t="shared" si="0"/>
        <v>4703</v>
      </c>
      <c r="M225" s="154" t="str">
        <f t="shared" si="1"/>
        <v>VTE - PIECE/ACC B.R. GARANTIE VW</v>
      </c>
      <c r="N225" s="155">
        <f>+IF(OR($Q225=Parametres!$G$2,$Q225=Parametres!$G$3),I225,C225)</f>
        <v>-170422.35</v>
      </c>
      <c r="O225" s="155">
        <f>+IF(OR($Q225=Parametres!$G$2,$Q225=Parametres!$G$3),J225,D225)</f>
        <v>-78789.27</v>
      </c>
      <c r="P225" s="155">
        <f>+IF(OR($Q225=Parametres!$G$2,$Q225=Parametres!$G$3),K225,E225)</f>
        <v>-249211.62</v>
      </c>
      <c r="Q225" s="154" t="str">
        <f t="shared" si="15"/>
        <v>5-Ventes</v>
      </c>
      <c r="R225" s="153" t="str">
        <f t="shared" si="15"/>
        <v>4703</v>
      </c>
      <c r="S225" s="154">
        <f t="shared" si="15"/>
        <v>0</v>
      </c>
      <c r="T225" s="156" t="str">
        <f>+VLOOKUP($L225,Data_Validation!$A:$D,1,0)</f>
        <v>4703</v>
      </c>
      <c r="U225" s="156" t="str">
        <f>+VLOOKUP($L225,Data_Validation!$A:$D,3,0)</f>
        <v>Pièces</v>
      </c>
      <c r="V225" s="156" t="str">
        <f>+VLOOKUP($L225,Data_Validation!$A:$D,4,0)</f>
        <v>P/A Garantie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4" t="s">
        <v>2540</v>
      </c>
      <c r="B226" s="1014" t="s">
        <v>2541</v>
      </c>
      <c r="C226" s="1016"/>
      <c r="D226" s="1016"/>
      <c r="E226" s="1016"/>
      <c r="F226" s="1014" t="s">
        <v>4</v>
      </c>
      <c r="G226" s="1014" t="s">
        <v>2044</v>
      </c>
      <c r="H226" s="1015"/>
      <c r="I226" s="1015">
        <v>-372</v>
      </c>
      <c r="J226" s="1015">
        <v>-218</v>
      </c>
      <c r="K226" s="1015">
        <v>-590</v>
      </c>
      <c r="L226" s="153" t="str">
        <f t="shared" si="0"/>
        <v>4703@</v>
      </c>
      <c r="M226" s="154" t="str">
        <f t="shared" si="1"/>
        <v>PIECES-BON REPARATION-GAR. MAN</v>
      </c>
      <c r="N226" s="155">
        <f>+IF(OR($Q226=Parametres!$G$2,$Q226=Parametres!$G$3),I226,C226)</f>
        <v>-372</v>
      </c>
      <c r="O226" s="155">
        <f>+IF(OR($Q226=Parametres!$G$2,$Q226=Parametres!$G$3),J226,D226)</f>
        <v>-218</v>
      </c>
      <c r="P226" s="155">
        <f>+IF(OR($Q226=Parametres!$G$2,$Q226=Parametres!$G$3),K226,E226)</f>
        <v>-590</v>
      </c>
      <c r="Q226" s="154" t="str">
        <f t="shared" ref="Q226:S241" si="16">+F226</f>
        <v>10-Compte compteur</v>
      </c>
      <c r="R226" s="153" t="str">
        <f t="shared" si="16"/>
        <v>4703</v>
      </c>
      <c r="S226" s="154">
        <f t="shared" si="16"/>
        <v>0</v>
      </c>
      <c r="T226" s="156" t="str">
        <f>+VLOOKUP($L226,Data_Validation!$A:$D,1,0)</f>
        <v>4703@</v>
      </c>
      <c r="U226" s="156" t="str">
        <f>+VLOOKUP($L226,Data_Validation!$A:$D,3,0)</f>
        <v>Pièces</v>
      </c>
      <c r="V226" s="156" t="str">
        <f>+VLOOKUP($L226,Data_Validation!$A:$D,4,0)</f>
        <v>P/A Garantie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4" t="s">
        <v>2047</v>
      </c>
      <c r="B227" s="1014" t="s">
        <v>2048</v>
      </c>
      <c r="C227" s="1036">
        <v>-67860.97</v>
      </c>
      <c r="D227" s="1036">
        <v>-37983.339999999997</v>
      </c>
      <c r="E227" s="1036">
        <v>-105844.31</v>
      </c>
      <c r="F227" s="1014" t="s">
        <v>285</v>
      </c>
      <c r="G227" s="1014" t="s">
        <v>2048</v>
      </c>
      <c r="H227" s="1015"/>
      <c r="I227" s="1016"/>
      <c r="J227" s="1016"/>
      <c r="K227" s="1016"/>
      <c r="L227" s="153" t="str">
        <f t="shared" si="0"/>
        <v>4705</v>
      </c>
      <c r="M227" s="154" t="str">
        <f t="shared" si="1"/>
        <v>VTE - PIECE/ACC B.R. INTERNE VW</v>
      </c>
      <c r="N227" s="155">
        <f>+IF(OR($Q227=Parametres!$G$2,$Q227=Parametres!$G$3),I227,C227)</f>
        <v>-67860.97</v>
      </c>
      <c r="O227" s="155">
        <f>+IF(OR($Q227=Parametres!$G$2,$Q227=Parametres!$G$3),J227,D227)</f>
        <v>-37983.339999999997</v>
      </c>
      <c r="P227" s="155">
        <f>+IF(OR($Q227=Parametres!$G$2,$Q227=Parametres!$G$3),K227,E227)</f>
        <v>-105844.31</v>
      </c>
      <c r="Q227" s="154" t="str">
        <f t="shared" si="16"/>
        <v>5-Ventes</v>
      </c>
      <c r="R227" s="153" t="str">
        <f t="shared" si="16"/>
        <v>4705</v>
      </c>
      <c r="S227" s="154">
        <f t="shared" si="16"/>
        <v>0</v>
      </c>
      <c r="T227" s="156" t="str">
        <f>+VLOOKUP($L227,Data_Validation!$A:$D,1,0)</f>
        <v>4705</v>
      </c>
      <c r="U227" s="156" t="str">
        <f>+VLOOKUP($L227,Data_Validation!$A:$D,3,0)</f>
        <v>Pièces</v>
      </c>
      <c r="V227" s="156" t="str">
        <f>+VLOOKUP($L227,Data_Validation!$A:$D,4,0)</f>
        <v>Ventes Internes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4" t="s">
        <v>2542</v>
      </c>
      <c r="B228" s="1014" t="s">
        <v>2543</v>
      </c>
      <c r="C228" s="1016"/>
      <c r="D228" s="1016"/>
      <c r="E228" s="1016"/>
      <c r="F228" s="1014" t="s">
        <v>4</v>
      </c>
      <c r="G228" s="1014" t="s">
        <v>2048</v>
      </c>
      <c r="H228" s="1015"/>
      <c r="I228" s="1015">
        <v>-483</v>
      </c>
      <c r="J228" s="1015">
        <v>-260</v>
      </c>
      <c r="K228" s="1015">
        <v>-743</v>
      </c>
      <c r="L228" s="153" t="str">
        <f t="shared" si="0"/>
        <v>4705@</v>
      </c>
      <c r="M228" s="154" t="str">
        <f t="shared" si="1"/>
        <v>PIECES-BON REPARATION - INTERN</v>
      </c>
      <c r="N228" s="155">
        <f>+IF(OR($Q228=Parametres!$G$2,$Q228=Parametres!$G$3),I228,C228)</f>
        <v>-483</v>
      </c>
      <c r="O228" s="155">
        <f>+IF(OR($Q228=Parametres!$G$2,$Q228=Parametres!$G$3),J228,D228)</f>
        <v>-260</v>
      </c>
      <c r="P228" s="155">
        <f>+IF(OR($Q228=Parametres!$G$2,$Q228=Parametres!$G$3),K228,E228)</f>
        <v>-743</v>
      </c>
      <c r="Q228" s="154" t="str">
        <f t="shared" si="16"/>
        <v>10-Compte compteur</v>
      </c>
      <c r="R228" s="153" t="str">
        <f t="shared" si="16"/>
        <v>4705</v>
      </c>
      <c r="S228" s="154">
        <f t="shared" si="16"/>
        <v>0</v>
      </c>
      <c r="T228" s="156" t="str">
        <f>+VLOOKUP($L228,Data_Validation!$A:$D,1,0)</f>
        <v>4705@</v>
      </c>
      <c r="U228" s="156" t="str">
        <f>+VLOOKUP($L228,Data_Validation!$A:$D,3,0)</f>
        <v>Pièces</v>
      </c>
      <c r="V228" s="156" t="str">
        <f>+VLOOKUP($L228,Data_Validation!$A:$D,4,0)</f>
        <v>Ventes Internes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4" t="s">
        <v>2114</v>
      </c>
      <c r="B229" s="1014" t="s">
        <v>2115</v>
      </c>
      <c r="C229" s="1036">
        <v>-5879.15</v>
      </c>
      <c r="D229" s="1036">
        <v>-3975.25</v>
      </c>
      <c r="E229" s="1036">
        <v>-9854.4</v>
      </c>
      <c r="F229" s="1014" t="s">
        <v>285</v>
      </c>
      <c r="G229" s="1014" t="s">
        <v>335</v>
      </c>
      <c r="H229" s="1015"/>
      <c r="I229" s="1016"/>
      <c r="J229" s="1016"/>
      <c r="K229" s="1016"/>
      <c r="L229" s="153" t="str">
        <f t="shared" si="0"/>
        <v>4711</v>
      </c>
      <c r="M229" s="154" t="str">
        <f t="shared" si="1"/>
        <v>VTE - AUTRE PIECE/ACC/CARR B.R. CLIENT</v>
      </c>
      <c r="N229" s="155">
        <f>+IF(OR($Q229=Parametres!$G$2,$Q229=Parametres!$G$3),I229,C229)</f>
        <v>-5879.15</v>
      </c>
      <c r="O229" s="155">
        <f>+IF(OR($Q229=Parametres!$G$2,$Q229=Parametres!$G$3),J229,D229)</f>
        <v>-3975.25</v>
      </c>
      <c r="P229" s="155">
        <f>+IF(OR($Q229=Parametres!$G$2,$Q229=Parametres!$G$3),K229,E229)</f>
        <v>-9854.4</v>
      </c>
      <c r="Q229" s="154" t="str">
        <f t="shared" si="16"/>
        <v>5-Ventes</v>
      </c>
      <c r="R229" s="153" t="str">
        <f t="shared" si="16"/>
        <v>84711</v>
      </c>
      <c r="S229" s="154">
        <f t="shared" si="16"/>
        <v>0</v>
      </c>
      <c r="T229" s="156" t="str">
        <f>+VLOOKUP($L229,Data_Validation!$A:$D,1,0)</f>
        <v>4711</v>
      </c>
      <c r="U229" s="156" t="str">
        <f>+VLOOKUP($L229,Data_Validation!$A:$D,3,0)</f>
        <v>Pièces</v>
      </c>
      <c r="V229" s="156" t="str">
        <f>+VLOOKUP($L229,Data_Validation!$A:$D,4,0)</f>
        <v>Pièces Ro Clients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4" t="s">
        <v>2544</v>
      </c>
      <c r="B230" s="1014" t="s">
        <v>2545</v>
      </c>
      <c r="C230" s="1016"/>
      <c r="D230" s="1016"/>
      <c r="E230" s="1016"/>
      <c r="F230" s="1014" t="s">
        <v>4</v>
      </c>
      <c r="G230" s="1014" t="s">
        <v>335</v>
      </c>
      <c r="H230" s="1015"/>
      <c r="I230" s="1015">
        <v>-108</v>
      </c>
      <c r="J230" s="1015">
        <v>-52</v>
      </c>
      <c r="K230" s="1015">
        <v>-160</v>
      </c>
      <c r="L230" s="153" t="str">
        <f t="shared" si="0"/>
        <v>4711@</v>
      </c>
      <c r="M230" s="154" t="str">
        <f t="shared" si="1"/>
        <v># DE VTE - P&amp;A B.T. CLIENT AUDI</v>
      </c>
      <c r="N230" s="155">
        <f>+IF(OR($Q230=Parametres!$G$2,$Q230=Parametres!$G$3),I230,C230)</f>
        <v>-108</v>
      </c>
      <c r="O230" s="155">
        <f>+IF(OR($Q230=Parametres!$G$2,$Q230=Parametres!$G$3),J230,D230)</f>
        <v>-52</v>
      </c>
      <c r="P230" s="155">
        <f>+IF(OR($Q230=Parametres!$G$2,$Q230=Parametres!$G$3),K230,E230)</f>
        <v>-160</v>
      </c>
      <c r="Q230" s="154" t="str">
        <f t="shared" si="16"/>
        <v>10-Compte compteur</v>
      </c>
      <c r="R230" s="153" t="str">
        <f t="shared" si="16"/>
        <v>84711</v>
      </c>
      <c r="S230" s="154">
        <f t="shared" si="16"/>
        <v>0</v>
      </c>
      <c r="T230" s="156" t="str">
        <f>+VLOOKUP($L230,Data_Validation!$A:$D,1,0)</f>
        <v>4711@</v>
      </c>
      <c r="U230" s="156" t="str">
        <f>+VLOOKUP($L230,Data_Validation!$A:$D,3,0)</f>
        <v>Pièces</v>
      </c>
      <c r="V230" s="156" t="str">
        <f>+VLOOKUP($L230,Data_Validation!$A:$D,4,0)</f>
        <v>Pièces Ro Clients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customHeight="1">
      <c r="A231" s="1014" t="s">
        <v>2114</v>
      </c>
      <c r="B231" s="1014" t="s">
        <v>2445</v>
      </c>
      <c r="C231" s="1036">
        <v>-14570.16</v>
      </c>
      <c r="D231" s="1036">
        <v>-6204.58</v>
      </c>
      <c r="E231" s="1036">
        <v>-20774.740000000002</v>
      </c>
      <c r="F231" s="1014" t="s">
        <v>285</v>
      </c>
      <c r="G231" s="1014" t="s">
        <v>2445</v>
      </c>
      <c r="H231" s="1015"/>
      <c r="I231" s="1016"/>
      <c r="J231" s="1016"/>
      <c r="K231" s="1016"/>
      <c r="L231" s="153" t="str">
        <f t="shared" si="0"/>
        <v>4721</v>
      </c>
      <c r="M231" s="154" t="str">
        <f t="shared" si="1"/>
        <v>VTE - AUTRE PIECE/ACC/CARR B.R. CLIENT</v>
      </c>
      <c r="N231" s="155">
        <f>+IF(OR($Q231=Parametres!$G$2,$Q231=Parametres!$G$3),I231,C231)</f>
        <v>-14570.16</v>
      </c>
      <c r="O231" s="155">
        <f>+IF(OR($Q231=Parametres!$G$2,$Q231=Parametres!$G$3),J231,D231)</f>
        <v>-6204.58</v>
      </c>
      <c r="P231" s="155">
        <f>+IF(OR($Q231=Parametres!$G$2,$Q231=Parametres!$G$3),K231,E231)</f>
        <v>-20774.740000000002</v>
      </c>
      <c r="Q231" s="154" t="str">
        <f t="shared" si="16"/>
        <v>5-Ventes</v>
      </c>
      <c r="R231" s="153" t="str">
        <f t="shared" si="16"/>
        <v>4721</v>
      </c>
      <c r="S231" s="154">
        <f t="shared" si="16"/>
        <v>0</v>
      </c>
      <c r="T231" s="156" t="str">
        <f>+VLOOKUP($L231,Data_Validation!$A:$D,1,0)</f>
        <v>4721</v>
      </c>
      <c r="U231" s="156" t="str">
        <f>+VLOOKUP($L231,Data_Validation!$A:$D,3,0)</f>
        <v>Pièces</v>
      </c>
      <c r="V231" s="156" t="str">
        <f>+VLOOKUP($L231,Data_Validation!$A:$D,4,0)</f>
        <v>Pièces Ro Clients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customHeight="1">
      <c r="A232" s="1014" t="s">
        <v>2546</v>
      </c>
      <c r="B232" s="1014" t="s">
        <v>2547</v>
      </c>
      <c r="C232" s="1016"/>
      <c r="D232" s="1016"/>
      <c r="E232" s="1016"/>
      <c r="F232" s="1014" t="s">
        <v>4</v>
      </c>
      <c r="G232" s="1014" t="s">
        <v>2445</v>
      </c>
      <c r="H232" s="1015"/>
      <c r="I232" s="1015">
        <v>-64</v>
      </c>
      <c r="J232" s="1015">
        <v>-15</v>
      </c>
      <c r="K232" s="1015">
        <v>-79</v>
      </c>
      <c r="L232" s="153" t="str">
        <f t="shared" si="0"/>
        <v>4721@</v>
      </c>
      <c r="M232" s="154" t="str">
        <f t="shared" si="1"/>
        <v>AUTRES PIECES&amp;ACCESSOIRE</v>
      </c>
      <c r="N232" s="155">
        <f>+IF(OR($Q232=Parametres!$G$2,$Q232=Parametres!$G$3),I232,C232)</f>
        <v>-64</v>
      </c>
      <c r="O232" s="155">
        <f>+IF(OR($Q232=Parametres!$G$2,$Q232=Parametres!$G$3),J232,D232)</f>
        <v>-15</v>
      </c>
      <c r="P232" s="155">
        <f>+IF(OR($Q232=Parametres!$G$2,$Q232=Parametres!$G$3),K232,E232)</f>
        <v>-79</v>
      </c>
      <c r="Q232" s="154" t="str">
        <f t="shared" si="16"/>
        <v>10-Compte compteur</v>
      </c>
      <c r="R232" s="153" t="str">
        <f t="shared" si="16"/>
        <v>4721</v>
      </c>
      <c r="S232" s="154">
        <f t="shared" si="16"/>
        <v>0</v>
      </c>
      <c r="T232" s="156" t="str">
        <f>+VLOOKUP($L232,Data_Validation!$A:$D,1,0)</f>
        <v>4721@</v>
      </c>
      <c r="U232" s="156" t="str">
        <f>+VLOOKUP($L232,Data_Validation!$A:$D,3,0)</f>
        <v>Pièces</v>
      </c>
      <c r="V232" s="156" t="str">
        <f>+VLOOKUP($L232,Data_Validation!$A:$D,4,0)</f>
        <v>Pièces Ro Clients</v>
      </c>
      <c r="W232" s="156" t="str">
        <f>+VLOOKUP($L232,Data_Validation!$A:$E,5,0)</f>
        <v>NB</v>
      </c>
      <c r="X232" s="156">
        <f>+VLOOKUP($L232,Data_Validation!$A:$F,6,0)</f>
        <v>0</v>
      </c>
    </row>
    <row r="233" spans="1:24" ht="15" customHeight="1">
      <c r="A233" s="1014" t="s">
        <v>2107</v>
      </c>
      <c r="B233" s="1014" t="s">
        <v>2108</v>
      </c>
      <c r="C233" s="1036">
        <v>-49957.46</v>
      </c>
      <c r="D233" s="1036">
        <v>-15171.18</v>
      </c>
      <c r="E233" s="1036">
        <v>-65128.639999999999</v>
      </c>
      <c r="F233" s="1014" t="s">
        <v>285</v>
      </c>
      <c r="G233" s="1014" t="s">
        <v>2108</v>
      </c>
      <c r="H233" s="1015"/>
      <c r="I233" s="1016"/>
      <c r="J233" s="1016"/>
      <c r="K233" s="1016"/>
      <c r="L233" s="153" t="str">
        <f t="shared" si="0"/>
        <v>4731</v>
      </c>
      <c r="M233" s="154" t="str">
        <f t="shared" si="1"/>
        <v>VTE - PIECES-BON REPAR.-PEINT/DEBOS</v>
      </c>
      <c r="N233" s="155">
        <f>+IF(OR($Q233=Parametres!$G$2,$Q233=Parametres!$G$3),I233,C233)</f>
        <v>-49957.46</v>
      </c>
      <c r="O233" s="155">
        <f>+IF(OR($Q233=Parametres!$G$2,$Q233=Parametres!$G$3),J233,D233)</f>
        <v>-15171.18</v>
      </c>
      <c r="P233" s="155">
        <f>+IF(OR($Q233=Parametres!$G$2,$Q233=Parametres!$G$3),K233,E233)</f>
        <v>-65128.639999999999</v>
      </c>
      <c r="Q233" s="154" t="str">
        <f t="shared" si="16"/>
        <v>5-Ventes</v>
      </c>
      <c r="R233" s="153" t="str">
        <f t="shared" si="16"/>
        <v>4731</v>
      </c>
      <c r="S233" s="154">
        <f t="shared" si="16"/>
        <v>0</v>
      </c>
      <c r="T233" s="156" t="str">
        <f>+VLOOKUP($L233,Data_Validation!$A:$D,1,0)</f>
        <v>4731</v>
      </c>
      <c r="U233" s="156" t="str">
        <f>+VLOOKUP($L233,Data_Validation!$A:$D,3,0)</f>
        <v>Pièces</v>
      </c>
      <c r="V233" s="156" t="str">
        <f>+VLOOKUP($L233,Data_Validation!$A:$D,4,0)</f>
        <v>Pièces Ro Carrosserie</v>
      </c>
      <c r="W233" s="156" t="str">
        <f>+VLOOKUP($L233,Data_Validation!$A:$E,5,0)</f>
        <v>$</v>
      </c>
      <c r="X233" s="156" t="str">
        <f>+VLOOKUP($L233,Data_Validation!$A:$F,6,0)</f>
        <v>Oui</v>
      </c>
    </row>
    <row r="234" spans="1:24" ht="15.75" customHeight="1">
      <c r="A234" s="1014" t="s">
        <v>2548</v>
      </c>
      <c r="B234" s="1014" t="s">
        <v>2549</v>
      </c>
      <c r="C234" s="1016"/>
      <c r="D234" s="1016"/>
      <c r="E234" s="1016"/>
      <c r="F234" s="1014" t="s">
        <v>4</v>
      </c>
      <c r="G234" s="1014" t="s">
        <v>2108</v>
      </c>
      <c r="H234" s="1015"/>
      <c r="I234" s="1015">
        <v>-49</v>
      </c>
      <c r="J234" s="1015">
        <v>-23</v>
      </c>
      <c r="K234" s="1015">
        <v>-72</v>
      </c>
      <c r="L234" s="153" t="str">
        <f t="shared" si="0"/>
        <v>4731@</v>
      </c>
      <c r="M234" s="154" t="str">
        <f t="shared" si="1"/>
        <v>PIECES-BON REPAR. PEINT/DEBOS</v>
      </c>
      <c r="N234" s="155">
        <f>+IF(OR($Q234=Parametres!$G$2,$Q234=Parametres!$G$3),I234,C234)</f>
        <v>-49</v>
      </c>
      <c r="O234" s="155">
        <f>+IF(OR($Q234=Parametres!$G$2,$Q234=Parametres!$G$3),J234,D234)</f>
        <v>-23</v>
      </c>
      <c r="P234" s="155">
        <f>+IF(OR($Q234=Parametres!$G$2,$Q234=Parametres!$G$3),K234,E234)</f>
        <v>-72</v>
      </c>
      <c r="Q234" s="154" t="str">
        <f t="shared" si="16"/>
        <v>10-Compte compteur</v>
      </c>
      <c r="R234" s="153" t="str">
        <f t="shared" si="16"/>
        <v>4731</v>
      </c>
      <c r="S234" s="154">
        <f t="shared" si="16"/>
        <v>0</v>
      </c>
      <c r="T234" s="156" t="str">
        <f>+VLOOKUP($L234,Data_Validation!$A:$D,1,0)</f>
        <v>4731@</v>
      </c>
      <c r="U234" s="156" t="str">
        <f>+VLOOKUP($L234,Data_Validation!$A:$D,3,0)</f>
        <v>Pièces</v>
      </c>
      <c r="V234" s="156" t="str">
        <f>+VLOOKUP($L234,Data_Validation!$A:$D,4,0)</f>
        <v>Pièces Ro Carrosserie</v>
      </c>
      <c r="W234" s="156" t="str">
        <f>+VLOOKUP($L234,Data_Validation!$A:$E,5,0)</f>
        <v>NB</v>
      </c>
      <c r="X234" s="156">
        <f>+VLOOKUP($L234,Data_Validation!$A:$F,6,0)</f>
        <v>0</v>
      </c>
    </row>
    <row r="235" spans="1:24" ht="15" customHeight="1">
      <c r="A235" s="1014" t="s">
        <v>2090</v>
      </c>
      <c r="B235" s="1014" t="s">
        <v>2091</v>
      </c>
      <c r="C235" s="1036">
        <v>-85545.32</v>
      </c>
      <c r="D235" s="1036">
        <v>-50038.85</v>
      </c>
      <c r="E235" s="1036">
        <v>-135584.17000000001</v>
      </c>
      <c r="F235" s="1014" t="s">
        <v>285</v>
      </c>
      <c r="G235" s="1014" t="s">
        <v>2091</v>
      </c>
      <c r="H235" s="1015"/>
      <c r="I235" s="1016"/>
      <c r="J235" s="1016"/>
      <c r="K235" s="1016"/>
      <c r="L235" s="153" t="str">
        <f t="shared" si="0"/>
        <v>4733</v>
      </c>
      <c r="M235" s="154" t="str">
        <f t="shared" si="1"/>
        <v>VTE - P&amp;A B.T. GARANTIE CAR.</v>
      </c>
      <c r="N235" s="155">
        <f>+IF(OR($Q235=Parametres!$G$2,$Q235=Parametres!$G$3),I235,C235)</f>
        <v>-85545.32</v>
      </c>
      <c r="O235" s="155">
        <f>+IF(OR($Q235=Parametres!$G$2,$Q235=Parametres!$G$3),J235,D235)</f>
        <v>-50038.85</v>
      </c>
      <c r="P235" s="155">
        <f>+IF(OR($Q235=Parametres!$G$2,$Q235=Parametres!$G$3),K235,E235)</f>
        <v>-135584.17000000001</v>
      </c>
      <c r="Q235" s="154" t="str">
        <f t="shared" si="16"/>
        <v>5-Ventes</v>
      </c>
      <c r="R235" s="153" t="str">
        <f t="shared" si="16"/>
        <v>4733</v>
      </c>
      <c r="S235" s="154">
        <f t="shared" si="16"/>
        <v>0</v>
      </c>
      <c r="T235" s="156" t="str">
        <f>+VLOOKUP($L235,Data_Validation!$A:$D,1,0)</f>
        <v>4733</v>
      </c>
      <c r="U235" s="156" t="str">
        <f>+VLOOKUP($L235,Data_Validation!$A:$D,3,0)</f>
        <v>Pièces</v>
      </c>
      <c r="V235" s="156" t="str">
        <f>+VLOOKUP($L235,Data_Validation!$A:$D,4,0)</f>
        <v>Pièces Ro Carrosserie</v>
      </c>
      <c r="W235" s="156" t="str">
        <f>+VLOOKUP($L235,Data_Validation!$A:$E,5,0)</f>
        <v>$</v>
      </c>
      <c r="X235" s="156" t="str">
        <f>+VLOOKUP($L235,Data_Validation!$A:$F,6,0)</f>
        <v>Oui</v>
      </c>
    </row>
    <row r="236" spans="1:24" ht="15" customHeight="1">
      <c r="A236" s="1014" t="s">
        <v>2550</v>
      </c>
      <c r="B236" s="1014" t="s">
        <v>2551</v>
      </c>
      <c r="C236" s="1016"/>
      <c r="D236" s="1016"/>
      <c r="E236" s="1016"/>
      <c r="F236" s="1014" t="s">
        <v>4</v>
      </c>
      <c r="G236" s="1014" t="s">
        <v>2091</v>
      </c>
      <c r="H236" s="1015"/>
      <c r="I236" s="1015">
        <v>-37</v>
      </c>
      <c r="J236" s="1015">
        <v>-30</v>
      </c>
      <c r="K236" s="1015">
        <v>-67</v>
      </c>
      <c r="L236" s="153" t="str">
        <f t="shared" si="0"/>
        <v>4733@</v>
      </c>
      <c r="M236" s="154" t="str">
        <f t="shared" si="1"/>
        <v># DE VTE - P&amp;A B.T. GARANTIE CARR.</v>
      </c>
      <c r="N236" s="155">
        <f>+IF(OR($Q236=Parametres!$G$2,$Q236=Parametres!$G$3),I236,C236)</f>
        <v>-37</v>
      </c>
      <c r="O236" s="155">
        <f>+IF(OR($Q236=Parametres!$G$2,$Q236=Parametres!$G$3),J236,D236)</f>
        <v>-30</v>
      </c>
      <c r="P236" s="155">
        <f>+IF(OR($Q236=Parametres!$G$2,$Q236=Parametres!$G$3),K236,E236)</f>
        <v>-67</v>
      </c>
      <c r="Q236" s="154" t="str">
        <f t="shared" si="16"/>
        <v>10-Compte compteur</v>
      </c>
      <c r="R236" s="153" t="str">
        <f t="shared" si="16"/>
        <v>4733</v>
      </c>
      <c r="S236" s="154">
        <f t="shared" si="16"/>
        <v>0</v>
      </c>
      <c r="T236" s="156" t="str">
        <f>+VLOOKUP($L236,Data_Validation!$A:$D,1,0)</f>
        <v>4733@</v>
      </c>
      <c r="U236" s="156" t="str">
        <f>+VLOOKUP($L236,Data_Validation!$A:$D,3,0)</f>
        <v>Pièces</v>
      </c>
      <c r="V236" s="156" t="str">
        <f>+VLOOKUP($L236,Data_Validation!$A:$D,4,0)</f>
        <v>Pièces Ro Carrosserie</v>
      </c>
      <c r="W236" s="156" t="str">
        <f>+VLOOKUP($L236,Data_Validation!$A:$E,5,0)</f>
        <v>NB</v>
      </c>
      <c r="X236" s="156">
        <f>+VLOOKUP($L236,Data_Validation!$A:$F,6,0)</f>
        <v>0</v>
      </c>
    </row>
    <row r="237" spans="1:24" ht="15" customHeight="1">
      <c r="A237" s="1014" t="s">
        <v>2165</v>
      </c>
      <c r="B237" s="1014" t="s">
        <v>2166</v>
      </c>
      <c r="C237" s="1036">
        <v>-413.33</v>
      </c>
      <c r="D237" s="1036">
        <v>-3772.61</v>
      </c>
      <c r="E237" s="1036">
        <v>-4185.9399999999996</v>
      </c>
      <c r="F237" s="1014" t="s">
        <v>285</v>
      </c>
      <c r="G237" s="1014" t="s">
        <v>2166</v>
      </c>
      <c r="H237" s="1015"/>
      <c r="I237" s="1016"/>
      <c r="J237" s="1016"/>
      <c r="K237" s="1016"/>
      <c r="L237" s="153" t="str">
        <f t="shared" si="0"/>
        <v>4735</v>
      </c>
      <c r="M237" s="154" t="str">
        <f t="shared" si="1"/>
        <v>VTE - P&amp;A B.T. INTERNE CARROS.</v>
      </c>
      <c r="N237" s="155">
        <f>+IF(OR($Q237=Parametres!$G$2,$Q237=Parametres!$G$3),I237,C237)</f>
        <v>-413.33</v>
      </c>
      <c r="O237" s="155">
        <f>+IF(OR($Q237=Parametres!$G$2,$Q237=Parametres!$G$3),J237,D237)</f>
        <v>-3772.61</v>
      </c>
      <c r="P237" s="155">
        <f>+IF(OR($Q237=Parametres!$G$2,$Q237=Parametres!$G$3),K237,E237)</f>
        <v>-4185.9399999999996</v>
      </c>
      <c r="Q237" s="154" t="str">
        <f t="shared" si="16"/>
        <v>5-Ventes</v>
      </c>
      <c r="R237" s="153" t="str">
        <f t="shared" si="16"/>
        <v>4735</v>
      </c>
      <c r="S237" s="154">
        <f t="shared" si="16"/>
        <v>0</v>
      </c>
      <c r="T237" s="156" t="str">
        <f>+VLOOKUP($L237,Data_Validation!$A:$D,1,0)</f>
        <v>4735</v>
      </c>
      <c r="U237" s="156" t="str">
        <f>+VLOOKUP($L237,Data_Validation!$A:$D,3,0)</f>
        <v>Pièces</v>
      </c>
      <c r="V237" s="156" t="str">
        <f>+VLOOKUP($L237,Data_Validation!$A:$D,4,0)</f>
        <v>Pièces Ro Carrosserie</v>
      </c>
      <c r="W237" s="156" t="str">
        <f>+VLOOKUP($L237,Data_Validation!$A:$E,5,0)</f>
        <v>$</v>
      </c>
      <c r="X237" s="156" t="str">
        <f>+VLOOKUP($L237,Data_Validation!$A:$F,6,0)</f>
        <v>Oui</v>
      </c>
    </row>
    <row r="238" spans="1:24" ht="15.75" customHeight="1">
      <c r="A238" s="1014" t="s">
        <v>2552</v>
      </c>
      <c r="B238" s="1014" t="s">
        <v>2553</v>
      </c>
      <c r="C238" s="1016"/>
      <c r="D238" s="1016"/>
      <c r="E238" s="1016"/>
      <c r="F238" s="1014" t="s">
        <v>4</v>
      </c>
      <c r="G238" s="1014" t="s">
        <v>2166</v>
      </c>
      <c r="H238" s="1015"/>
      <c r="I238" s="1015">
        <v>-3</v>
      </c>
      <c r="J238" s="1015">
        <v>-11</v>
      </c>
      <c r="K238" s="1015">
        <v>-14</v>
      </c>
      <c r="L238" s="153" t="str">
        <f t="shared" si="0"/>
        <v>4735@</v>
      </c>
      <c r="M238" s="154" t="str">
        <f t="shared" si="1"/>
        <v># DE VTE - P&amp;A B.T. INTERNE CARROS.</v>
      </c>
      <c r="N238" s="155">
        <f>+IF(OR($Q238=Parametres!$G$2,$Q238=Parametres!$G$3),I238,C238)</f>
        <v>-3</v>
      </c>
      <c r="O238" s="155">
        <f>+IF(OR($Q238=Parametres!$G$2,$Q238=Parametres!$G$3),J238,D238)</f>
        <v>-11</v>
      </c>
      <c r="P238" s="155">
        <f>+IF(OR($Q238=Parametres!$G$2,$Q238=Parametres!$G$3),K238,E238)</f>
        <v>-14</v>
      </c>
      <c r="Q238" s="154" t="str">
        <f t="shared" si="16"/>
        <v>10-Compte compteur</v>
      </c>
      <c r="R238" s="153" t="str">
        <f t="shared" si="16"/>
        <v>4735</v>
      </c>
      <c r="S238" s="154">
        <f t="shared" si="16"/>
        <v>0</v>
      </c>
      <c r="T238" s="156" t="str">
        <f>+VLOOKUP($L238,Data_Validation!$A:$D,1,0)</f>
        <v>4735@</v>
      </c>
      <c r="U238" s="156" t="str">
        <f>+VLOOKUP($L238,Data_Validation!$A:$D,3,0)</f>
        <v>Pièces</v>
      </c>
      <c r="V238" s="156" t="str">
        <f>+VLOOKUP($L238,Data_Validation!$A:$D,4,0)</f>
        <v>Pièces Ro Carrosserie</v>
      </c>
      <c r="W238" s="156" t="str">
        <f>+VLOOKUP($L238,Data_Validation!$A:$E,5,0)</f>
        <v>NB</v>
      </c>
      <c r="X238" s="156">
        <f>+VLOOKUP($L238,Data_Validation!$A:$F,6,0)</f>
        <v>0</v>
      </c>
    </row>
    <row r="239" spans="1:24" ht="15" customHeight="1">
      <c r="A239" s="1014" t="s">
        <v>2082</v>
      </c>
      <c r="B239" s="1014" t="s">
        <v>2083</v>
      </c>
      <c r="C239" s="1036">
        <v>-18895.669999999998</v>
      </c>
      <c r="D239" s="1036">
        <v>-10307.56</v>
      </c>
      <c r="E239" s="1036">
        <v>-29203.23</v>
      </c>
      <c r="F239" s="1014" t="s">
        <v>285</v>
      </c>
      <c r="G239" s="1014" t="s">
        <v>2083</v>
      </c>
      <c r="H239" s="1015"/>
      <c r="I239" s="1016"/>
      <c r="J239" s="1016"/>
      <c r="K239" s="1016"/>
      <c r="L239" s="153" t="str">
        <f t="shared" si="0"/>
        <v>4761</v>
      </c>
      <c r="M239" s="154" t="str">
        <f t="shared" si="1"/>
        <v>VTE - P&amp;A VW COMPTOIR - DETAIL</v>
      </c>
      <c r="N239" s="155">
        <f>+IF(OR($Q239=Parametres!$G$2,$Q239=Parametres!$G$3),I239,C239)</f>
        <v>-18895.669999999998</v>
      </c>
      <c r="O239" s="155">
        <f>+IF(OR($Q239=Parametres!$G$2,$Q239=Parametres!$G$3),J239,D239)</f>
        <v>-10307.56</v>
      </c>
      <c r="P239" s="155">
        <f>+IF(OR($Q239=Parametres!$G$2,$Q239=Parametres!$G$3),K239,E239)</f>
        <v>-29203.23</v>
      </c>
      <c r="Q239" s="154" t="str">
        <f t="shared" si="16"/>
        <v>5-Ventes</v>
      </c>
      <c r="R239" s="153" t="str">
        <f t="shared" si="16"/>
        <v>4761</v>
      </c>
      <c r="S239" s="154">
        <f t="shared" si="16"/>
        <v>0</v>
      </c>
      <c r="T239" s="156" t="str">
        <f>+VLOOKUP($L239,Data_Validation!$A:$D,1,0)</f>
        <v>4761</v>
      </c>
      <c r="U239" s="156" t="str">
        <f>+VLOOKUP($L239,Data_Validation!$A:$D,3,0)</f>
        <v>Pièces</v>
      </c>
      <c r="V239" s="156" t="str">
        <f>+VLOOKUP($L239,Data_Validation!$A:$D,4,0)</f>
        <v>Ventes Détails</v>
      </c>
      <c r="W239" s="156" t="str">
        <f>+VLOOKUP($L239,Data_Validation!$A:$E,5,0)</f>
        <v>$</v>
      </c>
      <c r="X239" s="156" t="str">
        <f>+VLOOKUP($L239,Data_Validation!$A:$F,6,0)</f>
        <v>Oui</v>
      </c>
    </row>
    <row r="240" spans="1:24" ht="15" customHeight="1">
      <c r="A240" s="1014" t="s">
        <v>2554</v>
      </c>
      <c r="B240" s="1014" t="s">
        <v>2555</v>
      </c>
      <c r="C240" s="1016"/>
      <c r="D240" s="1016"/>
      <c r="E240" s="1016"/>
      <c r="F240" s="1014" t="s">
        <v>4</v>
      </c>
      <c r="G240" s="1014" t="s">
        <v>2083</v>
      </c>
      <c r="H240" s="1015"/>
      <c r="I240" s="1015">
        <v>-341</v>
      </c>
      <c r="J240" s="1015">
        <v>-173</v>
      </c>
      <c r="K240" s="1015">
        <v>-514</v>
      </c>
      <c r="L240" s="153" t="str">
        <f t="shared" si="0"/>
        <v>4761@</v>
      </c>
      <c r="M240" s="154" t="str">
        <f t="shared" si="1"/>
        <v>PIECES-COMPTOIR-DETAIL</v>
      </c>
      <c r="N240" s="155">
        <f>+IF(OR($Q240=Parametres!$G$2,$Q240=Parametres!$G$3),I240,C240)</f>
        <v>-341</v>
      </c>
      <c r="O240" s="155">
        <f>+IF(OR($Q240=Parametres!$G$2,$Q240=Parametres!$G$3),J240,D240)</f>
        <v>-173</v>
      </c>
      <c r="P240" s="155">
        <f>+IF(OR($Q240=Parametres!$G$2,$Q240=Parametres!$G$3),K240,E240)</f>
        <v>-514</v>
      </c>
      <c r="Q240" s="154" t="str">
        <f t="shared" si="16"/>
        <v>10-Compte compteur</v>
      </c>
      <c r="R240" s="153" t="str">
        <f t="shared" si="16"/>
        <v>4761</v>
      </c>
      <c r="S240" s="154">
        <f t="shared" si="16"/>
        <v>0</v>
      </c>
      <c r="T240" s="156" t="str">
        <f>+VLOOKUP($L240,Data_Validation!$A:$D,1,0)</f>
        <v>4761@</v>
      </c>
      <c r="U240" s="156" t="str">
        <f>+VLOOKUP($L240,Data_Validation!$A:$D,3,0)</f>
        <v>Pièces</v>
      </c>
      <c r="V240" s="156" t="str">
        <f>+VLOOKUP($L240,Data_Validation!$A:$D,4,0)</f>
        <v>Ventes Détails</v>
      </c>
      <c r="W240" s="156" t="str">
        <f>+VLOOKUP($L240,Data_Validation!$A:$E,5,0)</f>
        <v>NB</v>
      </c>
      <c r="X240" s="156">
        <f>+VLOOKUP($L240,Data_Validation!$A:$F,6,0)</f>
        <v>0</v>
      </c>
    </row>
    <row r="241" spans="1:24" ht="15" customHeight="1">
      <c r="A241" s="1014" t="s">
        <v>2045</v>
      </c>
      <c r="B241" s="1014" t="s">
        <v>2046</v>
      </c>
      <c r="C241" s="1016">
        <v>-95258.45</v>
      </c>
      <c r="D241" s="1016">
        <v>-46810.51</v>
      </c>
      <c r="E241" s="1016">
        <v>-142068.96</v>
      </c>
      <c r="F241" s="1014" t="s">
        <v>285</v>
      </c>
      <c r="G241" s="1014" t="s">
        <v>2046</v>
      </c>
      <c r="H241" s="949"/>
      <c r="I241" s="948"/>
      <c r="J241" s="948"/>
      <c r="K241" s="948"/>
      <c r="L241" s="153" t="str">
        <f t="shared" si="0"/>
        <v>4763</v>
      </c>
      <c r="M241" s="154" t="str">
        <f t="shared" si="1"/>
        <v>VTE - P&amp;A VW COMPTOIR GROS - ECHANGE</v>
      </c>
      <c r="N241" s="155">
        <f>+IF(OR($Q241=Parametres!$G$2,$Q241=Parametres!$G$3),I241,C241)</f>
        <v>-95258.45</v>
      </c>
      <c r="O241" s="155">
        <f>+IF(OR($Q241=Parametres!$G$2,$Q241=Parametres!$G$3),J241,D241)</f>
        <v>-46810.51</v>
      </c>
      <c r="P241" s="155">
        <f>+IF(OR($Q241=Parametres!$G$2,$Q241=Parametres!$G$3),K241,E241)</f>
        <v>-142068.96</v>
      </c>
      <c r="Q241" s="154" t="str">
        <f t="shared" si="16"/>
        <v>5-Ventes</v>
      </c>
      <c r="R241" s="153" t="str">
        <f t="shared" si="16"/>
        <v>4763</v>
      </c>
      <c r="S241" s="154">
        <f t="shared" si="16"/>
        <v>0</v>
      </c>
      <c r="T241" s="156" t="str">
        <f>+VLOOKUP($L241,Data_Validation!$A:$D,1,0)</f>
        <v>4763</v>
      </c>
      <c r="U241" s="156" t="str">
        <f>+VLOOKUP($L241,Data_Validation!$A:$D,3,0)</f>
        <v>Pièces</v>
      </c>
      <c r="V241" s="156" t="str">
        <f>+VLOOKUP($L241,Data_Validation!$A:$D,4,0)</f>
        <v>Ventes de Gros</v>
      </c>
      <c r="W241" s="156" t="str">
        <f>+VLOOKUP($L241,Data_Validation!$A:$E,5,0)</f>
        <v>$</v>
      </c>
      <c r="X241" s="156" t="str">
        <f>+VLOOKUP($L241,Data_Validation!$A:$F,6,0)</f>
        <v>Oui</v>
      </c>
    </row>
    <row r="242" spans="1:24" ht="15" customHeight="1">
      <c r="A242" s="1014" t="s">
        <v>2556</v>
      </c>
      <c r="B242" s="1014" t="s">
        <v>2557</v>
      </c>
      <c r="C242" s="1016"/>
      <c r="D242" s="1016"/>
      <c r="E242" s="1016"/>
      <c r="F242" s="1014" t="s">
        <v>4</v>
      </c>
      <c r="G242" s="1014" t="s">
        <v>2046</v>
      </c>
      <c r="H242" s="949"/>
      <c r="I242" s="948">
        <v>-388</v>
      </c>
      <c r="J242" s="948">
        <v>-200</v>
      </c>
      <c r="K242" s="948">
        <v>-588</v>
      </c>
      <c r="L242" s="153" t="str">
        <f t="shared" si="0"/>
        <v>4763@</v>
      </c>
      <c r="M242" s="154" t="str">
        <f t="shared" si="1"/>
        <v>PIECES-COMPTOIR-COMM. GROS</v>
      </c>
      <c r="N242" s="155">
        <f>+IF(OR($Q242=Parametres!$G$2,$Q242=Parametres!$G$3),I242,C242)</f>
        <v>-388</v>
      </c>
      <c r="O242" s="155">
        <f>+IF(OR($Q242=Parametres!$G$2,$Q242=Parametres!$G$3),J242,D242)</f>
        <v>-200</v>
      </c>
      <c r="P242" s="155">
        <f>+IF(OR($Q242=Parametres!$G$2,$Q242=Parametres!$G$3),K242,E242)</f>
        <v>-588</v>
      </c>
      <c r="Q242" s="154" t="str">
        <f t="shared" ref="Q242:S257" si="17">+F242</f>
        <v>10-Compte compteur</v>
      </c>
      <c r="R242" s="153" t="str">
        <f t="shared" si="17"/>
        <v>4763</v>
      </c>
      <c r="S242" s="154">
        <f t="shared" si="17"/>
        <v>0</v>
      </c>
      <c r="T242" s="156" t="str">
        <f>+VLOOKUP($L242,Data_Validation!$A:$D,1,0)</f>
        <v>4763@</v>
      </c>
      <c r="U242" s="156" t="str">
        <f>+VLOOKUP($L242,Data_Validation!$A:$D,3,0)</f>
        <v>Pièces</v>
      </c>
      <c r="V242" s="156" t="str">
        <f>+VLOOKUP($L242,Data_Validation!$A:$D,4,0)</f>
        <v>Ventes de Gros</v>
      </c>
      <c r="W242" s="156" t="str">
        <f>+VLOOKUP($L242,Data_Validation!$A:$E,5,0)</f>
        <v>NB</v>
      </c>
      <c r="X242" s="156">
        <f>+VLOOKUP($L242,Data_Validation!$A:$F,6,0)</f>
        <v>0</v>
      </c>
    </row>
    <row r="243" spans="1:24" ht="15.75" customHeight="1">
      <c r="A243" s="1014" t="s">
        <v>2034</v>
      </c>
      <c r="B243" s="1014" t="s">
        <v>2035</v>
      </c>
      <c r="C243" s="1016">
        <v>-90240.15</v>
      </c>
      <c r="D243" s="1016">
        <v>-29192.35</v>
      </c>
      <c r="E243" s="1016">
        <v>-119432.5</v>
      </c>
      <c r="F243" s="1014" t="s">
        <v>285</v>
      </c>
      <c r="G243" s="1014" t="s">
        <v>2035</v>
      </c>
      <c r="H243" s="949"/>
      <c r="I243" s="948"/>
      <c r="J243" s="948"/>
      <c r="K243" s="948"/>
      <c r="L243" s="153" t="str">
        <f t="shared" si="0"/>
        <v>4781</v>
      </c>
      <c r="M243" s="154" t="str">
        <f t="shared" si="1"/>
        <v>VENTES PNEUS</v>
      </c>
      <c r="N243" s="155">
        <f>+IF(OR($Q243=Parametres!$G$2,$Q243=Parametres!$G$3),I243,C243)</f>
        <v>-90240.15</v>
      </c>
      <c r="O243" s="155">
        <f>+IF(OR($Q243=Parametres!$G$2,$Q243=Parametres!$G$3),J243,D243)</f>
        <v>-29192.35</v>
      </c>
      <c r="P243" s="155">
        <f>+IF(OR($Q243=Parametres!$G$2,$Q243=Parametres!$G$3),K243,E243)</f>
        <v>-119432.5</v>
      </c>
      <c r="Q243" s="154" t="str">
        <f t="shared" si="17"/>
        <v>5-Ventes</v>
      </c>
      <c r="R243" s="153" t="str">
        <f t="shared" si="17"/>
        <v>4781</v>
      </c>
      <c r="S243" s="154">
        <f t="shared" si="17"/>
        <v>0</v>
      </c>
      <c r="T243" s="156" t="str">
        <f>+VLOOKUP($L243,Data_Validation!$A:$D,1,0)</f>
        <v>4781</v>
      </c>
      <c r="U243" s="156" t="str">
        <f>+VLOOKUP($L243,Data_Validation!$A:$D,3,0)</f>
        <v>Pièces</v>
      </c>
      <c r="V243" s="156" t="str">
        <f>+VLOOKUP($L243,Data_Validation!$A:$D,4,0)</f>
        <v>Ventes Pneus</v>
      </c>
      <c r="W243" s="156" t="str">
        <f>+VLOOKUP($L243,Data_Validation!$A:$E,5,0)</f>
        <v>$</v>
      </c>
      <c r="X243" s="156" t="str">
        <f>+VLOOKUP($L243,Data_Validation!$A:$F,6,0)</f>
        <v>Oui</v>
      </c>
    </row>
    <row r="244" spans="1:24" ht="15" customHeight="1">
      <c r="A244" s="1014" t="s">
        <v>2034</v>
      </c>
      <c r="B244" s="1014" t="s">
        <v>2558</v>
      </c>
      <c r="C244" s="1016"/>
      <c r="D244" s="1016"/>
      <c r="E244" s="1016"/>
      <c r="F244" s="1014" t="s">
        <v>4</v>
      </c>
      <c r="G244" s="1014" t="s">
        <v>2035</v>
      </c>
      <c r="H244" s="949"/>
      <c r="I244" s="948">
        <v>-147</v>
      </c>
      <c r="J244" s="948">
        <v>-48</v>
      </c>
      <c r="K244" s="948">
        <v>-195</v>
      </c>
      <c r="L244" s="153" t="str">
        <f t="shared" si="0"/>
        <v>4781@</v>
      </c>
      <c r="M244" s="154" t="str">
        <f t="shared" si="1"/>
        <v>VENTES PNEUS</v>
      </c>
      <c r="N244" s="155">
        <f>+IF(OR($Q244=Parametres!$G$2,$Q244=Parametres!$G$3),I244,C244)</f>
        <v>-147</v>
      </c>
      <c r="O244" s="155">
        <f>+IF(OR($Q244=Parametres!$G$2,$Q244=Parametres!$G$3),J244,D244)</f>
        <v>-48</v>
      </c>
      <c r="P244" s="155">
        <f>+IF(OR($Q244=Parametres!$G$2,$Q244=Parametres!$G$3),K244,E244)</f>
        <v>-195</v>
      </c>
      <c r="Q244" s="154" t="str">
        <f t="shared" si="17"/>
        <v>10-Compte compteur</v>
      </c>
      <c r="R244" s="153" t="str">
        <f t="shared" si="17"/>
        <v>4781</v>
      </c>
      <c r="S244" s="154">
        <f t="shared" si="17"/>
        <v>0</v>
      </c>
      <c r="T244" s="156" t="str">
        <f>+VLOOKUP($L244,Data_Validation!$A:$D,1,0)</f>
        <v>4781@</v>
      </c>
      <c r="U244" s="156" t="str">
        <f>+VLOOKUP($L244,Data_Validation!$A:$D,3,0)</f>
        <v>Pièces</v>
      </c>
      <c r="V244" s="156" t="str">
        <f>+VLOOKUP($L244,Data_Validation!$A:$D,4,0)</f>
        <v>Ventes Pneus</v>
      </c>
      <c r="W244" s="156" t="str">
        <f>+VLOOKUP($L244,Data_Validation!$A:$E,5,0)</f>
        <v>NB</v>
      </c>
      <c r="X244" s="156">
        <f>+VLOOKUP($L244,Data_Validation!$A:$F,6,0)</f>
        <v>0</v>
      </c>
    </row>
    <row r="245" spans="1:24" ht="15" customHeight="1">
      <c r="A245" s="1014" t="s">
        <v>2120</v>
      </c>
      <c r="B245" s="1014" t="s">
        <v>2121</v>
      </c>
      <c r="C245" s="1016">
        <v>-483</v>
      </c>
      <c r="D245" s="1016">
        <v>-337.79</v>
      </c>
      <c r="E245" s="1016">
        <v>-820.79</v>
      </c>
      <c r="F245" s="1014" t="s">
        <v>285</v>
      </c>
      <c r="G245" s="1014" t="s">
        <v>2035</v>
      </c>
      <c r="H245" s="949"/>
      <c r="I245" s="948"/>
      <c r="J245" s="948"/>
      <c r="K245" s="948"/>
      <c r="L245" s="153" t="str">
        <f t="shared" si="0"/>
        <v>4785</v>
      </c>
      <c r="M245" s="154" t="str">
        <f t="shared" si="1"/>
        <v>VTE - VW PNEUS</v>
      </c>
      <c r="N245" s="155">
        <f>+IF(OR($Q245=Parametres!$G$2,$Q245=Parametres!$G$3),I245,C245)</f>
        <v>-483</v>
      </c>
      <c r="O245" s="155">
        <f>+IF(OR($Q245=Parametres!$G$2,$Q245=Parametres!$G$3),J245,D245)</f>
        <v>-337.79</v>
      </c>
      <c r="P245" s="155">
        <f>+IF(OR($Q245=Parametres!$G$2,$Q245=Parametres!$G$3),K245,E245)</f>
        <v>-820.79</v>
      </c>
      <c r="Q245" s="154" t="str">
        <f t="shared" si="17"/>
        <v>5-Ventes</v>
      </c>
      <c r="R245" s="153" t="str">
        <f t="shared" si="17"/>
        <v>4781</v>
      </c>
      <c r="S245" s="154">
        <f t="shared" si="17"/>
        <v>0</v>
      </c>
      <c r="T245" s="156" t="str">
        <f>+VLOOKUP($L245,Data_Validation!$A:$D,1,0)</f>
        <v>4785</v>
      </c>
      <c r="U245" s="156" t="str">
        <f>+VLOOKUP($L245,Data_Validation!$A:$D,3,0)</f>
        <v>Pièces</v>
      </c>
      <c r="V245" s="156" t="str">
        <f>+VLOOKUP($L245,Data_Validation!$A:$D,4,0)</f>
        <v>Ventes Pneus</v>
      </c>
      <c r="W245" s="156" t="str">
        <f>+VLOOKUP($L245,Data_Validation!$A:$E,5,0)</f>
        <v>$</v>
      </c>
      <c r="X245" s="156" t="str">
        <f>+VLOOKUP($L245,Data_Validation!$A:$F,6,0)</f>
        <v>Oui</v>
      </c>
    </row>
    <row r="246" spans="1:24" ht="15" customHeight="1">
      <c r="A246" s="1014" t="s">
        <v>2840</v>
      </c>
      <c r="B246" s="1014" t="s">
        <v>2841</v>
      </c>
      <c r="C246" s="1016">
        <v>13112</v>
      </c>
      <c r="D246" s="1016">
        <v>156252.5</v>
      </c>
      <c r="E246" s="1016">
        <v>169364.5</v>
      </c>
      <c r="F246" s="1014" t="s">
        <v>424</v>
      </c>
      <c r="G246" s="1014" t="s">
        <v>2026</v>
      </c>
      <c r="H246" s="949"/>
      <c r="I246" s="948"/>
      <c r="J246" s="948"/>
      <c r="K246" s="948"/>
      <c r="L246" s="153" t="str">
        <f t="shared" si="0"/>
        <v>5100</v>
      </c>
      <c r="M246" s="154" t="str">
        <f t="shared" si="1"/>
        <v>C/V - RACHAT DE BAIL</v>
      </c>
      <c r="N246" s="155">
        <f>+IF(OR($Q246=Parametres!$G$2,$Q246=Parametres!$G$3),I246,C246)</f>
        <v>13112</v>
      </c>
      <c r="O246" s="155">
        <f>+IF(OR($Q246=Parametres!$G$2,$Q246=Parametres!$G$3),J246,D246)</f>
        <v>156252.5</v>
      </c>
      <c r="P246" s="155">
        <f>+IF(OR($Q246=Parametres!$G$2,$Q246=Parametres!$G$3),K246,E246)</f>
        <v>169364.5</v>
      </c>
      <c r="Q246" s="154" t="str">
        <f t="shared" si="17"/>
        <v>6-Coût des ventes</v>
      </c>
      <c r="R246" s="153" t="str">
        <f t="shared" si="17"/>
        <v>4100</v>
      </c>
      <c r="S246" s="154">
        <f t="shared" si="17"/>
        <v>0</v>
      </c>
      <c r="T246" s="156" t="str">
        <f>+VLOOKUP($L246,Data_Validation!$A:$D,1,0)</f>
        <v>5100</v>
      </c>
      <c r="U246" s="156" t="str">
        <f>+VLOOKUP($L246,Data_Validation!$A:$D,3,0)</f>
        <v>Véhicules neufs</v>
      </c>
      <c r="V246" s="156" t="str">
        <f>+VLOOKUP($L246,Data_Validation!$A:$D,4,0)</f>
        <v>Rachat bail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4" t="s">
        <v>2446</v>
      </c>
      <c r="B247" s="1014" t="s">
        <v>2447</v>
      </c>
      <c r="C247" s="1016">
        <v>95694.15</v>
      </c>
      <c r="D247" s="1016">
        <v>102237.06</v>
      </c>
      <c r="E247" s="1016">
        <v>197931.21</v>
      </c>
      <c r="F247" s="1014" t="s">
        <v>424</v>
      </c>
      <c r="G247" s="1014" t="s">
        <v>2432</v>
      </c>
      <c r="H247" s="949"/>
      <c r="I247" s="948"/>
      <c r="J247" s="948"/>
      <c r="K247" s="948"/>
      <c r="L247" s="153" t="str">
        <f t="shared" si="0"/>
        <v>5101</v>
      </c>
      <c r="M247" s="154" t="str">
        <f t="shared" si="1"/>
        <v>C/V - NEW BEETLE</v>
      </c>
      <c r="N247" s="155">
        <f>+IF(OR($Q247=Parametres!$G$2,$Q247=Parametres!$G$3),I247,C247)</f>
        <v>95694.15</v>
      </c>
      <c r="O247" s="155">
        <f>+IF(OR($Q247=Parametres!$G$2,$Q247=Parametres!$G$3),J247,D247)</f>
        <v>102237.06</v>
      </c>
      <c r="P247" s="155">
        <f>+IF(OR($Q247=Parametres!$G$2,$Q247=Parametres!$G$3),K247,E247)</f>
        <v>197931.21</v>
      </c>
      <c r="Q247" s="154" t="str">
        <f t="shared" si="17"/>
        <v>6-Coût des ventes</v>
      </c>
      <c r="R247" s="153" t="str">
        <f t="shared" si="17"/>
        <v>4101</v>
      </c>
      <c r="S247" s="154">
        <f t="shared" si="17"/>
        <v>0</v>
      </c>
      <c r="T247" s="156" t="str">
        <f>+VLOOKUP($L247,Data_Validation!$A:$D,1,0)</f>
        <v>5101</v>
      </c>
      <c r="U247" s="156" t="str">
        <f>+VLOOKUP($L247,Data_Validation!$A:$D,3,0)</f>
        <v>Véhicules neufs</v>
      </c>
      <c r="V247" s="156" t="str">
        <f>+VLOOKUP($L247,Data_Validation!$A:$D,4,0)</f>
        <v>Autos détail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4" t="s">
        <v>2842</v>
      </c>
      <c r="B248" s="1014" t="s">
        <v>2843</v>
      </c>
      <c r="C248" s="1016">
        <v>329855.57</v>
      </c>
      <c r="D248" s="1016">
        <v>265835.18</v>
      </c>
      <c r="E248" s="1016">
        <v>595690.75</v>
      </c>
      <c r="F248" s="1014" t="s">
        <v>424</v>
      </c>
      <c r="G248" s="1014" t="s">
        <v>2019</v>
      </c>
      <c r="H248" s="949"/>
      <c r="I248" s="948"/>
      <c r="J248" s="948"/>
      <c r="K248" s="948"/>
      <c r="L248" s="153" t="str">
        <f t="shared" si="0"/>
        <v>5107</v>
      </c>
      <c r="M248" s="154" t="str">
        <f t="shared" si="1"/>
        <v>C/V - GOLF</v>
      </c>
      <c r="N248" s="155">
        <f>+IF(OR($Q248=Parametres!$G$2,$Q248=Parametres!$G$3),I248,C248)</f>
        <v>329855.57</v>
      </c>
      <c r="O248" s="155">
        <f>+IF(OR($Q248=Parametres!$G$2,$Q248=Parametres!$G$3),J248,D248)</f>
        <v>265835.18</v>
      </c>
      <c r="P248" s="155">
        <f>+IF(OR($Q248=Parametres!$G$2,$Q248=Parametres!$G$3),K248,E248)</f>
        <v>595690.75</v>
      </c>
      <c r="Q248" s="154" t="str">
        <f t="shared" si="17"/>
        <v>6-Coût des ventes</v>
      </c>
      <c r="R248" s="153" t="str">
        <f t="shared" si="17"/>
        <v>4107</v>
      </c>
      <c r="S248" s="154">
        <f t="shared" si="17"/>
        <v>0</v>
      </c>
      <c r="T248" s="156" t="str">
        <f>+VLOOKUP($L248,Data_Validation!$A:$D,1,0)</f>
        <v>5107</v>
      </c>
      <c r="U248" s="156" t="str">
        <f>+VLOOKUP($L248,Data_Validation!$A:$D,3,0)</f>
        <v>Véhicules neufs</v>
      </c>
      <c r="V248" s="156" t="str">
        <f>+VLOOKUP($L248,Data_Validation!$A:$D,4,0)</f>
        <v>Autos détail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4" t="s">
        <v>2450</v>
      </c>
      <c r="B249" s="1014" t="s">
        <v>2451</v>
      </c>
      <c r="C249" s="1016">
        <v>216760.14</v>
      </c>
      <c r="D249" s="1016">
        <v>0</v>
      </c>
      <c r="E249" s="1016">
        <v>216760.14</v>
      </c>
      <c r="F249" s="1014" t="s">
        <v>424</v>
      </c>
      <c r="G249" s="1014" t="s">
        <v>2436</v>
      </c>
      <c r="H249" s="949"/>
      <c r="I249" s="948"/>
      <c r="J249" s="948"/>
      <c r="K249" s="948"/>
      <c r="L249" s="153" t="str">
        <f t="shared" si="0"/>
        <v>5109</v>
      </c>
      <c r="M249" s="154" t="str">
        <f t="shared" si="1"/>
        <v>C/V - GOLF R</v>
      </c>
      <c r="N249" s="155">
        <f>+IF(OR($Q249=Parametres!$G$2,$Q249=Parametres!$G$3),I249,C249)</f>
        <v>216760.14</v>
      </c>
      <c r="O249" s="155">
        <f>+IF(OR($Q249=Parametres!$G$2,$Q249=Parametres!$G$3),J249,D249)</f>
        <v>0</v>
      </c>
      <c r="P249" s="155">
        <f>+IF(OR($Q249=Parametres!$G$2,$Q249=Parametres!$G$3),K249,E249)</f>
        <v>216760.14</v>
      </c>
      <c r="Q249" s="154" t="str">
        <f t="shared" si="17"/>
        <v>6-Coût des ventes</v>
      </c>
      <c r="R249" s="153" t="str">
        <f t="shared" si="17"/>
        <v>4109</v>
      </c>
      <c r="S249" s="154">
        <f t="shared" si="17"/>
        <v>0</v>
      </c>
      <c r="T249" s="156" t="str">
        <f>+VLOOKUP($L249,Data_Validation!$A:$D,1,0)</f>
        <v>5109</v>
      </c>
      <c r="U249" s="156" t="str">
        <f>+VLOOKUP($L249,Data_Validation!$A:$D,3,0)</f>
        <v>Véhicules neufs</v>
      </c>
      <c r="V249" s="156" t="str">
        <f>+VLOOKUP($L249,Data_Validation!$A:$D,4,0)</f>
        <v>Autos détail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4" t="s">
        <v>2844</v>
      </c>
      <c r="B250" s="1014" t="s">
        <v>2845</v>
      </c>
      <c r="C250" s="1016">
        <v>609885.27</v>
      </c>
      <c r="D250" s="1016">
        <v>518272.17</v>
      </c>
      <c r="E250" s="1016">
        <v>1128157.44</v>
      </c>
      <c r="F250" s="1014" t="s">
        <v>424</v>
      </c>
      <c r="G250" s="1014" t="s">
        <v>2014</v>
      </c>
      <c r="H250" s="949"/>
      <c r="I250" s="948"/>
      <c r="J250" s="948"/>
      <c r="K250" s="948"/>
      <c r="L250" s="153" t="str">
        <f t="shared" si="0"/>
        <v>5111</v>
      </c>
      <c r="M250" s="154" t="str">
        <f t="shared" si="1"/>
        <v>C/V - JETTA</v>
      </c>
      <c r="N250" s="155">
        <f>+IF(OR($Q250=Parametres!$G$2,$Q250=Parametres!$G$3),I250,C250)</f>
        <v>609885.27</v>
      </c>
      <c r="O250" s="155">
        <f>+IF(OR($Q250=Parametres!$G$2,$Q250=Parametres!$G$3),J250,D250)</f>
        <v>518272.17</v>
      </c>
      <c r="P250" s="155">
        <f>+IF(OR($Q250=Parametres!$G$2,$Q250=Parametres!$G$3),K250,E250)</f>
        <v>1128157.44</v>
      </c>
      <c r="Q250" s="154" t="str">
        <f t="shared" si="17"/>
        <v>6-Coût des ventes</v>
      </c>
      <c r="R250" s="153" t="str">
        <f t="shared" si="17"/>
        <v>4111</v>
      </c>
      <c r="S250" s="154">
        <f t="shared" si="17"/>
        <v>0</v>
      </c>
      <c r="T250" s="156" t="str">
        <f>+VLOOKUP($L250,Data_Validation!$A:$D,1,0)</f>
        <v>5111</v>
      </c>
      <c r="U250" s="156" t="str">
        <f>+VLOOKUP($L250,Data_Validation!$A:$D,3,0)</f>
        <v>Véhicules neufs</v>
      </c>
      <c r="V250" s="156" t="str">
        <f>+VLOOKUP($L250,Data_Validation!$A:$D,4,0)</f>
        <v>Autos détail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4" t="s">
        <v>2452</v>
      </c>
      <c r="B251" s="1014" t="s">
        <v>2453</v>
      </c>
      <c r="C251" s="1016">
        <v>298179.14</v>
      </c>
      <c r="D251" s="1016">
        <v>170075.08</v>
      </c>
      <c r="E251" s="1016">
        <v>468254.22</v>
      </c>
      <c r="F251" s="1014" t="s">
        <v>424</v>
      </c>
      <c r="G251" s="1014" t="s">
        <v>2438</v>
      </c>
      <c r="H251" s="949"/>
      <c r="I251" s="948"/>
      <c r="J251" s="948"/>
      <c r="K251" s="948"/>
      <c r="L251" s="153" t="str">
        <f t="shared" si="0"/>
        <v>5113</v>
      </c>
      <c r="M251" s="154" t="str">
        <f t="shared" si="1"/>
        <v>C/V - GOLF (FAMILIALE)</v>
      </c>
      <c r="N251" s="155">
        <f>+IF(OR($Q251=Parametres!$G$2,$Q251=Parametres!$G$3),I251,C251)</f>
        <v>298179.14</v>
      </c>
      <c r="O251" s="155">
        <f>+IF(OR($Q251=Parametres!$G$2,$Q251=Parametres!$G$3),J251,D251)</f>
        <v>170075.08</v>
      </c>
      <c r="P251" s="155">
        <f>+IF(OR($Q251=Parametres!$G$2,$Q251=Parametres!$G$3),K251,E251)</f>
        <v>468254.22</v>
      </c>
      <c r="Q251" s="154" t="str">
        <f t="shared" si="17"/>
        <v>6-Coût des ventes</v>
      </c>
      <c r="R251" s="153" t="str">
        <f t="shared" si="17"/>
        <v>4113</v>
      </c>
      <c r="S251" s="154">
        <f t="shared" si="17"/>
        <v>0</v>
      </c>
      <c r="T251" s="156" t="str">
        <f>+VLOOKUP($L251,Data_Validation!$A:$D,1,0)</f>
        <v>5113</v>
      </c>
      <c r="U251" s="156" t="str">
        <f>+VLOOKUP($L251,Data_Validation!$A:$D,3,0)</f>
        <v>Véhicules neufs</v>
      </c>
      <c r="V251" s="156" t="str">
        <f>+VLOOKUP($L251,Data_Validation!$A:$D,4,0)</f>
        <v>Autos détail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4" t="s">
        <v>2454</v>
      </c>
      <c r="B252" s="1014" t="s">
        <v>2455</v>
      </c>
      <c r="C252" s="1016">
        <v>0</v>
      </c>
      <c r="D252" s="1016">
        <v>37395.17</v>
      </c>
      <c r="E252" s="1016">
        <v>37395.17</v>
      </c>
      <c r="F252" s="1014" t="s">
        <v>424</v>
      </c>
      <c r="G252" s="1014" t="s">
        <v>2440</v>
      </c>
      <c r="H252" s="949"/>
      <c r="I252" s="948"/>
      <c r="J252" s="948"/>
      <c r="K252" s="948"/>
      <c r="L252" s="153" t="str">
        <f t="shared" si="0"/>
        <v>5115</v>
      </c>
      <c r="M252" s="154" t="str">
        <f t="shared" si="1"/>
        <v>C/V - PASSAT BERLINE</v>
      </c>
      <c r="N252" s="155">
        <f>+IF(OR($Q252=Parametres!$G$2,$Q252=Parametres!$G$3),I252,C252)</f>
        <v>0</v>
      </c>
      <c r="O252" s="155">
        <f>+IF(OR($Q252=Parametres!$G$2,$Q252=Parametres!$G$3),J252,D252)</f>
        <v>37395.17</v>
      </c>
      <c r="P252" s="155">
        <f>+IF(OR($Q252=Parametres!$G$2,$Q252=Parametres!$G$3),K252,E252)</f>
        <v>37395.17</v>
      </c>
      <c r="Q252" s="154" t="str">
        <f t="shared" si="17"/>
        <v>6-Coût des ventes</v>
      </c>
      <c r="R252" s="153" t="str">
        <f t="shared" si="17"/>
        <v>4115</v>
      </c>
      <c r="S252" s="154">
        <f t="shared" si="17"/>
        <v>0</v>
      </c>
      <c r="T252" s="156" t="str">
        <f>+VLOOKUP($L252,Data_Validation!$A:$D,1,0)</f>
        <v>5115</v>
      </c>
      <c r="U252" s="156" t="str">
        <f>+VLOOKUP($L252,Data_Validation!$A:$D,3,0)</f>
        <v>Véhicules neufs</v>
      </c>
      <c r="V252" s="156" t="str">
        <f>+VLOOKUP($L252,Data_Validation!$A:$D,4,0)</f>
        <v>Autos détail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4" t="s">
        <v>2850</v>
      </c>
      <c r="B253" s="1014" t="s">
        <v>2851</v>
      </c>
      <c r="C253" s="1016">
        <v>491226.71</v>
      </c>
      <c r="D253" s="1016">
        <v>354243.67</v>
      </c>
      <c r="E253" s="1016">
        <v>845470.38</v>
      </c>
      <c r="F253" s="1014" t="s">
        <v>424</v>
      </c>
      <c r="G253" s="1014" t="s">
        <v>2003</v>
      </c>
      <c r="H253" s="949"/>
      <c r="I253" s="948"/>
      <c r="J253" s="948"/>
      <c r="K253" s="948"/>
      <c r="L253" s="153" t="str">
        <f t="shared" si="0"/>
        <v>5119</v>
      </c>
      <c r="M253" s="154" t="str">
        <f t="shared" si="1"/>
        <v>C/V - ATLAS</v>
      </c>
      <c r="N253" s="155">
        <f>+IF(OR($Q253=Parametres!$G$2,$Q253=Parametres!$G$3),I253,C253)</f>
        <v>491226.71</v>
      </c>
      <c r="O253" s="155">
        <f>+IF(OR($Q253=Parametres!$G$2,$Q253=Parametres!$G$3),J253,D253)</f>
        <v>354243.67</v>
      </c>
      <c r="P253" s="155">
        <f>+IF(OR($Q253=Parametres!$G$2,$Q253=Parametres!$G$3),K253,E253)</f>
        <v>845470.38</v>
      </c>
      <c r="Q253" s="154" t="str">
        <f t="shared" si="17"/>
        <v>6-Coût des ventes</v>
      </c>
      <c r="R253" s="153" t="str">
        <f t="shared" si="17"/>
        <v>4119</v>
      </c>
      <c r="S253" s="154">
        <f t="shared" si="17"/>
        <v>0</v>
      </c>
      <c r="T253" s="156" t="str">
        <f>+VLOOKUP($L253,Data_Validation!$A:$D,1,0)</f>
        <v>5119</v>
      </c>
      <c r="U253" s="156" t="str">
        <f>+VLOOKUP($L253,Data_Validation!$A:$D,3,0)</f>
        <v>Véhicules neufs</v>
      </c>
      <c r="V253" s="156" t="str">
        <f>+VLOOKUP($L253,Data_Validation!$A:$D,4,0)</f>
        <v>Camions détail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4" t="s">
        <v>2836</v>
      </c>
      <c r="B254" s="1014" t="s">
        <v>2837</v>
      </c>
      <c r="C254" s="1016">
        <v>71680.17</v>
      </c>
      <c r="D254" s="1016">
        <v>71162.149999999994</v>
      </c>
      <c r="E254" s="1016">
        <v>142842.32</v>
      </c>
      <c r="F254" s="1014" t="s">
        <v>424</v>
      </c>
      <c r="G254" s="1014" t="s">
        <v>2031</v>
      </c>
      <c r="H254" s="949"/>
      <c r="I254" s="948"/>
      <c r="J254" s="948"/>
      <c r="K254" s="948"/>
      <c r="L254" s="153" t="str">
        <f t="shared" si="0"/>
        <v>5127</v>
      </c>
      <c r="M254" s="154" t="str">
        <f t="shared" si="1"/>
        <v>C/V - GOLF GTI</v>
      </c>
      <c r="N254" s="155">
        <f>+IF(OR($Q254=Parametres!$G$2,$Q254=Parametres!$G$3),I254,C254)</f>
        <v>71680.17</v>
      </c>
      <c r="O254" s="155">
        <f>+IF(OR($Q254=Parametres!$G$2,$Q254=Parametres!$G$3),J254,D254)</f>
        <v>71162.149999999994</v>
      </c>
      <c r="P254" s="155">
        <f>+IF(OR($Q254=Parametres!$G$2,$Q254=Parametres!$G$3),K254,E254)</f>
        <v>142842.32</v>
      </c>
      <c r="Q254" s="154" t="str">
        <f t="shared" si="17"/>
        <v>6-Coût des ventes</v>
      </c>
      <c r="R254" s="153" t="str">
        <f t="shared" si="17"/>
        <v>4127</v>
      </c>
      <c r="S254" s="154">
        <f t="shared" si="17"/>
        <v>0</v>
      </c>
      <c r="T254" s="156" t="str">
        <f>+VLOOKUP($L254,Data_Validation!$A:$D,1,0)</f>
        <v>5127</v>
      </c>
      <c r="U254" s="156" t="str">
        <f>+VLOOKUP($L254,Data_Validation!$A:$D,3,0)</f>
        <v>Véhicules neufs</v>
      </c>
      <c r="V254" s="156" t="str">
        <f>+VLOOKUP($L254,Data_Validation!$A:$D,4,0)</f>
        <v>Autos détail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4" t="s">
        <v>2855</v>
      </c>
      <c r="B255" s="1014" t="s">
        <v>2856</v>
      </c>
      <c r="C255" s="1016">
        <v>1599699.18</v>
      </c>
      <c r="D255" s="1016">
        <v>1011493.96</v>
      </c>
      <c r="E255" s="1016">
        <v>2611193.14</v>
      </c>
      <c r="F255" s="1014" t="s">
        <v>424</v>
      </c>
      <c r="G255" s="1014" t="s">
        <v>1999</v>
      </c>
      <c r="H255" s="949"/>
      <c r="I255" s="948"/>
      <c r="J255" s="948"/>
      <c r="K255" s="948"/>
      <c r="L255" s="153" t="str">
        <f t="shared" si="0"/>
        <v>5131</v>
      </c>
      <c r="M255" s="154" t="str">
        <f t="shared" si="1"/>
        <v>C/V - TIGUAN LWB</v>
      </c>
      <c r="N255" s="155">
        <f>+IF(OR($Q255=Parametres!$G$2,$Q255=Parametres!$G$3),I255,C255)</f>
        <v>1599699.18</v>
      </c>
      <c r="O255" s="155">
        <f>+IF(OR($Q255=Parametres!$G$2,$Q255=Parametres!$G$3),J255,D255)</f>
        <v>1011493.96</v>
      </c>
      <c r="P255" s="155">
        <f>+IF(OR($Q255=Parametres!$G$2,$Q255=Parametres!$G$3),K255,E255)</f>
        <v>2611193.14</v>
      </c>
      <c r="Q255" s="154" t="str">
        <f t="shared" si="17"/>
        <v>6-Coût des ventes</v>
      </c>
      <c r="R255" s="153" t="str">
        <f t="shared" si="17"/>
        <v>4131</v>
      </c>
      <c r="S255" s="154">
        <f t="shared" si="17"/>
        <v>0</v>
      </c>
      <c r="T255" s="156" t="str">
        <f>+VLOOKUP($L255,Data_Validation!$A:$D,1,0)</f>
        <v>5131</v>
      </c>
      <c r="U255" s="156" t="str">
        <f>+VLOOKUP($L255,Data_Validation!$A:$D,3,0)</f>
        <v>Véhicules neufs</v>
      </c>
      <c r="V255" s="156" t="str">
        <f>+VLOOKUP($L255,Data_Validation!$A:$D,4,0)</f>
        <v>Camions détail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4" t="s">
        <v>2838</v>
      </c>
      <c r="B256" s="1014" t="s">
        <v>2839</v>
      </c>
      <c r="C256" s="1016">
        <v>230380.95</v>
      </c>
      <c r="D256" s="1016">
        <v>74663.149999999994</v>
      </c>
      <c r="E256" s="1016">
        <v>305044.09999999998</v>
      </c>
      <c r="F256" s="1014" t="s">
        <v>424</v>
      </c>
      <c r="G256" s="1014" t="s">
        <v>2506</v>
      </c>
      <c r="H256" s="949"/>
      <c r="I256" s="948"/>
      <c r="J256" s="948"/>
      <c r="K256" s="948"/>
      <c r="L256" s="153" t="str">
        <f t="shared" si="0"/>
        <v>5135</v>
      </c>
      <c r="M256" s="154" t="str">
        <f t="shared" si="1"/>
        <v>C/V - EGOLF</v>
      </c>
      <c r="N256" s="155">
        <f>+IF(OR($Q256=Parametres!$G$2,$Q256=Parametres!$G$3),I256,C256)</f>
        <v>230380.95</v>
      </c>
      <c r="O256" s="155">
        <f>+IF(OR($Q256=Parametres!$G$2,$Q256=Parametres!$G$3),J256,D256)</f>
        <v>74663.149999999994</v>
      </c>
      <c r="P256" s="155">
        <f>+IF(OR($Q256=Parametres!$G$2,$Q256=Parametres!$G$3),K256,E256)</f>
        <v>305044.09999999998</v>
      </c>
      <c r="Q256" s="154" t="str">
        <f t="shared" si="17"/>
        <v>6-Coût des ventes</v>
      </c>
      <c r="R256" s="153" t="str">
        <f t="shared" si="17"/>
        <v>84135</v>
      </c>
      <c r="S256" s="154">
        <f t="shared" si="17"/>
        <v>0</v>
      </c>
      <c r="T256" s="156" t="str">
        <f>+VLOOKUP($L256,Data_Validation!$A:$D,1,0)</f>
        <v>5135</v>
      </c>
      <c r="U256" s="156" t="str">
        <f>+VLOOKUP($L256,Data_Validation!$A:$D,3,0)</f>
        <v>Véhicules neufs</v>
      </c>
      <c r="V256" s="156" t="str">
        <f>+VLOOKUP($L256,Data_Validation!$A:$D,4,0)</f>
        <v>Autos détail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4" t="s">
        <v>2618</v>
      </c>
      <c r="B257" s="1014" t="s">
        <v>2619</v>
      </c>
      <c r="C257" s="1016">
        <v>590699.84</v>
      </c>
      <c r="D257" s="1016">
        <v>496087.77</v>
      </c>
      <c r="E257" s="1016">
        <v>1086787.6100000001</v>
      </c>
      <c r="F257" s="1014" t="s">
        <v>424</v>
      </c>
      <c r="G257" s="1014" t="s">
        <v>2444</v>
      </c>
      <c r="H257" s="949"/>
      <c r="I257" s="948"/>
      <c r="J257" s="948"/>
      <c r="K257" s="948"/>
      <c r="L257" s="153" t="str">
        <f t="shared" ref="L257:L511" si="18">+B257</f>
        <v>5211</v>
      </c>
      <c r="M257" s="154" t="str">
        <f t="shared" ref="M257:M511" si="19">+A257</f>
        <v>C/V - VW USAGES DETAIL</v>
      </c>
      <c r="N257" s="155">
        <f>+IF(OR($Q257=Parametres!$G$2,$Q257=Parametres!$G$3),I257,C257)</f>
        <v>590699.84</v>
      </c>
      <c r="O257" s="155">
        <f>+IF(OR($Q257=Parametres!$G$2,$Q257=Parametres!$G$3),J257,D257)</f>
        <v>496087.77</v>
      </c>
      <c r="P257" s="155">
        <f>+IF(OR($Q257=Parametres!$G$2,$Q257=Parametres!$G$3),K257,E257)</f>
        <v>1086787.6100000001</v>
      </c>
      <c r="Q257" s="154" t="str">
        <f t="shared" si="17"/>
        <v>6-Coût des ventes</v>
      </c>
      <c r="R257" s="153" t="str">
        <f t="shared" si="17"/>
        <v>4211</v>
      </c>
      <c r="S257" s="154">
        <f t="shared" si="17"/>
        <v>0</v>
      </c>
      <c r="T257" s="156" t="str">
        <f>+VLOOKUP($L257,Data_Validation!$A:$D,1,0)</f>
        <v>5211</v>
      </c>
      <c r="U257" s="156" t="str">
        <f>+VLOOKUP($L257,Data_Validation!$A:$D,3,0)</f>
        <v>Véhicules usagés</v>
      </c>
      <c r="V257" s="156" t="str">
        <f>+VLOOKUP($L257,Data_Validation!$A:$D,4,0)</f>
        <v>Non Certifié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4" t="s">
        <v>2458</v>
      </c>
      <c r="B258" s="1014" t="s">
        <v>2459</v>
      </c>
      <c r="C258" s="1016">
        <v>47201.45</v>
      </c>
      <c r="D258" s="1016">
        <v>41147.160000000003</v>
      </c>
      <c r="E258" s="1016">
        <v>88348.61</v>
      </c>
      <c r="F258" s="1014" t="s">
        <v>424</v>
      </c>
      <c r="G258" s="1014" t="s">
        <v>2444</v>
      </c>
      <c r="H258" s="949"/>
      <c r="I258" s="949"/>
      <c r="J258" s="949"/>
      <c r="K258" s="949"/>
      <c r="L258" s="153" t="str">
        <f t="shared" si="18"/>
        <v>5213</v>
      </c>
      <c r="M258" s="154" t="str">
        <f t="shared" si="19"/>
        <v>C/V - RECOND. USAGE VW DETAIL</v>
      </c>
      <c r="N258" s="155">
        <f>+IF(OR($Q258=Parametres!$G$2,$Q258=Parametres!$G$3),I258,C258)</f>
        <v>47201.45</v>
      </c>
      <c r="O258" s="155">
        <f>+IF(OR($Q258=Parametres!$G$2,$Q258=Parametres!$G$3),J258,D258)</f>
        <v>41147.160000000003</v>
      </c>
      <c r="P258" s="155">
        <f>+IF(OR($Q258=Parametres!$G$2,$Q258=Parametres!$G$3),K258,E258)</f>
        <v>88348.61</v>
      </c>
      <c r="Q258" s="154" t="str">
        <f t="shared" ref="Q258:S273" si="20">+F258</f>
        <v>6-Coût des ventes</v>
      </c>
      <c r="R258" s="153" t="str">
        <f t="shared" si="20"/>
        <v>4211</v>
      </c>
      <c r="S258" s="154">
        <f t="shared" si="20"/>
        <v>0</v>
      </c>
      <c r="T258" s="156" t="str">
        <f>+VLOOKUP($L258,Data_Validation!$A:$D,1,0)</f>
        <v>5213</v>
      </c>
      <c r="U258" s="156" t="str">
        <f>+VLOOKUP($L258,Data_Validation!$A:$D,3,0)</f>
        <v>Véhicules usagés</v>
      </c>
      <c r="V258" s="156" t="str">
        <f>+VLOOKUP($L258,Data_Validation!$A:$D,4,0)</f>
        <v>Non Certifié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4" t="s">
        <v>2038</v>
      </c>
      <c r="B259" s="1014" t="s">
        <v>2827</v>
      </c>
      <c r="C259" s="1016">
        <v>185577.74</v>
      </c>
      <c r="D259" s="1016">
        <v>57095</v>
      </c>
      <c r="E259" s="1016">
        <v>242672.74</v>
      </c>
      <c r="F259" s="1014" t="s">
        <v>424</v>
      </c>
      <c r="G259" s="1014" t="s">
        <v>2040</v>
      </c>
      <c r="H259" s="949"/>
      <c r="I259" s="949"/>
      <c r="J259" s="949"/>
      <c r="K259" s="949"/>
      <c r="L259" s="153" t="str">
        <f t="shared" si="18"/>
        <v>5285</v>
      </c>
      <c r="M259" s="154" t="str">
        <f t="shared" si="19"/>
        <v>VEH. D'OCC. AUTRE DETAIL</v>
      </c>
      <c r="N259" s="155">
        <f>+IF(OR($Q259=Parametres!$G$2,$Q259=Parametres!$G$3),I259,C259)</f>
        <v>185577.74</v>
      </c>
      <c r="O259" s="155">
        <f>+IF(OR($Q259=Parametres!$G$2,$Q259=Parametres!$G$3),J259,D259)</f>
        <v>57095</v>
      </c>
      <c r="P259" s="155">
        <f>+IF(OR($Q259=Parametres!$G$2,$Q259=Parametres!$G$3),K259,E259)</f>
        <v>242672.74</v>
      </c>
      <c r="Q259" s="154" t="str">
        <f t="shared" si="20"/>
        <v>6-Coût des ventes</v>
      </c>
      <c r="R259" s="153" t="str">
        <f t="shared" si="20"/>
        <v>4261</v>
      </c>
      <c r="S259" s="154">
        <f t="shared" si="20"/>
        <v>0</v>
      </c>
      <c r="T259" s="156" t="str">
        <f>+VLOOKUP($L259,Data_Validation!$A:$D,1,0)</f>
        <v>5285</v>
      </c>
      <c r="U259" s="156" t="str">
        <f>+VLOOKUP($L259,Data_Validation!$A:$D,3,0)</f>
        <v>Véhicules usagés</v>
      </c>
      <c r="V259" s="156" t="str">
        <f>+VLOOKUP($L259,Data_Validation!$A:$D,4,0)</f>
        <v>Non Certifié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4" t="s">
        <v>2672</v>
      </c>
      <c r="B260" s="1014" t="s">
        <v>2673</v>
      </c>
      <c r="C260" s="1016">
        <v>14404.05</v>
      </c>
      <c r="D260" s="1016">
        <v>4914.6400000000003</v>
      </c>
      <c r="E260" s="1016">
        <v>19318.689999999999</v>
      </c>
      <c r="F260" s="1014" t="s">
        <v>424</v>
      </c>
      <c r="G260" s="1014" t="s">
        <v>2040</v>
      </c>
      <c r="H260" s="949"/>
      <c r="I260" s="949"/>
      <c r="J260" s="949"/>
      <c r="K260" s="949"/>
      <c r="L260" s="153" t="str">
        <f t="shared" si="18"/>
        <v>5286</v>
      </c>
      <c r="M260" s="154" t="str">
        <f t="shared" si="19"/>
        <v>RECOND. AUTRE DETAIL</v>
      </c>
      <c r="N260" s="155">
        <f>+IF(OR($Q260=Parametres!$G$2,$Q260=Parametres!$G$3),I260,C260)</f>
        <v>14404.05</v>
      </c>
      <c r="O260" s="155">
        <f>+IF(OR($Q260=Parametres!$G$2,$Q260=Parametres!$G$3),J260,D260)</f>
        <v>4914.6400000000003</v>
      </c>
      <c r="P260" s="155">
        <f>+IF(OR($Q260=Parametres!$G$2,$Q260=Parametres!$G$3),K260,E260)</f>
        <v>19318.689999999999</v>
      </c>
      <c r="Q260" s="154" t="str">
        <f t="shared" si="20"/>
        <v>6-Coût des ventes</v>
      </c>
      <c r="R260" s="153" t="str">
        <f t="shared" si="20"/>
        <v>4261</v>
      </c>
      <c r="S260" s="154">
        <f t="shared" si="20"/>
        <v>0</v>
      </c>
      <c r="T260" s="156" t="str">
        <f>+VLOOKUP($L260,Data_Validation!$A:$D,1,0)</f>
        <v>5286</v>
      </c>
      <c r="U260" s="156" t="str">
        <f>+VLOOKUP($L260,Data_Validation!$A:$D,3,0)</f>
        <v>Véhicules usagés</v>
      </c>
      <c r="V260" s="156" t="str">
        <f>+VLOOKUP($L260,Data_Validation!$A:$D,4,0)</f>
        <v>Non Certifié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4" t="s">
        <v>2006</v>
      </c>
      <c r="B261" s="1014" t="s">
        <v>2848</v>
      </c>
      <c r="C261" s="1016">
        <v>412701.64</v>
      </c>
      <c r="D261" s="1016">
        <v>96213.96</v>
      </c>
      <c r="E261" s="1016">
        <v>508915.6</v>
      </c>
      <c r="F261" s="1014" t="s">
        <v>424</v>
      </c>
      <c r="G261" s="1014" t="s">
        <v>2008</v>
      </c>
      <c r="H261" s="949"/>
      <c r="I261" s="949"/>
      <c r="J261" s="949"/>
      <c r="K261" s="949"/>
      <c r="L261" s="153" t="str">
        <f t="shared" si="18"/>
        <v>5291</v>
      </c>
      <c r="M261" s="154" t="str">
        <f t="shared" si="19"/>
        <v>VEH. D'OCC. AU GROS</v>
      </c>
      <c r="N261" s="155">
        <f>+IF(OR($Q261=Parametres!$G$2,$Q261=Parametres!$G$3),I261,C261)</f>
        <v>412701.64</v>
      </c>
      <c r="O261" s="155">
        <f>+IF(OR($Q261=Parametres!$G$2,$Q261=Parametres!$G$3),J261,D261)</f>
        <v>96213.96</v>
      </c>
      <c r="P261" s="155">
        <f>+IF(OR($Q261=Parametres!$G$2,$Q261=Parametres!$G$3),K261,E261)</f>
        <v>508915.6</v>
      </c>
      <c r="Q261" s="154" t="str">
        <f t="shared" si="20"/>
        <v>6-Coût des ventes</v>
      </c>
      <c r="R261" s="153" t="str">
        <f t="shared" si="20"/>
        <v>4281</v>
      </c>
      <c r="S261" s="154">
        <f t="shared" si="20"/>
        <v>0</v>
      </c>
      <c r="T261" s="156" t="str">
        <f>+VLOOKUP($L261,Data_Validation!$A:$D,1,0)</f>
        <v>5291</v>
      </c>
      <c r="U261" s="156" t="str">
        <f>+VLOOKUP($L261,Data_Validation!$A:$D,3,0)</f>
        <v>Véhicules usagés</v>
      </c>
      <c r="V261" s="156" t="str">
        <f>+VLOOKUP($L261,Data_Validation!$A:$D,4,0)</f>
        <v>Ventes au Gros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4" t="s">
        <v>2828</v>
      </c>
      <c r="B262" s="1014" t="s">
        <v>2829</v>
      </c>
      <c r="C262" s="1016">
        <v>35466.29</v>
      </c>
      <c r="D262" s="1016">
        <v>22584.86</v>
      </c>
      <c r="E262" s="1016">
        <v>58051.15</v>
      </c>
      <c r="F262" s="1014" t="s">
        <v>424</v>
      </c>
      <c r="G262" s="1014" t="s">
        <v>2012</v>
      </c>
      <c r="H262" s="949"/>
      <c r="I262" s="949"/>
      <c r="J262" s="949"/>
      <c r="K262" s="949"/>
      <c r="L262" s="153" t="str">
        <f t="shared" si="18"/>
        <v>5401</v>
      </c>
      <c r="M262" s="154" t="str">
        <f t="shared" si="19"/>
        <v>COUT M.O. MECANIQUE CLIENTS</v>
      </c>
      <c r="N262" s="155">
        <f>+IF(OR($Q262=Parametres!$G$2,$Q262=Parametres!$G$3),I262,C262)</f>
        <v>35466.29</v>
      </c>
      <c r="O262" s="155">
        <f>+IF(OR($Q262=Parametres!$G$2,$Q262=Parametres!$G$3),J262,D262)</f>
        <v>22584.86</v>
      </c>
      <c r="P262" s="155">
        <f>+IF(OR($Q262=Parametres!$G$2,$Q262=Parametres!$G$3),K262,E262)</f>
        <v>58051.15</v>
      </c>
      <c r="Q262" s="154" t="str">
        <f t="shared" si="20"/>
        <v>6-Coût des ventes</v>
      </c>
      <c r="R262" s="153" t="str">
        <f t="shared" si="20"/>
        <v>4401</v>
      </c>
      <c r="S262" s="154">
        <f t="shared" si="20"/>
        <v>0</v>
      </c>
      <c r="T262" s="156" t="str">
        <f>+VLOOKUP($L262,Data_Validation!$A:$D,1,0)</f>
        <v>5401</v>
      </c>
      <c r="U262" s="156" t="str">
        <f>+VLOOKUP($L262,Data_Validation!$A:$D,3,0)</f>
        <v>Service</v>
      </c>
      <c r="V262" s="156" t="str">
        <f>+VLOOKUP($L262,Data_Validation!$A:$D,4,0)</f>
        <v>M/O Client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4" t="s">
        <v>2791</v>
      </c>
      <c r="B263" s="1014" t="s">
        <v>2792</v>
      </c>
      <c r="C263" s="1016">
        <v>34101.22</v>
      </c>
      <c r="D263" s="1016">
        <v>20541.7</v>
      </c>
      <c r="E263" s="1016">
        <v>54642.92</v>
      </c>
      <c r="F263" s="1014" t="s">
        <v>424</v>
      </c>
      <c r="G263" s="1014" t="s">
        <v>2042</v>
      </c>
      <c r="H263" s="949"/>
      <c r="I263" s="949"/>
      <c r="J263" s="949"/>
      <c r="K263" s="949"/>
      <c r="L263" s="153" t="str">
        <f t="shared" si="18"/>
        <v>5403</v>
      </c>
      <c r="M263" s="154" t="str">
        <f t="shared" si="19"/>
        <v>COUT MEC VENTE GARANTIE MANUF</v>
      </c>
      <c r="N263" s="155">
        <f>+IF(OR($Q263=Parametres!$G$2,$Q263=Parametres!$G$3),I263,C263)</f>
        <v>34101.22</v>
      </c>
      <c r="O263" s="155">
        <f>+IF(OR($Q263=Parametres!$G$2,$Q263=Parametres!$G$3),J263,D263)</f>
        <v>20541.7</v>
      </c>
      <c r="P263" s="155">
        <f>+IF(OR($Q263=Parametres!$G$2,$Q263=Parametres!$G$3),K263,E263)</f>
        <v>54642.92</v>
      </c>
      <c r="Q263" s="154" t="str">
        <f t="shared" si="20"/>
        <v>6-Coût des ventes</v>
      </c>
      <c r="R263" s="153" t="str">
        <f t="shared" si="20"/>
        <v>4403</v>
      </c>
      <c r="S263" s="154">
        <f t="shared" si="20"/>
        <v>0</v>
      </c>
      <c r="T263" s="156" t="str">
        <f>+VLOOKUP($L263,Data_Validation!$A:$D,1,0)</f>
        <v>5403</v>
      </c>
      <c r="U263" s="156" t="str">
        <f>+VLOOKUP($L263,Data_Validation!$A:$D,3,0)</f>
        <v>Service</v>
      </c>
      <c r="V263" s="156" t="str">
        <f>+VLOOKUP($L263,Data_Validation!$A:$D,4,0)</f>
        <v>M/O Garantie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4" t="s">
        <v>2777</v>
      </c>
      <c r="B264" s="1014" t="s">
        <v>2778</v>
      </c>
      <c r="C264" s="1016">
        <v>23698.02</v>
      </c>
      <c r="D264" s="1016">
        <v>12318.42</v>
      </c>
      <c r="E264" s="1016">
        <v>36016.44</v>
      </c>
      <c r="F264" s="1014" t="s">
        <v>424</v>
      </c>
      <c r="G264" s="1014" t="s">
        <v>2052</v>
      </c>
      <c r="H264" s="949"/>
      <c r="I264" s="949"/>
      <c r="J264" s="949"/>
      <c r="K264" s="949"/>
      <c r="L264" s="153" t="str">
        <f t="shared" si="18"/>
        <v>5405</v>
      </c>
      <c r="M264" s="154" t="str">
        <f t="shared" si="19"/>
        <v>C D V VENTES M OINTERNE</v>
      </c>
      <c r="N264" s="155">
        <f>+IF(OR($Q264=Parametres!$G$2,$Q264=Parametres!$G$3),I264,C264)</f>
        <v>23698.02</v>
      </c>
      <c r="O264" s="155">
        <f>+IF(OR($Q264=Parametres!$G$2,$Q264=Parametres!$G$3),J264,D264)</f>
        <v>12318.42</v>
      </c>
      <c r="P264" s="155">
        <f>+IF(OR($Q264=Parametres!$G$2,$Q264=Parametres!$G$3),K264,E264)</f>
        <v>36016.44</v>
      </c>
      <c r="Q264" s="154" t="str">
        <f t="shared" si="20"/>
        <v>6-Coût des ventes</v>
      </c>
      <c r="R264" s="153" t="str">
        <f t="shared" si="20"/>
        <v>4405</v>
      </c>
      <c r="S264" s="154">
        <f t="shared" si="20"/>
        <v>0</v>
      </c>
      <c r="T264" s="156" t="str">
        <f>+VLOOKUP($L264,Data_Validation!$A:$D,1,0)</f>
        <v>5405</v>
      </c>
      <c r="U264" s="156" t="str">
        <f>+VLOOKUP($L264,Data_Validation!$A:$D,3,0)</f>
        <v>Service</v>
      </c>
      <c r="V264" s="156" t="str">
        <f>+VLOOKUP($L264,Data_Validation!$A:$D,4,0)</f>
        <v>M/O Interne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4" t="s">
        <v>2725</v>
      </c>
      <c r="B265" s="1014" t="s">
        <v>2726</v>
      </c>
      <c r="C265" s="1016">
        <v>6250.62</v>
      </c>
      <c r="D265" s="1016">
        <v>3388.98</v>
      </c>
      <c r="E265" s="1016">
        <v>9639.6</v>
      </c>
      <c r="F265" s="1014" t="s">
        <v>424</v>
      </c>
      <c r="G265" s="1014" t="s">
        <v>2727</v>
      </c>
      <c r="H265" s="949"/>
      <c r="I265" s="949"/>
      <c r="J265" s="949"/>
      <c r="K265" s="949"/>
      <c r="L265" s="153" t="str">
        <f t="shared" si="18"/>
        <v>5416</v>
      </c>
      <c r="M265" s="154" t="str">
        <f t="shared" si="19"/>
        <v>C/V - TEMPS MORT M.O. SERVICE</v>
      </c>
      <c r="N265" s="155">
        <f>+IF(OR($Q265=Parametres!$G$2,$Q265=Parametres!$G$3),I265,C265)</f>
        <v>6250.62</v>
      </c>
      <c r="O265" s="155">
        <f>+IF(OR($Q265=Parametres!$G$2,$Q265=Parametres!$G$3),J265,D265)</f>
        <v>3388.98</v>
      </c>
      <c r="P265" s="155">
        <f>+IF(OR($Q265=Parametres!$G$2,$Q265=Parametres!$G$3),K265,E265)</f>
        <v>9639.6</v>
      </c>
      <c r="Q265" s="154" t="str">
        <f t="shared" si="20"/>
        <v>6-Coût des ventes</v>
      </c>
      <c r="R265" s="153" t="str">
        <f t="shared" si="20"/>
        <v>4416</v>
      </c>
      <c r="S265" s="154">
        <f t="shared" si="20"/>
        <v>0</v>
      </c>
      <c r="T265" s="156" t="str">
        <f>+VLOOKUP($L265,Data_Validation!$A:$D,1,0)</f>
        <v>5416</v>
      </c>
      <c r="U265" s="156" t="str">
        <f>+VLOOKUP($L265,Data_Validation!$A:$D,3,0)</f>
        <v>Service</v>
      </c>
      <c r="V265" s="156" t="str">
        <f>+VLOOKUP($L265,Data_Validation!$A:$D,4,0)</f>
        <v>Ajustement M/O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4" t="s">
        <v>2071</v>
      </c>
      <c r="B266" s="1014" t="s">
        <v>2802</v>
      </c>
      <c r="C266" s="1016">
        <v>18596.39</v>
      </c>
      <c r="D266" s="1016">
        <v>10685.13</v>
      </c>
      <c r="E266" s="1016">
        <v>29281.52</v>
      </c>
      <c r="F266" s="1014" t="s">
        <v>424</v>
      </c>
      <c r="G266" s="1014" t="s">
        <v>2073</v>
      </c>
      <c r="H266" s="949"/>
      <c r="I266" s="949"/>
      <c r="J266" s="949"/>
      <c r="K266" s="949"/>
      <c r="L266" s="153" t="str">
        <f t="shared" si="18"/>
        <v>5451</v>
      </c>
      <c r="M266" s="154" t="str">
        <f t="shared" si="19"/>
        <v>CARBURANT/HUILE/GRAISSE</v>
      </c>
      <c r="N266" s="155">
        <f>+IF(OR($Q266=Parametres!$G$2,$Q266=Parametres!$G$3),I266,C266)</f>
        <v>18596.39</v>
      </c>
      <c r="O266" s="155">
        <f>+IF(OR($Q266=Parametres!$G$2,$Q266=Parametres!$G$3),J266,D266)</f>
        <v>10685.13</v>
      </c>
      <c r="P266" s="155">
        <f>+IF(OR($Q266=Parametres!$G$2,$Q266=Parametres!$G$3),K266,E266)</f>
        <v>29281.52</v>
      </c>
      <c r="Q266" s="154" t="str">
        <f t="shared" si="20"/>
        <v>6-Coût des ventes</v>
      </c>
      <c r="R266" s="153" t="str">
        <f t="shared" si="20"/>
        <v>4782</v>
      </c>
      <c r="S266" s="154">
        <f t="shared" si="20"/>
        <v>0</v>
      </c>
      <c r="T266" s="156" t="str">
        <f>+VLOOKUP($L266,Data_Validation!$A:$D,1,0)</f>
        <v>5451</v>
      </c>
      <c r="U266" s="156" t="str">
        <f>+VLOOKUP($L266,Data_Validation!$A:$D,3,0)</f>
        <v>Pièces</v>
      </c>
      <c r="V266" s="156" t="str">
        <f>+VLOOKUP($L266,Data_Validation!$A:$D,4,0)</f>
        <v>Huiles et Graisse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4" t="s">
        <v>2144</v>
      </c>
      <c r="B267" s="1014" t="s">
        <v>2713</v>
      </c>
      <c r="C267" s="1016">
        <v>2216.19</v>
      </c>
      <c r="D267" s="1016">
        <v>1715</v>
      </c>
      <c r="E267" s="1016">
        <v>3931.19</v>
      </c>
      <c r="F267" s="1014" t="s">
        <v>424</v>
      </c>
      <c r="G267" s="1014" t="s">
        <v>2145</v>
      </c>
      <c r="H267" s="949"/>
      <c r="I267" s="949"/>
      <c r="J267" s="949"/>
      <c r="K267" s="949"/>
      <c r="L267" s="153" t="str">
        <f t="shared" si="18"/>
        <v>5491</v>
      </c>
      <c r="M267" s="154" t="str">
        <f t="shared" si="19"/>
        <v>REPARATION SOUS-LOC. - GENERAL</v>
      </c>
      <c r="N267" s="155">
        <f>+IF(OR($Q267=Parametres!$G$2,$Q267=Parametres!$G$3),I267,C267)</f>
        <v>2216.19</v>
      </c>
      <c r="O267" s="155">
        <f>+IF(OR($Q267=Parametres!$G$2,$Q267=Parametres!$G$3),J267,D267)</f>
        <v>1715</v>
      </c>
      <c r="P267" s="155">
        <f>+IF(OR($Q267=Parametres!$G$2,$Q267=Parametres!$G$3),K267,E267)</f>
        <v>3931.19</v>
      </c>
      <c r="Q267" s="154" t="str">
        <f t="shared" si="20"/>
        <v>6-Coût des ventes</v>
      </c>
      <c r="R267" s="153" t="str">
        <f t="shared" si="20"/>
        <v>4491</v>
      </c>
      <c r="S267" s="154">
        <f t="shared" si="20"/>
        <v>0</v>
      </c>
      <c r="T267" s="156" t="str">
        <f>+VLOOKUP($L267,Data_Validation!$A:$D,1,0)</f>
        <v>5491</v>
      </c>
      <c r="U267" s="156" t="str">
        <f>+VLOOKUP($L267,Data_Validation!$A:$D,3,0)</f>
        <v>Service</v>
      </c>
      <c r="V267" s="156" t="str">
        <f>+VLOOKUP($L267,Data_Validation!$A:$D,4,0)</f>
        <v>Sous-traitement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4" t="s">
        <v>2687</v>
      </c>
      <c r="B268" s="1014" t="s">
        <v>2688</v>
      </c>
      <c r="C268" s="1016">
        <v>2350.77</v>
      </c>
      <c r="D268" s="1016">
        <v>880.19</v>
      </c>
      <c r="E268" s="1016">
        <v>3230.96</v>
      </c>
      <c r="F268" s="1014" t="s">
        <v>424</v>
      </c>
      <c r="G268" s="1014" t="s">
        <v>2168</v>
      </c>
      <c r="H268" s="949"/>
      <c r="I268" s="949"/>
      <c r="J268" s="949"/>
      <c r="K268" s="949"/>
      <c r="L268" s="153" t="str">
        <f t="shared" si="18"/>
        <v>5493</v>
      </c>
      <c r="M268" s="154" t="str">
        <f t="shared" si="19"/>
        <v>C/V - SOUS-TRAITANCE GARANTIE</v>
      </c>
      <c r="N268" s="155">
        <f>+IF(OR($Q268=Parametres!$G$2,$Q268=Parametres!$G$3),I268,C268)</f>
        <v>2350.77</v>
      </c>
      <c r="O268" s="155">
        <f>+IF(OR($Q268=Parametres!$G$2,$Q268=Parametres!$G$3),J268,D268)</f>
        <v>880.19</v>
      </c>
      <c r="P268" s="155">
        <f>+IF(OR($Q268=Parametres!$G$2,$Q268=Parametres!$G$3),K268,E268)</f>
        <v>3230.96</v>
      </c>
      <c r="Q268" s="154" t="str">
        <f t="shared" si="20"/>
        <v>6-Coût des ventes</v>
      </c>
      <c r="R268" s="153" t="str">
        <f t="shared" si="20"/>
        <v>4493</v>
      </c>
      <c r="S268" s="154">
        <f t="shared" si="20"/>
        <v>0</v>
      </c>
      <c r="T268" s="156" t="str">
        <f>+VLOOKUP($L268,Data_Validation!$A:$D,1,0)</f>
        <v>5493</v>
      </c>
      <c r="U268" s="156" t="str">
        <f>+VLOOKUP($L268,Data_Validation!$A:$D,3,0)</f>
        <v>Service</v>
      </c>
      <c r="V268" s="156" t="str">
        <f>+VLOOKUP($L268,Data_Validation!$A:$D,4,0)</f>
        <v>Sous-traitement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4" t="s">
        <v>2789</v>
      </c>
      <c r="B269" s="1014" t="s">
        <v>2790</v>
      </c>
      <c r="C269" s="1016">
        <v>33122.589999999997</v>
      </c>
      <c r="D269" s="1016">
        <v>21882.44</v>
      </c>
      <c r="E269" s="1016">
        <v>55005.03</v>
      </c>
      <c r="F269" s="1014" t="s">
        <v>424</v>
      </c>
      <c r="G269" s="1014" t="s">
        <v>2087</v>
      </c>
      <c r="H269" s="949"/>
      <c r="I269" s="949"/>
      <c r="J269" s="949"/>
      <c r="K269" s="949"/>
      <c r="L269" s="153" t="str">
        <f t="shared" si="18"/>
        <v>5495</v>
      </c>
      <c r="M269" s="154" t="str">
        <f t="shared" si="19"/>
        <v>C/V - SOUS-TRAITANCE INTERNE</v>
      </c>
      <c r="N269" s="155">
        <f>+IF(OR($Q269=Parametres!$G$2,$Q269=Parametres!$G$3),I269,C269)</f>
        <v>33122.589999999997</v>
      </c>
      <c r="O269" s="155">
        <f>+IF(OR($Q269=Parametres!$G$2,$Q269=Parametres!$G$3),J269,D269)</f>
        <v>21882.44</v>
      </c>
      <c r="P269" s="155">
        <f>+IF(OR($Q269=Parametres!$G$2,$Q269=Parametres!$G$3),K269,E269)</f>
        <v>55005.03</v>
      </c>
      <c r="Q269" s="154" t="str">
        <f t="shared" si="20"/>
        <v>6-Coût des ventes</v>
      </c>
      <c r="R269" s="153" t="str">
        <f t="shared" si="20"/>
        <v>4495</v>
      </c>
      <c r="S269" s="154">
        <f t="shared" si="20"/>
        <v>0</v>
      </c>
      <c r="T269" s="156" t="str">
        <f>+VLOOKUP($L269,Data_Validation!$A:$D,1,0)</f>
        <v>5495</v>
      </c>
      <c r="U269" s="156" t="str">
        <f>+VLOOKUP($L269,Data_Validation!$A:$D,3,0)</f>
        <v>Service</v>
      </c>
      <c r="V269" s="156" t="str">
        <f>+VLOOKUP($L269,Data_Validation!$A:$D,4,0)</f>
        <v>Sous-traitement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4" t="s">
        <v>2798</v>
      </c>
      <c r="B270" s="1014" t="s">
        <v>2799</v>
      </c>
      <c r="C270" s="1016">
        <v>51702.51</v>
      </c>
      <c r="D270" s="1016">
        <v>28725.66</v>
      </c>
      <c r="E270" s="1016">
        <v>80428.17</v>
      </c>
      <c r="F270" s="1014" t="s">
        <v>424</v>
      </c>
      <c r="G270" s="1014" t="s">
        <v>2070</v>
      </c>
      <c r="H270" s="949"/>
      <c r="I270" s="949"/>
      <c r="J270" s="949"/>
      <c r="K270" s="949"/>
      <c r="L270" s="153" t="str">
        <f t="shared" si="18"/>
        <v>5591</v>
      </c>
      <c r="M270" s="154" t="str">
        <f t="shared" si="19"/>
        <v>C/V - S-TRAIT. CARR.</v>
      </c>
      <c r="N270" s="155">
        <f>+IF(OR($Q270=Parametres!$G$2,$Q270=Parametres!$G$3),I270,C270)</f>
        <v>51702.51</v>
      </c>
      <c r="O270" s="575">
        <f>+IF(OR($Q270=Parametres!$G$2,$Q270=Parametres!$G$3),J270,D270)</f>
        <v>28725.66</v>
      </c>
      <c r="P270" s="155">
        <f>+IF(OR($Q270=Parametres!$G$2,$Q270=Parametres!$G$3),K270,E270)</f>
        <v>80428.17</v>
      </c>
      <c r="Q270" s="154" t="str">
        <f t="shared" si="20"/>
        <v>6-Coût des ventes</v>
      </c>
      <c r="R270" s="153" t="str">
        <f t="shared" si="20"/>
        <v>4591</v>
      </c>
      <c r="S270" s="154">
        <f t="shared" si="20"/>
        <v>0</v>
      </c>
      <c r="T270" s="156" t="str">
        <f>+VLOOKUP($L270,Data_Validation!$A:$D,1,0)</f>
        <v>5591</v>
      </c>
      <c r="U270" s="156" t="str">
        <f>+VLOOKUP($L270,Data_Validation!$A:$D,3,0)</f>
        <v>Carrosserie</v>
      </c>
      <c r="V270" s="156" t="str">
        <f>+VLOOKUP($L270,Data_Validation!$A:$D,4,0)</f>
        <v>M/O Sous-traitement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4" t="s">
        <v>2808</v>
      </c>
      <c r="B271" s="1014" t="s">
        <v>2809</v>
      </c>
      <c r="C271" s="1016">
        <v>88522.1</v>
      </c>
      <c r="D271" s="1016">
        <v>64782.36</v>
      </c>
      <c r="E271" s="1016">
        <v>153304.46</v>
      </c>
      <c r="F271" s="1014" t="s">
        <v>424</v>
      </c>
      <c r="G271" s="1014" t="s">
        <v>2068</v>
      </c>
      <c r="H271" s="949"/>
      <c r="I271" s="949"/>
      <c r="J271" s="949"/>
      <c r="K271" s="949"/>
      <c r="L271" s="153" t="str">
        <f t="shared" si="18"/>
        <v>5593</v>
      </c>
      <c r="M271" s="154" t="str">
        <f t="shared" si="19"/>
        <v>C/V - S-TRAIT.GARANTIE CARROS.</v>
      </c>
      <c r="N271" s="155">
        <f>+IF(OR($Q271=Parametres!$G$2,$Q271=Parametres!$G$3),I271,C271)</f>
        <v>88522.1</v>
      </c>
      <c r="O271" s="575">
        <f>+IF(OR($Q271=Parametres!$G$2,$Q271=Parametres!$G$3),J271,D271)</f>
        <v>64782.36</v>
      </c>
      <c r="P271" s="155">
        <f>+IF(OR($Q271=Parametres!$G$2,$Q271=Parametres!$G$3),K271,E271)</f>
        <v>153304.46</v>
      </c>
      <c r="Q271" s="154" t="str">
        <f t="shared" si="20"/>
        <v>6-Coût des ventes</v>
      </c>
      <c r="R271" s="153" t="str">
        <f t="shared" si="20"/>
        <v>4593</v>
      </c>
      <c r="S271" s="154">
        <f t="shared" si="20"/>
        <v>0</v>
      </c>
      <c r="T271" s="156" t="str">
        <f>+VLOOKUP($L271,Data_Validation!$A:$D,1,0)</f>
        <v>5593</v>
      </c>
      <c r="U271" s="156" t="str">
        <f>+VLOOKUP($L271,Data_Validation!$A:$D,3,0)</f>
        <v>Carrosserie</v>
      </c>
      <c r="V271" s="156" t="str">
        <f>+VLOOKUP($L271,Data_Validation!$A:$D,4,0)</f>
        <v>M/O Sous-traitement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4" t="s">
        <v>2767</v>
      </c>
      <c r="B272" s="1014" t="s">
        <v>2768</v>
      </c>
      <c r="C272" s="1016">
        <v>6210.25</v>
      </c>
      <c r="D272" s="1016">
        <v>9213</v>
      </c>
      <c r="E272" s="1016">
        <v>15423.25</v>
      </c>
      <c r="F272" s="1014" t="s">
        <v>424</v>
      </c>
      <c r="G272" s="1014" t="s">
        <v>2101</v>
      </c>
      <c r="H272" s="949"/>
      <c r="I272" s="949"/>
      <c r="J272" s="949"/>
      <c r="K272" s="949"/>
      <c r="L272" s="153" t="str">
        <f t="shared" si="18"/>
        <v>5595</v>
      </c>
      <c r="M272" s="154" t="str">
        <f t="shared" si="19"/>
        <v>C/V - S-TRAIT.INTERNE CARROS.</v>
      </c>
      <c r="N272" s="155">
        <f>+IF(OR($Q272=Parametres!$G$2,$Q272=Parametres!$G$3),I272,C272)</f>
        <v>6210.25</v>
      </c>
      <c r="O272" s="575">
        <f>+IF(OR($Q272=Parametres!$G$2,$Q272=Parametres!$G$3),J272,D272)</f>
        <v>9213</v>
      </c>
      <c r="P272" s="155">
        <f>+IF(OR($Q272=Parametres!$G$2,$Q272=Parametres!$G$3),K272,E272)</f>
        <v>15423.25</v>
      </c>
      <c r="Q272" s="154" t="str">
        <f t="shared" si="20"/>
        <v>6-Coût des ventes</v>
      </c>
      <c r="R272" s="153" t="str">
        <f t="shared" si="20"/>
        <v>4595</v>
      </c>
      <c r="S272" s="154">
        <f t="shared" si="20"/>
        <v>0</v>
      </c>
      <c r="T272" s="156" t="str">
        <f>+VLOOKUP($L272,Data_Validation!$A:$D,1,0)</f>
        <v>5595</v>
      </c>
      <c r="U272" s="156" t="str">
        <f>+VLOOKUP($L272,Data_Validation!$A:$D,3,0)</f>
        <v>Carrosserie</v>
      </c>
      <c r="V272" s="156" t="str">
        <f>+VLOOKUP($L272,Data_Validation!$A:$D,4,0)</f>
        <v>M/O Sous-traitement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4" t="s">
        <v>2832</v>
      </c>
      <c r="B273" s="1014" t="s">
        <v>2833</v>
      </c>
      <c r="C273" s="1016">
        <v>61465.04</v>
      </c>
      <c r="D273" s="1016">
        <v>30657.79</v>
      </c>
      <c r="E273" s="1016">
        <v>92122.83</v>
      </c>
      <c r="F273" s="1014" t="s">
        <v>424</v>
      </c>
      <c r="G273" s="1014" t="s">
        <v>2024</v>
      </c>
      <c r="H273" s="949"/>
      <c r="I273" s="948"/>
      <c r="J273" s="948"/>
      <c r="K273" s="948"/>
      <c r="L273" s="153" t="str">
        <f t="shared" si="18"/>
        <v>5701</v>
      </c>
      <c r="M273" s="154" t="str">
        <f t="shared" si="19"/>
        <v>C/V - PIECE/ACC B.R. CLIENT VW</v>
      </c>
      <c r="N273" s="155">
        <f>+IF(OR($Q273=Parametres!$G$2,$Q273=Parametres!$G$3),I273,C273)</f>
        <v>61465.04</v>
      </c>
      <c r="O273" s="575">
        <f>+IF(OR($Q273=Parametres!$G$2,$Q273=Parametres!$G$3),J273,D273)</f>
        <v>30657.79</v>
      </c>
      <c r="P273" s="155">
        <f>+IF(OR($Q273=Parametres!$G$2,$Q273=Parametres!$G$3),K273,E273)</f>
        <v>92122.83</v>
      </c>
      <c r="Q273" s="154" t="str">
        <f t="shared" si="20"/>
        <v>6-Coût des ventes</v>
      </c>
      <c r="R273" s="153" t="str">
        <f t="shared" si="20"/>
        <v>4701</v>
      </c>
      <c r="S273" s="154">
        <f t="shared" si="20"/>
        <v>0</v>
      </c>
      <c r="T273" s="156" t="str">
        <f>+VLOOKUP($L273,Data_Validation!$A:$D,1,0)</f>
        <v>5701</v>
      </c>
      <c r="U273" s="156" t="str">
        <f>+VLOOKUP($L273,Data_Validation!$A:$D,3,0)</f>
        <v>Pièces</v>
      </c>
      <c r="V273" s="156" t="str">
        <f>+VLOOKUP($L273,Data_Validation!$A:$D,4,0)</f>
        <v>Pièces Ro Clients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4" t="s">
        <v>2814</v>
      </c>
      <c r="B274" s="1014" t="s">
        <v>2815</v>
      </c>
      <c r="C274" s="1016">
        <v>130023.16</v>
      </c>
      <c r="D274" s="1016">
        <v>59303.519999999997</v>
      </c>
      <c r="E274" s="1016">
        <v>189326.68</v>
      </c>
      <c r="F274" s="1014" t="s">
        <v>424</v>
      </c>
      <c r="G274" s="1014" t="s">
        <v>2044</v>
      </c>
      <c r="H274" s="949"/>
      <c r="I274" s="948"/>
      <c r="J274" s="948"/>
      <c r="K274" s="948"/>
      <c r="L274" s="153" t="str">
        <f t="shared" si="18"/>
        <v>5703</v>
      </c>
      <c r="M274" s="154" t="str">
        <f t="shared" si="19"/>
        <v>C/V - PIECE/ACC B.R. GARANTIE VW</v>
      </c>
      <c r="N274" s="155">
        <f>+IF(OR($Q274=Parametres!$G$2,$Q274=Parametres!$G$3),I274,C274)</f>
        <v>130023.16</v>
      </c>
      <c r="O274" s="575">
        <f>+IF(OR($Q274=Parametres!$G$2,$Q274=Parametres!$G$3),J274,D274)</f>
        <v>59303.519999999997</v>
      </c>
      <c r="P274" s="155">
        <f>+IF(OR($Q274=Parametres!$G$2,$Q274=Parametres!$G$3),K274,E274)</f>
        <v>189326.68</v>
      </c>
      <c r="Q274" s="154" t="str">
        <f t="shared" ref="Q274:S289" si="21">+F274</f>
        <v>6-Coût des ventes</v>
      </c>
      <c r="R274" s="153" t="str">
        <f t="shared" si="21"/>
        <v>4703</v>
      </c>
      <c r="S274" s="154">
        <f t="shared" si="21"/>
        <v>0</v>
      </c>
      <c r="T274" s="156" t="str">
        <f>+VLOOKUP($L274,Data_Validation!$A:$D,1,0)</f>
        <v>5703</v>
      </c>
      <c r="U274" s="156" t="str">
        <f>+VLOOKUP($L274,Data_Validation!$A:$D,3,0)</f>
        <v>Pièces</v>
      </c>
      <c r="V274" s="156" t="str">
        <f>+VLOOKUP($L274,Data_Validation!$A:$D,4,0)</f>
        <v>P/A Garantie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4" t="s">
        <v>2811</v>
      </c>
      <c r="B275" s="1014" t="s">
        <v>2812</v>
      </c>
      <c r="C275" s="1016">
        <v>46251.69</v>
      </c>
      <c r="D275" s="1016">
        <v>25336.720000000001</v>
      </c>
      <c r="E275" s="1016">
        <v>71588.41</v>
      </c>
      <c r="F275" s="1014" t="s">
        <v>424</v>
      </c>
      <c r="G275" s="1014" t="s">
        <v>2048</v>
      </c>
      <c r="H275" s="949"/>
      <c r="I275" s="948"/>
      <c r="J275" s="948"/>
      <c r="K275" s="948"/>
      <c r="L275" s="153" t="str">
        <f t="shared" si="18"/>
        <v>5705</v>
      </c>
      <c r="M275" s="154" t="str">
        <f t="shared" si="19"/>
        <v>C/V - PIECE/ACC B.R. INTERNE VW</v>
      </c>
      <c r="N275" s="155">
        <f>+IF(OR($Q275=Parametres!$G$2,$Q275=Parametres!$G$3),I275,C275)</f>
        <v>46251.69</v>
      </c>
      <c r="O275" s="575">
        <f>+IF(OR($Q275=Parametres!$G$2,$Q275=Parametres!$G$3),J275,D275)</f>
        <v>25336.720000000001</v>
      </c>
      <c r="P275" s="155">
        <f>+IF(OR($Q275=Parametres!$G$2,$Q275=Parametres!$G$3),K275,E275)</f>
        <v>71588.41</v>
      </c>
      <c r="Q275" s="154" t="str">
        <f t="shared" si="21"/>
        <v>6-Coût des ventes</v>
      </c>
      <c r="R275" s="153" t="str">
        <f t="shared" si="21"/>
        <v>4705</v>
      </c>
      <c r="S275" s="154">
        <f t="shared" si="21"/>
        <v>0</v>
      </c>
      <c r="T275" s="156" t="str">
        <f>+VLOOKUP($L275,Data_Validation!$A:$D,1,0)</f>
        <v>5705</v>
      </c>
      <c r="U275" s="156" t="str">
        <f>+VLOOKUP($L275,Data_Validation!$A:$D,3,0)</f>
        <v>Pièces</v>
      </c>
      <c r="V275" s="156" t="str">
        <f>+VLOOKUP($L275,Data_Validation!$A:$D,4,0)</f>
        <v>Ventes Internes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4" t="s">
        <v>2460</v>
      </c>
      <c r="B276" s="1014" t="s">
        <v>2728</v>
      </c>
      <c r="C276" s="1016">
        <v>3552.63</v>
      </c>
      <c r="D276" s="1016">
        <v>2987.96</v>
      </c>
      <c r="E276" s="1016">
        <v>6540.59</v>
      </c>
      <c r="F276" s="1014" t="s">
        <v>424</v>
      </c>
      <c r="G276" s="1014" t="s">
        <v>2115</v>
      </c>
      <c r="H276" s="949"/>
      <c r="I276" s="948"/>
      <c r="J276" s="948"/>
      <c r="K276" s="948"/>
      <c r="L276" s="153" t="str">
        <f t="shared" si="18"/>
        <v>5711</v>
      </c>
      <c r="M276" s="154" t="str">
        <f t="shared" si="19"/>
        <v>C/V - AUTRE PIECE/ACC/CARR B.R. CLIENT</v>
      </c>
      <c r="N276" s="155">
        <f>+IF(OR($Q276=Parametres!$G$2,$Q276=Parametres!$G$3),I276,C276)</f>
        <v>3552.63</v>
      </c>
      <c r="O276" s="575">
        <f>+IF(OR($Q276=Parametres!$G$2,$Q276=Parametres!$G$3),J276,D276)</f>
        <v>2987.96</v>
      </c>
      <c r="P276" s="155">
        <f>+IF(OR($Q276=Parametres!$G$2,$Q276=Parametres!$G$3),K276,E276)</f>
        <v>6540.59</v>
      </c>
      <c r="Q276" s="154" t="str">
        <f t="shared" si="21"/>
        <v>6-Coût des ventes</v>
      </c>
      <c r="R276" s="153" t="str">
        <f t="shared" si="21"/>
        <v>4711</v>
      </c>
      <c r="S276" s="154">
        <f t="shared" si="21"/>
        <v>0</v>
      </c>
      <c r="T276" s="156" t="str">
        <f>+VLOOKUP($L276,Data_Validation!$A:$D,1,0)</f>
        <v>5711</v>
      </c>
      <c r="U276" s="156" t="str">
        <f>+VLOOKUP($L276,Data_Validation!$A:$D,3,0)</f>
        <v>Pièces</v>
      </c>
      <c r="V276" s="156" t="str">
        <f>+VLOOKUP($L276,Data_Validation!$A:$D,4,0)</f>
        <v>Pièces Ro Clients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4" t="s">
        <v>2460</v>
      </c>
      <c r="B277" s="1014" t="s">
        <v>2461</v>
      </c>
      <c r="C277" s="1016">
        <v>13781.76</v>
      </c>
      <c r="D277" s="1016">
        <v>5853.35</v>
      </c>
      <c r="E277" s="1016">
        <v>19635.11</v>
      </c>
      <c r="F277" s="1014" t="s">
        <v>424</v>
      </c>
      <c r="G277" s="1014" t="s">
        <v>2445</v>
      </c>
      <c r="H277" s="949"/>
      <c r="I277" s="948"/>
      <c r="J277" s="948"/>
      <c r="K277" s="948"/>
      <c r="L277" s="153" t="str">
        <f t="shared" si="18"/>
        <v>5721</v>
      </c>
      <c r="M277" s="154" t="str">
        <f t="shared" si="19"/>
        <v>C/V - AUTRE PIECE/ACC/CARR B.R. CLIENT</v>
      </c>
      <c r="N277" s="155">
        <f>+IF(OR($Q277=Parametres!$G$2,$Q277=Parametres!$G$3),I277,C277)</f>
        <v>13781.76</v>
      </c>
      <c r="O277" s="575">
        <f>+IF(OR($Q277=Parametres!$G$2,$Q277=Parametres!$G$3),J277,D277)</f>
        <v>5853.35</v>
      </c>
      <c r="P277" s="155">
        <f>+IF(OR($Q277=Parametres!$G$2,$Q277=Parametres!$G$3),K277,E277)</f>
        <v>19635.11</v>
      </c>
      <c r="Q277" s="154" t="str">
        <f t="shared" si="21"/>
        <v>6-Coût des ventes</v>
      </c>
      <c r="R277" s="153" t="str">
        <f t="shared" si="21"/>
        <v>4721</v>
      </c>
      <c r="S277" s="154">
        <f t="shared" si="21"/>
        <v>0</v>
      </c>
      <c r="T277" s="156" t="str">
        <f>+VLOOKUP($L277,Data_Validation!$A:$D,1,0)</f>
        <v>5721</v>
      </c>
      <c r="U277" s="156" t="str">
        <f>+VLOOKUP($L277,Data_Validation!$A:$D,3,0)</f>
        <v>Pièces</v>
      </c>
      <c r="V277" s="156" t="str">
        <f>+VLOOKUP($L277,Data_Validation!$A:$D,4,0)</f>
        <v>Pièces Ro Clients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4" t="s">
        <v>2754</v>
      </c>
      <c r="B278" s="1014" t="s">
        <v>2755</v>
      </c>
      <c r="C278" s="1016">
        <v>35602.89</v>
      </c>
      <c r="D278" s="1016">
        <v>10081.94</v>
      </c>
      <c r="E278" s="1016">
        <v>45684.83</v>
      </c>
      <c r="F278" s="1014" t="s">
        <v>424</v>
      </c>
      <c r="G278" s="1014" t="s">
        <v>2108</v>
      </c>
      <c r="H278" s="949"/>
      <c r="I278" s="948"/>
      <c r="J278" s="948"/>
      <c r="K278" s="948"/>
      <c r="L278" s="153" t="str">
        <f t="shared" si="18"/>
        <v>5731</v>
      </c>
      <c r="M278" s="154" t="str">
        <f t="shared" si="19"/>
        <v>C/V - PIECES-BON REPAR.-PEINT/DEBOS</v>
      </c>
      <c r="N278" s="155">
        <f>+IF(OR($Q278=Parametres!$G$2,$Q278=Parametres!$G$3),I278,C278)</f>
        <v>35602.89</v>
      </c>
      <c r="O278" s="575">
        <f>+IF(OR($Q278=Parametres!$G$2,$Q278=Parametres!$G$3),J278,D278)</f>
        <v>10081.94</v>
      </c>
      <c r="P278" s="155">
        <f>+IF(OR($Q278=Parametres!$G$2,$Q278=Parametres!$G$3),K278,E278)</f>
        <v>45684.83</v>
      </c>
      <c r="Q278" s="154" t="str">
        <f t="shared" si="21"/>
        <v>6-Coût des ventes</v>
      </c>
      <c r="R278" s="153" t="str">
        <f t="shared" si="21"/>
        <v>4731</v>
      </c>
      <c r="S278" s="154">
        <f t="shared" si="21"/>
        <v>0</v>
      </c>
      <c r="T278" s="156" t="str">
        <f>+VLOOKUP($L278,Data_Validation!$A:$D,1,0)</f>
        <v>5731</v>
      </c>
      <c r="U278" s="156" t="str">
        <f>+VLOOKUP($L278,Data_Validation!$A:$D,3,0)</f>
        <v>Pièces</v>
      </c>
      <c r="V278" s="156" t="str">
        <f>+VLOOKUP($L278,Data_Validation!$A:$D,4,0)</f>
        <v>Pièces Ro Carrosserie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4" t="s">
        <v>2787</v>
      </c>
      <c r="B279" s="1014" t="s">
        <v>2788</v>
      </c>
      <c r="C279" s="1016">
        <v>65799.09</v>
      </c>
      <c r="D279" s="1016">
        <v>38472.03</v>
      </c>
      <c r="E279" s="1016">
        <v>104271.12</v>
      </c>
      <c r="F279" s="1014" t="s">
        <v>424</v>
      </c>
      <c r="G279" s="1014" t="s">
        <v>2091</v>
      </c>
      <c r="H279" s="949"/>
      <c r="I279" s="948"/>
      <c r="J279" s="948"/>
      <c r="K279" s="948"/>
      <c r="L279" s="153" t="str">
        <f t="shared" si="18"/>
        <v>5733</v>
      </c>
      <c r="M279" s="154" t="str">
        <f t="shared" si="19"/>
        <v>C/V - P&amp;A B.T. GAR.CARR.VW</v>
      </c>
      <c r="N279" s="155">
        <f>+IF(OR($Q279=Parametres!$G$2,$Q279=Parametres!$G$3),I279,C279)</f>
        <v>65799.09</v>
      </c>
      <c r="O279" s="575">
        <f>+IF(OR($Q279=Parametres!$G$2,$Q279=Parametres!$G$3),J279,D279)</f>
        <v>38472.03</v>
      </c>
      <c r="P279" s="155">
        <f>+IF(OR($Q279=Parametres!$G$2,$Q279=Parametres!$G$3),K279,E279)</f>
        <v>104271.12</v>
      </c>
      <c r="Q279" s="154" t="str">
        <f t="shared" si="21"/>
        <v>6-Coût des ventes</v>
      </c>
      <c r="R279" s="153" t="str">
        <f t="shared" si="21"/>
        <v>4733</v>
      </c>
      <c r="S279" s="154">
        <f t="shared" si="21"/>
        <v>0</v>
      </c>
      <c r="T279" s="156" t="str">
        <f>+VLOOKUP($L279,Data_Validation!$A:$D,1,0)</f>
        <v>5733</v>
      </c>
      <c r="U279" s="156" t="str">
        <f>+VLOOKUP($L279,Data_Validation!$A:$D,3,0)</f>
        <v>Pièces</v>
      </c>
      <c r="V279" s="156" t="str">
        <f>+VLOOKUP($L279,Data_Validation!$A:$D,4,0)</f>
        <v>Pièces Ro Carrosserie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4" t="s">
        <v>2668</v>
      </c>
      <c r="B280" s="1014" t="s">
        <v>2669</v>
      </c>
      <c r="C280" s="1016">
        <v>288.05</v>
      </c>
      <c r="D280" s="1016">
        <v>2538.23</v>
      </c>
      <c r="E280" s="1016">
        <v>2826.28</v>
      </c>
      <c r="F280" s="1014" t="s">
        <v>424</v>
      </c>
      <c r="G280" s="1014" t="s">
        <v>2166</v>
      </c>
      <c r="H280" s="949"/>
      <c r="I280" s="948"/>
      <c r="J280" s="948"/>
      <c r="K280" s="948"/>
      <c r="L280" s="153" t="str">
        <f t="shared" si="18"/>
        <v>5735</v>
      </c>
      <c r="M280" s="154" t="str">
        <f t="shared" si="19"/>
        <v>C/V - P&amp;A B.T.INTERNE CARR.VW</v>
      </c>
      <c r="N280" s="155">
        <f>+IF(OR($Q280=Parametres!$G$2,$Q280=Parametres!$G$3),I280,C280)</f>
        <v>288.05</v>
      </c>
      <c r="O280" s="575">
        <f>+IF(OR($Q280=Parametres!$G$2,$Q280=Parametres!$G$3),J280,D280)</f>
        <v>2538.23</v>
      </c>
      <c r="P280" s="155">
        <f>+IF(OR($Q280=Parametres!$G$2,$Q280=Parametres!$G$3),K280,E280)</f>
        <v>2826.28</v>
      </c>
      <c r="Q280" s="154" t="str">
        <f t="shared" si="21"/>
        <v>6-Coût des ventes</v>
      </c>
      <c r="R280" s="153" t="str">
        <f t="shared" si="21"/>
        <v>4735</v>
      </c>
      <c r="S280" s="154">
        <f t="shared" si="21"/>
        <v>0</v>
      </c>
      <c r="T280" s="156" t="str">
        <f>+VLOOKUP($L280,Data_Validation!$A:$D,1,0)</f>
        <v>5735</v>
      </c>
      <c r="U280" s="156" t="str">
        <f>+VLOOKUP($L280,Data_Validation!$A:$D,3,0)</f>
        <v>Pièces</v>
      </c>
      <c r="V280" s="156" t="str">
        <f>+VLOOKUP($L280,Data_Validation!$A:$D,4,0)</f>
        <v>Pièces Ro Carrosserie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4" t="s">
        <v>2794</v>
      </c>
      <c r="B281" s="1014" t="s">
        <v>2795</v>
      </c>
      <c r="C281" s="1016">
        <v>13267.22</v>
      </c>
      <c r="D281" s="1016">
        <v>7237.63</v>
      </c>
      <c r="E281" s="1016">
        <v>20504.849999999999</v>
      </c>
      <c r="F281" s="1014" t="s">
        <v>424</v>
      </c>
      <c r="G281" s="1014" t="s">
        <v>2083</v>
      </c>
      <c r="H281" s="949"/>
      <c r="I281" s="948"/>
      <c r="J281" s="948"/>
      <c r="K281" s="948"/>
      <c r="L281" s="153" t="str">
        <f t="shared" si="18"/>
        <v>5761</v>
      </c>
      <c r="M281" s="154" t="str">
        <f t="shared" si="19"/>
        <v>C/V - P&amp;A VW COMPTOIR - DETAIL</v>
      </c>
      <c r="N281" s="155">
        <f>+IF(OR($Q281=Parametres!$G$2,$Q281=Parametres!$G$3),I281,C281)</f>
        <v>13267.22</v>
      </c>
      <c r="O281" s="575">
        <f>+IF(OR($Q281=Parametres!$G$2,$Q281=Parametres!$G$3),J281,D281)</f>
        <v>7237.63</v>
      </c>
      <c r="P281" s="155">
        <f>+IF(OR($Q281=Parametres!$G$2,$Q281=Parametres!$G$3),K281,E281)</f>
        <v>20504.849999999999</v>
      </c>
      <c r="Q281" s="154" t="str">
        <f t="shared" si="21"/>
        <v>6-Coût des ventes</v>
      </c>
      <c r="R281" s="153" t="str">
        <f t="shared" si="21"/>
        <v>4761</v>
      </c>
      <c r="S281" s="154">
        <f t="shared" si="21"/>
        <v>0</v>
      </c>
      <c r="T281" s="156" t="str">
        <f>+VLOOKUP($L281,Data_Validation!$A:$D,1,0)</f>
        <v>5761</v>
      </c>
      <c r="U281" s="156" t="str">
        <f>+VLOOKUP($L281,Data_Validation!$A:$D,3,0)</f>
        <v>Pièces</v>
      </c>
      <c r="V281" s="156" t="str">
        <f>+VLOOKUP($L281,Data_Validation!$A:$D,4,0)</f>
        <v>Ventes Détails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4" t="s">
        <v>2816</v>
      </c>
      <c r="B282" s="1014" t="s">
        <v>2817</v>
      </c>
      <c r="C282" s="1016">
        <v>77075.22</v>
      </c>
      <c r="D282" s="1016">
        <v>37978.720000000001</v>
      </c>
      <c r="E282" s="1016">
        <v>115053.94</v>
      </c>
      <c r="F282" s="1014" t="s">
        <v>424</v>
      </c>
      <c r="G282" s="1014" t="s">
        <v>2046</v>
      </c>
      <c r="H282" s="949"/>
      <c r="I282" s="949"/>
      <c r="J282" s="949"/>
      <c r="K282" s="949"/>
      <c r="L282" s="153" t="str">
        <f t="shared" si="18"/>
        <v>5763</v>
      </c>
      <c r="M282" s="154" t="str">
        <f t="shared" si="19"/>
        <v>C/V - P&amp;A VW COMPTOIR GROS - ECHANGE</v>
      </c>
      <c r="N282" s="155">
        <f>+IF(OR($Q282=Parametres!$G$2,$Q282=Parametres!$G$3),I282,C282)</f>
        <v>77075.22</v>
      </c>
      <c r="O282" s="575">
        <f>+IF(OR($Q282=Parametres!$G$2,$Q282=Parametres!$G$3),J282,D282)</f>
        <v>37978.720000000001</v>
      </c>
      <c r="P282" s="155">
        <f>+IF(OR($Q282=Parametres!$G$2,$Q282=Parametres!$G$3),K282,E282)</f>
        <v>115053.94</v>
      </c>
      <c r="Q282" s="154" t="str">
        <f t="shared" si="21"/>
        <v>6-Coût des ventes</v>
      </c>
      <c r="R282" s="153" t="str">
        <f t="shared" si="21"/>
        <v>4763</v>
      </c>
      <c r="S282" s="154">
        <f t="shared" si="21"/>
        <v>0</v>
      </c>
      <c r="T282" s="156" t="str">
        <f>+VLOOKUP($L282,Data_Validation!$A:$D,1,0)</f>
        <v>5763</v>
      </c>
      <c r="U282" s="156" t="str">
        <f>+VLOOKUP($L282,Data_Validation!$A:$D,3,0)</f>
        <v>Pièces</v>
      </c>
      <c r="V282" s="156" t="str">
        <f>+VLOOKUP($L282,Data_Validation!$A:$D,4,0)</f>
        <v>Ventes de Gros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4" t="s">
        <v>2820</v>
      </c>
      <c r="B283" s="1014" t="s">
        <v>2821</v>
      </c>
      <c r="C283" s="1016">
        <v>72640.490000000005</v>
      </c>
      <c r="D283" s="1016">
        <v>23525.38</v>
      </c>
      <c r="E283" s="1016">
        <v>96165.87</v>
      </c>
      <c r="F283" s="1014" t="s">
        <v>424</v>
      </c>
      <c r="G283" s="1014" t="s">
        <v>2035</v>
      </c>
      <c r="H283" s="949"/>
      <c r="I283" s="949"/>
      <c r="J283" s="949"/>
      <c r="K283" s="949"/>
      <c r="L283" s="153" t="str">
        <f t="shared" si="18"/>
        <v>5781</v>
      </c>
      <c r="M283" s="154" t="str">
        <f t="shared" si="19"/>
        <v>COUT PNEUS</v>
      </c>
      <c r="N283" s="155">
        <f>+IF(OR($Q283=Parametres!$G$2,$Q283=Parametres!$G$3),I283,C283)</f>
        <v>72640.490000000005</v>
      </c>
      <c r="O283" s="575">
        <f>+IF(OR($Q283=Parametres!$G$2,$Q283=Parametres!$G$3),J283,D283)</f>
        <v>23525.38</v>
      </c>
      <c r="P283" s="155">
        <f>+IF(OR($Q283=Parametres!$G$2,$Q283=Parametres!$G$3),K283,E283)</f>
        <v>96165.87</v>
      </c>
      <c r="Q283" s="154" t="str">
        <f t="shared" si="21"/>
        <v>6-Coût des ventes</v>
      </c>
      <c r="R283" s="153" t="str">
        <f t="shared" si="21"/>
        <v>4781</v>
      </c>
      <c r="S283" s="154">
        <f t="shared" si="21"/>
        <v>0</v>
      </c>
      <c r="T283" s="156" t="str">
        <f>+VLOOKUP($L283,Data_Validation!$A:$D,1,0)</f>
        <v>5781</v>
      </c>
      <c r="U283" s="156" t="str">
        <f>+VLOOKUP($L283,Data_Validation!$A:$D,3,0)</f>
        <v>Pièces</v>
      </c>
      <c r="V283" s="156" t="str">
        <f>+VLOOKUP($L283,Data_Validation!$A:$D,4,0)</f>
        <v>Ventes Pneus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4" t="s">
        <v>2729</v>
      </c>
      <c r="B284" s="1014" t="s">
        <v>2730</v>
      </c>
      <c r="C284" s="1016">
        <v>414.93</v>
      </c>
      <c r="D284" s="1016">
        <v>288.35000000000002</v>
      </c>
      <c r="E284" s="1016">
        <v>703.28</v>
      </c>
      <c r="F284" s="1014" t="s">
        <v>424</v>
      </c>
      <c r="G284" s="1014" t="s">
        <v>2035</v>
      </c>
      <c r="H284" s="949"/>
      <c r="I284" s="949"/>
      <c r="J284" s="949"/>
      <c r="K284" s="949"/>
      <c r="L284" s="153" t="str">
        <f t="shared" si="18"/>
        <v>5785</v>
      </c>
      <c r="M284" s="154" t="str">
        <f t="shared" si="19"/>
        <v>C/V - VW PNEUS</v>
      </c>
      <c r="N284" s="155">
        <f>+IF(OR($Q284=Parametres!$G$2,$Q284=Parametres!$G$3),I284,C284)</f>
        <v>414.93</v>
      </c>
      <c r="O284" s="575">
        <f>+IF(OR($Q284=Parametres!$G$2,$Q284=Parametres!$G$3),J284,D284)</f>
        <v>288.35000000000002</v>
      </c>
      <c r="P284" s="155">
        <f>+IF(OR($Q284=Parametres!$G$2,$Q284=Parametres!$G$3),K284,E284)</f>
        <v>703.28</v>
      </c>
      <c r="Q284" s="154" t="str">
        <f t="shared" si="21"/>
        <v>6-Coût des ventes</v>
      </c>
      <c r="R284" s="153" t="str">
        <f t="shared" si="21"/>
        <v>4781</v>
      </c>
      <c r="S284" s="154">
        <f t="shared" si="21"/>
        <v>0</v>
      </c>
      <c r="T284" s="156" t="str">
        <f>+VLOOKUP($L284,Data_Validation!$A:$D,1,0)</f>
        <v>5785</v>
      </c>
      <c r="U284" s="156" t="str">
        <f>+VLOOKUP($L284,Data_Validation!$A:$D,3,0)</f>
        <v>Pièces</v>
      </c>
      <c r="V284" s="156" t="str">
        <f>+VLOOKUP($L284,Data_Validation!$A:$D,4,0)</f>
        <v>Ventes Pneus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4" t="s">
        <v>2135</v>
      </c>
      <c r="B285" s="1014" t="s">
        <v>2136</v>
      </c>
      <c r="C285" s="1016">
        <v>-7576.45</v>
      </c>
      <c r="D285" s="1016">
        <v>-30490.18</v>
      </c>
      <c r="E285" s="1016">
        <v>-38066.629999999997</v>
      </c>
      <c r="F285" s="1014" t="s">
        <v>424</v>
      </c>
      <c r="G285" s="1014" t="s">
        <v>2137</v>
      </c>
      <c r="H285" s="949"/>
      <c r="I285" s="949"/>
      <c r="J285" s="949"/>
      <c r="K285" s="949"/>
      <c r="L285" s="153" t="str">
        <f t="shared" si="18"/>
        <v>5796</v>
      </c>
      <c r="M285" s="154" t="str">
        <f t="shared" si="19"/>
        <v>C/V - BONI / ESCPTE PI VW</v>
      </c>
      <c r="N285" s="155">
        <f>+IF(OR($Q285=Parametres!$G$2,$Q285=Parametres!$G$3),I285,C285)</f>
        <v>-7576.45</v>
      </c>
      <c r="O285" s="575">
        <f>+IF(OR($Q285=Parametres!$G$2,$Q285=Parametres!$G$3),J285,D285)</f>
        <v>-30490.18</v>
      </c>
      <c r="P285" s="155">
        <f>+IF(OR($Q285=Parametres!$G$2,$Q285=Parametres!$G$3),K285,E285)</f>
        <v>-38066.629999999997</v>
      </c>
      <c r="Q285" s="154" t="str">
        <f t="shared" si="21"/>
        <v>6-Coût des ventes</v>
      </c>
      <c r="R285" s="153" t="str">
        <f t="shared" si="21"/>
        <v>5792</v>
      </c>
      <c r="S285" s="154">
        <f t="shared" si="21"/>
        <v>0</v>
      </c>
      <c r="T285" s="156" t="str">
        <f>+VLOOKUP($L285,Data_Validation!$A:$D,1,0)</f>
        <v>5796</v>
      </c>
      <c r="U285" s="156" t="str">
        <f>+VLOOKUP($L285,Data_Validation!$A:$D,3,0)</f>
        <v>Pièces</v>
      </c>
      <c r="V285" s="156" t="str">
        <f>+VLOOKUP($L285,Data_Validation!$A:$D,4,0)</f>
        <v>Escomptes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4" t="s">
        <v>1523</v>
      </c>
      <c r="B286" s="1014" t="s">
        <v>2781</v>
      </c>
      <c r="C286" s="1016">
        <v>58987.61</v>
      </c>
      <c r="D286" s="1016">
        <v>30014.5</v>
      </c>
      <c r="E286" s="1016">
        <v>89002.11</v>
      </c>
      <c r="F286" s="1014" t="s">
        <v>401</v>
      </c>
      <c r="G286" s="1014" t="s">
        <v>2781</v>
      </c>
      <c r="H286" s="949"/>
      <c r="I286" s="949"/>
      <c r="J286" s="949"/>
      <c r="K286" s="949"/>
      <c r="L286" s="153" t="str">
        <f t="shared" si="18"/>
        <v>6101</v>
      </c>
      <c r="M286" s="154" t="str">
        <f t="shared" si="19"/>
        <v>COMMISSION VENDEUR NEUFS</v>
      </c>
      <c r="N286" s="155">
        <f>+IF(OR($Q286=Parametres!$G$2,$Q286=Parametres!$G$3),I286,C286)</f>
        <v>58987.61</v>
      </c>
      <c r="O286" s="575">
        <f>+IF(OR($Q286=Parametres!$G$2,$Q286=Parametres!$G$3),J286,D286)</f>
        <v>30014.5</v>
      </c>
      <c r="P286" s="155">
        <f>+IF(OR($Q286=Parametres!$G$2,$Q286=Parametres!$G$3),K286,E286)</f>
        <v>89002.11</v>
      </c>
      <c r="Q286" s="154" t="str">
        <f t="shared" si="21"/>
        <v>7-Dépenses</v>
      </c>
      <c r="R286" s="153" t="str">
        <f t="shared" si="21"/>
        <v>6101</v>
      </c>
      <c r="S286" s="154">
        <f t="shared" si="21"/>
        <v>0</v>
      </c>
      <c r="T286" s="156" t="str">
        <f>+VLOOKUP($L286,Data_Validation!$A:$D,1,0)</f>
        <v>6101</v>
      </c>
      <c r="U286" s="156" t="str">
        <f>+VLOOKUP($L286,Data_Validation!$A:$D,3,0)</f>
        <v>Véhicules neufs</v>
      </c>
      <c r="V286" s="156" t="str">
        <f>+VLOOKUP($L286,Data_Validation!$A:$D,4,0)</f>
        <v>Comm. vendeurs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4" t="s">
        <v>1442</v>
      </c>
      <c r="B287" s="1014" t="s">
        <v>2770</v>
      </c>
      <c r="C287" s="1016">
        <v>23904.02</v>
      </c>
      <c r="D287" s="1016">
        <v>20977.35</v>
      </c>
      <c r="E287" s="1016">
        <v>44881.37</v>
      </c>
      <c r="F287" s="1014" t="s">
        <v>401</v>
      </c>
      <c r="G287" s="1014" t="s">
        <v>2770</v>
      </c>
      <c r="H287" s="949"/>
      <c r="I287" s="949"/>
      <c r="J287" s="949"/>
      <c r="K287" s="949"/>
      <c r="L287" s="153" t="str">
        <f t="shared" si="18"/>
        <v>6102</v>
      </c>
      <c r="M287" s="154" t="str">
        <f t="shared" si="19"/>
        <v>RENUMERATION F &amp; I</v>
      </c>
      <c r="N287" s="155">
        <f>+IF(OR($Q287=Parametres!$G$2,$Q287=Parametres!$G$3),I287,C287)</f>
        <v>23904.02</v>
      </c>
      <c r="O287" s="575">
        <f>+IF(OR($Q287=Parametres!$G$2,$Q287=Parametres!$G$3),J287,D287)</f>
        <v>20977.35</v>
      </c>
      <c r="P287" s="155">
        <f>+IF(OR($Q287=Parametres!$G$2,$Q287=Parametres!$G$3),K287,E287)</f>
        <v>44881.37</v>
      </c>
      <c r="Q287" s="154" t="str">
        <f t="shared" si="21"/>
        <v>7-Dépenses</v>
      </c>
      <c r="R287" s="153" t="str">
        <f t="shared" si="21"/>
        <v>6102</v>
      </c>
      <c r="S287" s="154">
        <f t="shared" si="21"/>
        <v>0</v>
      </c>
      <c r="T287" s="156" t="str">
        <f>+VLOOKUP($L287,Data_Validation!$A:$D,1,0)</f>
        <v>6102</v>
      </c>
      <c r="U287" s="156" t="str">
        <f>+VLOOKUP($L287,Data_Validation!$A:$D,3,0)</f>
        <v>Véhicules neufs</v>
      </c>
      <c r="V287" s="156" t="str">
        <f>+VLOOKUP($L287,Data_Validation!$A:$D,4,0)</f>
        <v>Comm. F&amp;I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4" t="s">
        <v>399</v>
      </c>
      <c r="B288" s="1014" t="s">
        <v>2706</v>
      </c>
      <c r="C288" s="1016">
        <v>864.98</v>
      </c>
      <c r="D288" s="1016">
        <v>960.98</v>
      </c>
      <c r="E288" s="1016">
        <v>1825.96</v>
      </c>
      <c r="F288" s="1014" t="s">
        <v>401</v>
      </c>
      <c r="G288" s="1014" t="s">
        <v>2706</v>
      </c>
      <c r="H288" s="949"/>
      <c r="I288" s="949"/>
      <c r="J288" s="949"/>
      <c r="K288" s="949"/>
      <c r="L288" s="153" t="str">
        <f t="shared" si="18"/>
        <v>6103</v>
      </c>
      <c r="M288" s="154" t="str">
        <f t="shared" si="19"/>
        <v>RELAT. A LA CLIENTELE &amp; AJUST.</v>
      </c>
      <c r="N288" s="155">
        <f>+IF(OR($Q288=Parametres!$G$2,$Q288=Parametres!$G$3),I288,C288)</f>
        <v>864.98</v>
      </c>
      <c r="O288" s="575">
        <f>+IF(OR($Q288=Parametres!$G$2,$Q288=Parametres!$G$3),J288,D288)</f>
        <v>960.98</v>
      </c>
      <c r="P288" s="155">
        <f>+IF(OR($Q288=Parametres!$G$2,$Q288=Parametres!$G$3),K288,E288)</f>
        <v>1825.96</v>
      </c>
      <c r="Q288" s="154" t="str">
        <f t="shared" si="21"/>
        <v>7-Dépenses</v>
      </c>
      <c r="R288" s="153" t="str">
        <f t="shared" si="21"/>
        <v>6103</v>
      </c>
      <c r="S288" s="154">
        <f t="shared" si="21"/>
        <v>0</v>
      </c>
      <c r="T288" s="156" t="str">
        <f>+VLOOKUP($L288,Data_Validation!$A:$D,1,0)</f>
        <v>6103</v>
      </c>
      <c r="U288" s="156" t="str">
        <f>+VLOOKUP($L288,Data_Validation!$A:$D,3,0)</f>
        <v>Véhicules neufs</v>
      </c>
      <c r="V288" s="156" t="str">
        <f>+VLOOKUP($L288,Data_Validation!$A:$D,4,0)</f>
        <v>Service gratuit 1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4" t="s">
        <v>2757</v>
      </c>
      <c r="B289" s="1014" t="s">
        <v>2759</v>
      </c>
      <c r="C289" s="1016">
        <v>4853.66</v>
      </c>
      <c r="D289" s="1016">
        <v>3619.86</v>
      </c>
      <c r="E289" s="1016">
        <v>8473.52</v>
      </c>
      <c r="F289" s="1014" t="s">
        <v>401</v>
      </c>
      <c r="G289" s="1014" t="s">
        <v>2759</v>
      </c>
      <c r="H289" s="972"/>
      <c r="I289" s="973"/>
      <c r="J289" s="973"/>
      <c r="K289" s="973"/>
      <c r="L289" s="153" t="str">
        <f t="shared" si="18"/>
        <v>6106</v>
      </c>
      <c r="M289" s="154" t="str">
        <f t="shared" si="19"/>
        <v>ENTRETIEN DES STOCKS</v>
      </c>
      <c r="N289" s="155">
        <f>+IF(OR($Q289=Parametres!$G$2,$Q289=Parametres!$G$3),I289,C289)</f>
        <v>4853.66</v>
      </c>
      <c r="O289" s="575">
        <f>+IF(OR($Q289=Parametres!$G$2,$Q289=Parametres!$G$3),J289,D289)</f>
        <v>3619.86</v>
      </c>
      <c r="P289" s="155">
        <f>+IF(OR($Q289=Parametres!$G$2,$Q289=Parametres!$G$3),K289,E289)</f>
        <v>8473.52</v>
      </c>
      <c r="Q289" s="154" t="str">
        <f t="shared" si="21"/>
        <v>7-Dépenses</v>
      </c>
      <c r="R289" s="153" t="str">
        <f t="shared" si="21"/>
        <v>6106</v>
      </c>
      <c r="S289" s="154">
        <f t="shared" si="21"/>
        <v>0</v>
      </c>
      <c r="T289" s="156" t="str">
        <f>+VLOOKUP($L289,Data_Validation!$A:$D,1,0)</f>
        <v>6106</v>
      </c>
      <c r="U289" s="156" t="str">
        <f>+VLOOKUP($L289,Data_Validation!$A:$D,3,0)</f>
        <v>Véhicules neufs</v>
      </c>
      <c r="V289" s="156" t="str">
        <f>+VLOOKUP($L289,Data_Validation!$A:$D,4,0)</f>
        <v>Entretien stock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4" t="s">
        <v>938</v>
      </c>
      <c r="B290" s="1014" t="s">
        <v>2612</v>
      </c>
      <c r="C290" s="1016">
        <v>34888.79</v>
      </c>
      <c r="D290" s="1016">
        <v>20366.64</v>
      </c>
      <c r="E290" s="1016">
        <v>55255.43</v>
      </c>
      <c r="F290" s="1014" t="s">
        <v>401</v>
      </c>
      <c r="G290" s="1014" t="s">
        <v>2612</v>
      </c>
      <c r="H290" s="972"/>
      <c r="I290" s="973"/>
      <c r="J290" s="973"/>
      <c r="K290" s="973"/>
      <c r="L290" s="153" t="str">
        <f t="shared" si="18"/>
        <v>6107</v>
      </c>
      <c r="M290" s="154" t="str">
        <f t="shared" si="19"/>
        <v>INTERET-PLAN DE FINANCEMENT</v>
      </c>
      <c r="N290" s="155">
        <f>+IF(OR($Q290=Parametres!$G$2,$Q290=Parametres!$G$3),I290,C290)</f>
        <v>34888.79</v>
      </c>
      <c r="O290" s="575">
        <f>+IF(OR($Q290=Parametres!$G$2,$Q290=Parametres!$G$3),J290,D290)</f>
        <v>20366.64</v>
      </c>
      <c r="P290" s="155">
        <f>+IF(OR($Q290=Parametres!$G$2,$Q290=Parametres!$G$3),K290,E290)</f>
        <v>55255.43</v>
      </c>
      <c r="Q290" s="154" t="str">
        <f t="shared" ref="Q290:S305" si="22">+F290</f>
        <v>7-Dépenses</v>
      </c>
      <c r="R290" s="153" t="str">
        <f t="shared" si="22"/>
        <v>6107</v>
      </c>
      <c r="S290" s="154">
        <f t="shared" si="22"/>
        <v>0</v>
      </c>
      <c r="T290" s="156" t="str">
        <f>+VLOOKUP($L290,Data_Validation!$A:$D,1,0)</f>
        <v>6107</v>
      </c>
      <c r="U290" s="156" t="str">
        <f>+VLOOKUP($L290,Data_Validation!$A:$D,3,0)</f>
        <v>Véhicules neufs</v>
      </c>
      <c r="V290" s="156" t="str">
        <f>+VLOOKUP($L290,Data_Validation!$A:$D,4,0)</f>
        <v>Intérêt de gros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4" t="s">
        <v>1407</v>
      </c>
      <c r="B291" s="1014" t="s">
        <v>2696</v>
      </c>
      <c r="C291" s="1016">
        <v>18220.93</v>
      </c>
      <c r="D291" s="1016">
        <v>12101.58</v>
      </c>
      <c r="E291" s="1016">
        <v>30322.51</v>
      </c>
      <c r="F291" s="1014" t="s">
        <v>401</v>
      </c>
      <c r="G291" s="1014" t="s">
        <v>2696</v>
      </c>
      <c r="H291" s="972"/>
      <c r="I291" s="973"/>
      <c r="J291" s="973"/>
      <c r="K291" s="973"/>
      <c r="L291" s="153" t="str">
        <f t="shared" si="18"/>
        <v>6108</v>
      </c>
      <c r="M291" s="154" t="str">
        <f t="shared" si="19"/>
        <v>FRAIS DE LIVRAISON</v>
      </c>
      <c r="N291" s="155">
        <f>+IF(OR($Q291=Parametres!$G$2,$Q291=Parametres!$G$3),I291,C291)</f>
        <v>18220.93</v>
      </c>
      <c r="O291" s="575">
        <f>+IF(OR($Q291=Parametres!$G$2,$Q291=Parametres!$G$3),J291,D291)</f>
        <v>12101.58</v>
      </c>
      <c r="P291" s="155">
        <f>+IF(OR($Q291=Parametres!$G$2,$Q291=Parametres!$G$3),K291,E291)</f>
        <v>30322.51</v>
      </c>
      <c r="Q291" s="154" t="str">
        <f t="shared" si="22"/>
        <v>7-Dépenses</v>
      </c>
      <c r="R291" s="153" t="str">
        <f t="shared" si="22"/>
        <v>6108</v>
      </c>
      <c r="S291" s="154">
        <f t="shared" si="22"/>
        <v>0</v>
      </c>
      <c r="T291" s="156" t="str">
        <f>+VLOOKUP($L291,Data_Validation!$A:$D,1,0)</f>
        <v>6108</v>
      </c>
      <c r="U291" s="156" t="str">
        <f>+VLOOKUP($L291,Data_Validation!$A:$D,3,0)</f>
        <v>Véhicules neufs</v>
      </c>
      <c r="V291" s="156" t="str">
        <f>+VLOOKUP($L291,Data_Validation!$A:$D,4,0)</f>
        <v>Frais de livraison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4" t="s">
        <v>1374</v>
      </c>
      <c r="B292" s="1014" t="s">
        <v>2113</v>
      </c>
      <c r="C292" s="1016">
        <v>22100</v>
      </c>
      <c r="D292" s="1016">
        <v>13090</v>
      </c>
      <c r="E292" s="1016">
        <v>35190</v>
      </c>
      <c r="F292" s="1014" t="s">
        <v>401</v>
      </c>
      <c r="G292" s="1014" t="s">
        <v>2113</v>
      </c>
      <c r="H292" s="972"/>
      <c r="I292" s="973"/>
      <c r="J292" s="973"/>
      <c r="K292" s="973"/>
      <c r="L292" s="153" t="str">
        <f t="shared" si="18"/>
        <v>6114</v>
      </c>
      <c r="M292" s="154" t="str">
        <f t="shared" si="19"/>
        <v>PUBLICITE</v>
      </c>
      <c r="N292" s="155">
        <f>+IF(OR($Q292=Parametres!$G$2,$Q292=Parametres!$G$3),I292,C292)</f>
        <v>22100</v>
      </c>
      <c r="O292" s="155">
        <f>+IF(OR($Q292=Parametres!$G$2,$Q292=Parametres!$G$3),J292,D292)</f>
        <v>13090</v>
      </c>
      <c r="P292" s="155">
        <f>+IF(OR($Q292=Parametres!$G$2,$Q292=Parametres!$G$3),K292,E292)</f>
        <v>35190</v>
      </c>
      <c r="Q292" s="154" t="str">
        <f t="shared" si="22"/>
        <v>7-Dépenses</v>
      </c>
      <c r="R292" s="153" t="str">
        <f t="shared" si="22"/>
        <v>6114</v>
      </c>
      <c r="S292" s="154">
        <f t="shared" si="22"/>
        <v>0</v>
      </c>
      <c r="T292" s="156" t="str">
        <f>+VLOOKUP($L292,Data_Validation!$A:$D,1,0)</f>
        <v>6114</v>
      </c>
      <c r="U292" s="156" t="str">
        <f>+VLOOKUP($L292,Data_Validation!$A:$D,3,0)</f>
        <v>Véhicules neufs</v>
      </c>
      <c r="V292" s="156" t="str">
        <f>+VLOOKUP($L292,Data_Validation!$A:$D,4,0)</f>
        <v>Publicité 1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4" t="s">
        <v>2111</v>
      </c>
      <c r="B293" s="1014" t="s">
        <v>2112</v>
      </c>
      <c r="C293" s="1016">
        <v>-11600</v>
      </c>
      <c r="D293" s="1016">
        <v>-7800</v>
      </c>
      <c r="E293" s="1016">
        <v>-19400</v>
      </c>
      <c r="F293" s="1014" t="s">
        <v>401</v>
      </c>
      <c r="G293" s="1014" t="s">
        <v>2113</v>
      </c>
      <c r="H293" s="972"/>
      <c r="I293" s="973"/>
      <c r="J293" s="973"/>
      <c r="K293" s="973"/>
      <c r="L293" s="153" t="str">
        <f t="shared" si="18"/>
        <v>6115</v>
      </c>
      <c r="M293" s="154" t="str">
        <f t="shared" si="19"/>
        <v>CREDIT PUBLICITE NEUF</v>
      </c>
      <c r="N293" s="155">
        <f>+IF(OR($Q293=Parametres!$G$2,$Q293=Parametres!$G$3),I293,C293)</f>
        <v>-11600</v>
      </c>
      <c r="O293" s="155">
        <f>+IF(OR($Q293=Parametres!$G$2,$Q293=Parametres!$G$3),J293,D293)</f>
        <v>-7800</v>
      </c>
      <c r="P293" s="155">
        <f>+IF(OR($Q293=Parametres!$G$2,$Q293=Parametres!$G$3),K293,E293)</f>
        <v>-19400</v>
      </c>
      <c r="Q293" s="154" t="str">
        <f t="shared" si="22"/>
        <v>7-Dépenses</v>
      </c>
      <c r="R293" s="153" t="str">
        <f t="shared" si="22"/>
        <v>6114</v>
      </c>
      <c r="S293" s="154">
        <f t="shared" si="22"/>
        <v>0</v>
      </c>
      <c r="T293" s="156" t="str">
        <f>+VLOOKUP($L293,Data_Validation!$A:$D,1,0)</f>
        <v>6115</v>
      </c>
      <c r="U293" s="156" t="str">
        <f>+VLOOKUP($L293,Data_Validation!$A:$D,3,0)</f>
        <v>Véhicules neufs</v>
      </c>
      <c r="V293" s="156" t="str">
        <f>+VLOOKUP($L293,Data_Validation!$A:$D,4,0)</f>
        <v>Publicité 1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4" t="s">
        <v>1259</v>
      </c>
      <c r="B294" s="1014" t="s">
        <v>2648</v>
      </c>
      <c r="C294" s="1016">
        <v>4919.55</v>
      </c>
      <c r="D294" s="1016">
        <v>2304.8200000000002</v>
      </c>
      <c r="E294" s="1016">
        <v>7224.37</v>
      </c>
      <c r="F294" s="1014" t="s">
        <v>401</v>
      </c>
      <c r="G294" s="1014" t="s">
        <v>2648</v>
      </c>
      <c r="H294" s="972"/>
      <c r="I294" s="973"/>
      <c r="J294" s="973"/>
      <c r="K294" s="973"/>
      <c r="L294" s="153" t="str">
        <f t="shared" si="18"/>
        <v>6121</v>
      </c>
      <c r="M294" s="154" t="str">
        <f t="shared" si="19"/>
        <v>SALAIRES - PROPRIETAIRES</v>
      </c>
      <c r="N294" s="155">
        <f>+IF(OR($Q294=Parametres!$G$2,$Q294=Parametres!$G$3),I294,C294)</f>
        <v>4919.55</v>
      </c>
      <c r="O294" s="155">
        <f>+IF(OR($Q294=Parametres!$G$2,$Q294=Parametres!$G$3),J294,D294)</f>
        <v>2304.8200000000002</v>
      </c>
      <c r="P294" s="155">
        <f>+IF(OR($Q294=Parametres!$G$2,$Q294=Parametres!$G$3),K294,E294)</f>
        <v>7224.37</v>
      </c>
      <c r="Q294" s="154" t="str">
        <f t="shared" si="22"/>
        <v>7-Dépenses</v>
      </c>
      <c r="R294" s="153" t="str">
        <f t="shared" si="22"/>
        <v>6121</v>
      </c>
      <c r="S294" s="154">
        <f t="shared" si="22"/>
        <v>0</v>
      </c>
      <c r="T294" s="156" t="str">
        <f>+VLOOKUP($L294,Data_Validation!$A:$D,1,0)</f>
        <v>6121</v>
      </c>
      <c r="U294" s="156" t="str">
        <f>+VLOOKUP($L294,Data_Validation!$A:$D,3,0)</f>
        <v>Véhicules neufs</v>
      </c>
      <c r="V294" s="156" t="str">
        <f>+VLOOKUP($L294,Data_Validation!$A:$D,4,0)</f>
        <v>Salaires propriétaire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4" t="s">
        <v>2624</v>
      </c>
      <c r="B295" s="1014" t="s">
        <v>2626</v>
      </c>
      <c r="C295" s="1016">
        <v>38817.1</v>
      </c>
      <c r="D295" s="1016">
        <v>32957.339999999997</v>
      </c>
      <c r="E295" s="1016">
        <v>71774.44</v>
      </c>
      <c r="F295" s="1014" t="s">
        <v>401</v>
      </c>
      <c r="G295" s="1014" t="s">
        <v>2626</v>
      </c>
      <c r="H295" s="972"/>
      <c r="I295" s="973"/>
      <c r="J295" s="973"/>
      <c r="K295" s="973"/>
      <c r="L295" s="153" t="str">
        <f t="shared" si="18"/>
        <v>6122</v>
      </c>
      <c r="M295" s="154" t="str">
        <f t="shared" si="19"/>
        <v>SAL SUPERVISION / GERANT</v>
      </c>
      <c r="N295" s="155">
        <f>+IF(OR($Q295=Parametres!$G$2,$Q295=Parametres!$G$3),I295,C295)</f>
        <v>38817.1</v>
      </c>
      <c r="O295" s="155">
        <f>+IF(OR($Q295=Parametres!$G$2,$Q295=Parametres!$G$3),J295,D295)</f>
        <v>32957.339999999997</v>
      </c>
      <c r="P295" s="155">
        <f>+IF(OR($Q295=Parametres!$G$2,$Q295=Parametres!$G$3),K295,E295)</f>
        <v>71774.44</v>
      </c>
      <c r="Q295" s="154" t="str">
        <f t="shared" si="22"/>
        <v>7-Dépenses</v>
      </c>
      <c r="R295" s="153" t="str">
        <f t="shared" si="22"/>
        <v>6122</v>
      </c>
      <c r="S295" s="154">
        <f t="shared" si="22"/>
        <v>0</v>
      </c>
      <c r="T295" s="156" t="str">
        <f>+VLOOKUP($L295,Data_Validation!$A:$D,1,0)</f>
        <v>6122</v>
      </c>
      <c r="U295" s="156" t="str">
        <f>+VLOOKUP($L295,Data_Validation!$A:$D,3,0)</f>
        <v>Véhicules neufs</v>
      </c>
      <c r="V295" s="156" t="str">
        <f>+VLOOKUP($L295,Data_Validation!$A:$D,4,0)</f>
        <v>Salaires cadres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4" t="s">
        <v>1342</v>
      </c>
      <c r="B296" s="1014" t="s">
        <v>2679</v>
      </c>
      <c r="C296" s="1016">
        <v>17029.97</v>
      </c>
      <c r="D296" s="1016">
        <v>10372.43</v>
      </c>
      <c r="E296" s="1016">
        <v>27402.400000000001</v>
      </c>
      <c r="F296" s="1014" t="s">
        <v>401</v>
      </c>
      <c r="G296" s="1014" t="s">
        <v>2679</v>
      </c>
      <c r="H296" s="972"/>
      <c r="I296" s="973"/>
      <c r="J296" s="973"/>
      <c r="K296" s="973"/>
      <c r="L296" s="153" t="str">
        <f t="shared" si="18"/>
        <v>6123</v>
      </c>
      <c r="M296" s="154" t="str">
        <f t="shared" si="19"/>
        <v>SAL. &amp; RENUM. - CLERICAL</v>
      </c>
      <c r="N296" s="155">
        <f>+IF(OR($Q296=Parametres!$G$2,$Q296=Parametres!$G$3),I296,C296)</f>
        <v>17029.97</v>
      </c>
      <c r="O296" s="155">
        <f>+IF(OR($Q296=Parametres!$G$2,$Q296=Parametres!$G$3),J296,D296)</f>
        <v>10372.43</v>
      </c>
      <c r="P296" s="155">
        <f>+IF(OR($Q296=Parametres!$G$2,$Q296=Parametres!$G$3),K296,E296)</f>
        <v>27402.400000000001</v>
      </c>
      <c r="Q296" s="154" t="str">
        <f t="shared" si="22"/>
        <v>7-Dépenses</v>
      </c>
      <c r="R296" s="153" t="str">
        <f t="shared" si="22"/>
        <v>6123</v>
      </c>
      <c r="S296" s="154">
        <f t="shared" si="22"/>
        <v>0</v>
      </c>
      <c r="T296" s="156" t="str">
        <f>+VLOOKUP($L296,Data_Validation!$A:$D,1,0)</f>
        <v>6123</v>
      </c>
      <c r="U296" s="156" t="str">
        <f>+VLOOKUP($L296,Data_Validation!$A:$D,3,0)</f>
        <v>Véhicules neufs</v>
      </c>
      <c r="V296" s="156" t="str">
        <f>+VLOOKUP($L296,Data_Validation!$A:$D,4,0)</f>
        <v>Salaires commis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4" t="s">
        <v>1249</v>
      </c>
      <c r="B297" s="1014" t="s">
        <v>2735</v>
      </c>
      <c r="C297" s="1016">
        <v>12676.32</v>
      </c>
      <c r="D297" s="1016">
        <v>4969.0200000000004</v>
      </c>
      <c r="E297" s="1016">
        <v>17645.34</v>
      </c>
      <c r="F297" s="1014" t="s">
        <v>401</v>
      </c>
      <c r="G297" s="1014" t="s">
        <v>2735</v>
      </c>
      <c r="H297" s="972"/>
      <c r="I297" s="973"/>
      <c r="J297" s="973"/>
      <c r="K297" s="973"/>
      <c r="L297" s="153" t="str">
        <f t="shared" si="18"/>
        <v>6124</v>
      </c>
      <c r="M297" s="154" t="str">
        <f t="shared" si="19"/>
        <v>SALAIRES &amp; RENUM. - AUTRES</v>
      </c>
      <c r="N297" s="155">
        <f>+IF(OR($Q297=Parametres!$G$2,$Q297=Parametres!$G$3),I297,C297)</f>
        <v>12676.32</v>
      </c>
      <c r="O297" s="155">
        <f>+IF(OR($Q297=Parametres!$G$2,$Q297=Parametres!$G$3),J297,D297)</f>
        <v>4969.0200000000004</v>
      </c>
      <c r="P297" s="155">
        <f>+IF(OR($Q297=Parametres!$G$2,$Q297=Parametres!$G$3),K297,E297)</f>
        <v>17645.34</v>
      </c>
      <c r="Q297" s="154" t="str">
        <f t="shared" si="22"/>
        <v>7-Dépenses</v>
      </c>
      <c r="R297" s="153" t="str">
        <f t="shared" si="22"/>
        <v>6124</v>
      </c>
      <c r="S297" s="154">
        <f t="shared" si="22"/>
        <v>0</v>
      </c>
      <c r="T297" s="156" t="str">
        <f>+VLOOKUP($L297,Data_Validation!$A:$D,1,0)</f>
        <v>6124</v>
      </c>
      <c r="U297" s="156" t="str">
        <f>+VLOOKUP($L297,Data_Validation!$A:$D,3,0)</f>
        <v>Véhicules neufs</v>
      </c>
      <c r="V297" s="156" t="str">
        <f>+VLOOKUP($L297,Data_Validation!$A:$D,4,0)</f>
        <v>Salaires autres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4" t="s">
        <v>1445</v>
      </c>
      <c r="B298" s="1014" t="s">
        <v>2641</v>
      </c>
      <c r="C298" s="1016">
        <v>24534.37</v>
      </c>
      <c r="D298" s="1016">
        <v>13634.47</v>
      </c>
      <c r="E298" s="1016">
        <v>38168.839999999997</v>
      </c>
      <c r="F298" s="1014" t="s">
        <v>401</v>
      </c>
      <c r="G298" s="1014" t="s">
        <v>2641</v>
      </c>
      <c r="H298" s="972"/>
      <c r="I298" s="973"/>
      <c r="J298" s="973"/>
      <c r="K298" s="973"/>
      <c r="L298" s="153" t="str">
        <f t="shared" si="18"/>
        <v>6129</v>
      </c>
      <c r="M298" s="154" t="str">
        <f t="shared" si="19"/>
        <v>ABS., VACANCE &amp; SAL. JOURS FER</v>
      </c>
      <c r="N298" s="155">
        <f>+IF(OR($Q298=Parametres!$G$2,$Q298=Parametres!$G$3),I298,C298)</f>
        <v>24534.37</v>
      </c>
      <c r="O298" s="155">
        <f>+IF(OR($Q298=Parametres!$G$2,$Q298=Parametres!$G$3),J298,D298)</f>
        <v>13634.47</v>
      </c>
      <c r="P298" s="155">
        <f>+IF(OR($Q298=Parametres!$G$2,$Q298=Parametres!$G$3),K298,E298)</f>
        <v>38168.839999999997</v>
      </c>
      <c r="Q298" s="154" t="str">
        <f t="shared" si="22"/>
        <v>7-Dépenses</v>
      </c>
      <c r="R298" s="153" t="str">
        <f t="shared" si="22"/>
        <v>6129</v>
      </c>
      <c r="S298" s="154">
        <f t="shared" si="22"/>
        <v>0</v>
      </c>
      <c r="T298" s="156" t="str">
        <f>+VLOOKUP($L298,Data_Validation!$A:$D,1,0)</f>
        <v>6129</v>
      </c>
      <c r="U298" s="156" t="str">
        <f>+VLOOKUP($L298,Data_Validation!$A:$D,3,0)</f>
        <v>Véhicules neufs</v>
      </c>
      <c r="V298" s="156" t="str">
        <f>+VLOOKUP($L298,Data_Validation!$A:$D,4,0)</f>
        <v>Salaires en absences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4" t="s">
        <v>1252</v>
      </c>
      <c r="B299" s="1014" t="s">
        <v>2586</v>
      </c>
      <c r="C299" s="1016">
        <v>5944.93</v>
      </c>
      <c r="D299" s="1016">
        <v>2994.03</v>
      </c>
      <c r="E299" s="1016">
        <v>8938.9599999999991</v>
      </c>
      <c r="F299" s="1014" t="s">
        <v>401</v>
      </c>
      <c r="G299" s="1014" t="s">
        <v>2586</v>
      </c>
      <c r="H299" s="972"/>
      <c r="I299" s="973"/>
      <c r="J299" s="973"/>
      <c r="K299" s="973"/>
      <c r="L299" s="153" t="str">
        <f t="shared" si="18"/>
        <v>6131</v>
      </c>
      <c r="M299" s="154" t="str">
        <f t="shared" si="19"/>
        <v>CSST</v>
      </c>
      <c r="N299" s="155">
        <f>+IF(OR($Q299=Parametres!$G$2,$Q299=Parametres!$G$3),I299,C299)</f>
        <v>5944.93</v>
      </c>
      <c r="O299" s="155">
        <f>+IF(OR($Q299=Parametres!$G$2,$Q299=Parametres!$G$3),J299,D299)</f>
        <v>2994.03</v>
      </c>
      <c r="P299" s="155">
        <f>+IF(OR($Q299=Parametres!$G$2,$Q299=Parametres!$G$3),K299,E299)</f>
        <v>8938.9599999999991</v>
      </c>
      <c r="Q299" s="154" t="str">
        <f t="shared" si="22"/>
        <v>7-Dépenses</v>
      </c>
      <c r="R299" s="153" t="str">
        <f t="shared" si="22"/>
        <v>6131</v>
      </c>
      <c r="S299" s="154">
        <f t="shared" si="22"/>
        <v>0</v>
      </c>
      <c r="T299" s="156" t="str">
        <f>+VLOOKUP($L299,Data_Validation!$A:$D,1,0)</f>
        <v>6131</v>
      </c>
      <c r="U299" s="156" t="str">
        <f>+VLOOKUP($L299,Data_Validation!$A:$D,3,0)</f>
        <v>Véhicules neufs</v>
      </c>
      <c r="V299" s="156" t="str">
        <f>+VLOOKUP($L299,Data_Validation!$A:$D,4,0)</f>
        <v>Csst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4" t="s">
        <v>1283</v>
      </c>
      <c r="B300" s="1014" t="s">
        <v>2685</v>
      </c>
      <c r="C300" s="1016">
        <v>21717.77</v>
      </c>
      <c r="D300" s="1016">
        <v>12017.04</v>
      </c>
      <c r="E300" s="1016">
        <v>33734.81</v>
      </c>
      <c r="F300" s="1014" t="s">
        <v>401</v>
      </c>
      <c r="G300" s="1014" t="s">
        <v>2685</v>
      </c>
      <c r="H300" s="972"/>
      <c r="I300" s="973"/>
      <c r="J300" s="973"/>
      <c r="K300" s="973"/>
      <c r="L300" s="153" t="str">
        <f t="shared" si="18"/>
        <v>6132</v>
      </c>
      <c r="M300" s="154" t="str">
        <f t="shared" si="19"/>
        <v>RRQ RAMQ AC</v>
      </c>
      <c r="N300" s="155">
        <f>+IF(OR($Q300=Parametres!$G$2,$Q300=Parametres!$G$3),I300,C300)</f>
        <v>21717.77</v>
      </c>
      <c r="O300" s="155">
        <f>+IF(OR($Q300=Parametres!$G$2,$Q300=Parametres!$G$3),J300,D300)</f>
        <v>12017.04</v>
      </c>
      <c r="P300" s="155">
        <f>+IF(OR($Q300=Parametres!$G$2,$Q300=Parametres!$G$3),K300,E300)</f>
        <v>33734.81</v>
      </c>
      <c r="Q300" s="154" t="str">
        <f t="shared" si="22"/>
        <v>7-Dépenses</v>
      </c>
      <c r="R300" s="153" t="str">
        <f t="shared" si="22"/>
        <v>6132</v>
      </c>
      <c r="S300" s="154">
        <f t="shared" si="22"/>
        <v>0</v>
      </c>
      <c r="T300" s="156" t="str">
        <f>+VLOOKUP($L300,Data_Validation!$A:$D,1,0)</f>
        <v>6132</v>
      </c>
      <c r="U300" s="156" t="str">
        <f>+VLOOKUP($L300,Data_Validation!$A:$D,3,0)</f>
        <v>Véhicules neufs</v>
      </c>
      <c r="V300" s="156" t="str">
        <f>+VLOOKUP($L300,Data_Validation!$A:$D,4,0)</f>
        <v>Déduction à la source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4" t="s">
        <v>1414</v>
      </c>
      <c r="B301" s="1014" t="s">
        <v>2694</v>
      </c>
      <c r="C301" s="1016">
        <v>15140.35</v>
      </c>
      <c r="D301" s="1016">
        <v>8128.51</v>
      </c>
      <c r="E301" s="1016">
        <v>23268.86</v>
      </c>
      <c r="F301" s="1014" t="s">
        <v>401</v>
      </c>
      <c r="G301" s="1014" t="s">
        <v>2694</v>
      </c>
      <c r="H301" s="972"/>
      <c r="I301" s="973"/>
      <c r="J301" s="973"/>
      <c r="K301" s="973"/>
      <c r="L301" s="153" t="str">
        <f t="shared" si="18"/>
        <v>6139</v>
      </c>
      <c r="M301" s="154" t="str">
        <f t="shared" si="19"/>
        <v>ASSURANCE GROUPS</v>
      </c>
      <c r="N301" s="155">
        <f>+IF(OR($Q301=Parametres!$G$2,$Q301=Parametres!$G$3),I301,C301)</f>
        <v>15140.35</v>
      </c>
      <c r="O301" s="155">
        <f>+IF(OR($Q301=Parametres!$G$2,$Q301=Parametres!$G$3),J301,D301)</f>
        <v>8128.51</v>
      </c>
      <c r="P301" s="155">
        <f>+IF(OR($Q301=Parametres!$G$2,$Q301=Parametres!$G$3),K301,E301)</f>
        <v>23268.86</v>
      </c>
      <c r="Q301" s="154" t="str">
        <f t="shared" si="22"/>
        <v>7-Dépenses</v>
      </c>
      <c r="R301" s="153" t="str">
        <f t="shared" si="22"/>
        <v>6139</v>
      </c>
      <c r="S301" s="154">
        <f t="shared" si="22"/>
        <v>0</v>
      </c>
      <c r="T301" s="156" t="str">
        <f>+VLOOKUP($L301,Data_Validation!$A:$D,1,0)</f>
        <v>6139</v>
      </c>
      <c r="U301" s="156" t="str">
        <f>+VLOOKUP($L301,Data_Validation!$A:$D,3,0)</f>
        <v>Véhicules neufs</v>
      </c>
      <c r="V301" s="156" t="str">
        <f>+VLOOKUP($L301,Data_Validation!$A:$D,4,0)</f>
        <v>Bénéfices marginaux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4" t="s">
        <v>1157</v>
      </c>
      <c r="B302" s="1014" t="s">
        <v>2563</v>
      </c>
      <c r="C302" s="1016">
        <v>390</v>
      </c>
      <c r="D302" s="1016">
        <v>231</v>
      </c>
      <c r="E302" s="1016">
        <v>621</v>
      </c>
      <c r="F302" s="1014" t="s">
        <v>401</v>
      </c>
      <c r="G302" s="1014" t="s">
        <v>2563</v>
      </c>
      <c r="H302" s="972"/>
      <c r="I302" s="973"/>
      <c r="J302" s="973"/>
      <c r="K302" s="973"/>
      <c r="L302" s="153" t="str">
        <f t="shared" si="18"/>
        <v>6142</v>
      </c>
      <c r="M302" s="154" t="str">
        <f t="shared" si="19"/>
        <v>FOURNITURES &amp; PETITS OUTILS</v>
      </c>
      <c r="N302" s="155">
        <f>+IF(OR($Q302=Parametres!$G$2,$Q302=Parametres!$G$3),I302,C302)</f>
        <v>390</v>
      </c>
      <c r="O302" s="155">
        <f>+IF(OR($Q302=Parametres!$G$2,$Q302=Parametres!$G$3),J302,D302)</f>
        <v>231</v>
      </c>
      <c r="P302" s="155">
        <f>+IF(OR($Q302=Parametres!$G$2,$Q302=Parametres!$G$3),K302,E302)</f>
        <v>621</v>
      </c>
      <c r="Q302" s="154" t="str">
        <f t="shared" si="22"/>
        <v>7-Dépenses</v>
      </c>
      <c r="R302" s="153" t="str">
        <f t="shared" si="22"/>
        <v>6142</v>
      </c>
      <c r="S302" s="154">
        <f t="shared" si="22"/>
        <v>0</v>
      </c>
      <c r="T302" s="156" t="str">
        <f>+VLOOKUP($L302,Data_Validation!$A:$D,1,0)</f>
        <v>6142</v>
      </c>
      <c r="U302" s="156" t="str">
        <f>+VLOOKUP($L302,Data_Validation!$A:$D,3,0)</f>
        <v>Véhicules neufs</v>
      </c>
      <c r="V302" s="156" t="str">
        <f>+VLOOKUP($L302,Data_Validation!$A:$D,4,0)</f>
        <v>Fournitures autres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4" t="s">
        <v>932</v>
      </c>
      <c r="B303" s="1014" t="s">
        <v>2159</v>
      </c>
      <c r="C303" s="1016">
        <v>70</v>
      </c>
      <c r="D303" s="1016">
        <v>35</v>
      </c>
      <c r="E303" s="1016">
        <v>105</v>
      </c>
      <c r="F303" s="1014" t="s">
        <v>401</v>
      </c>
      <c r="G303" s="1014" t="s">
        <v>2159</v>
      </c>
      <c r="H303" s="972"/>
      <c r="I303" s="973"/>
      <c r="J303" s="973"/>
      <c r="K303" s="973"/>
      <c r="L303" s="153" t="str">
        <f t="shared" si="18"/>
        <v>6143</v>
      </c>
      <c r="M303" s="154" t="str">
        <f t="shared" si="19"/>
        <v>UNIFORMES &amp; LESSIVE</v>
      </c>
      <c r="N303" s="155">
        <f>+IF(OR($Q303=Parametres!$G$2,$Q303=Parametres!$G$3),I303,C303)</f>
        <v>70</v>
      </c>
      <c r="O303" s="155">
        <f>+IF(OR($Q303=Parametres!$G$2,$Q303=Parametres!$G$3),J303,D303)</f>
        <v>35</v>
      </c>
      <c r="P303" s="155">
        <f>+IF(OR($Q303=Parametres!$G$2,$Q303=Parametres!$G$3),K303,E303)</f>
        <v>105</v>
      </c>
      <c r="Q303" s="154" t="str">
        <f t="shared" si="22"/>
        <v>7-Dépenses</v>
      </c>
      <c r="R303" s="153" t="str">
        <f t="shared" si="22"/>
        <v>6143</v>
      </c>
      <c r="S303" s="154">
        <f t="shared" si="22"/>
        <v>0</v>
      </c>
      <c r="T303" s="156" t="str">
        <f>+VLOOKUP($L303,Data_Validation!$A:$D,1,0)</f>
        <v>6143</v>
      </c>
      <c r="U303" s="156" t="str">
        <f>+VLOOKUP($L303,Data_Validation!$A:$D,3,0)</f>
        <v>Véhicules neufs</v>
      </c>
      <c r="V303" s="156" t="str">
        <f>+VLOOKUP($L303,Data_Validation!$A:$D,4,0)</f>
        <v>Uniformes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4" t="s">
        <v>934</v>
      </c>
      <c r="B304" s="1014" t="s">
        <v>2561</v>
      </c>
      <c r="C304" s="1016">
        <v>9111.66</v>
      </c>
      <c r="D304" s="1016">
        <v>4555.83</v>
      </c>
      <c r="E304" s="1016">
        <v>13667.49</v>
      </c>
      <c r="F304" s="1014" t="s">
        <v>401</v>
      </c>
      <c r="G304" s="1014" t="s">
        <v>2561</v>
      </c>
      <c r="H304" s="972"/>
      <c r="I304" s="973"/>
      <c r="J304" s="973"/>
      <c r="K304" s="973"/>
      <c r="L304" s="153" t="str">
        <f t="shared" si="18"/>
        <v>6144</v>
      </c>
      <c r="M304" s="154" t="str">
        <f t="shared" si="19"/>
        <v>FORMATION</v>
      </c>
      <c r="N304" s="155">
        <f>+IF(OR($Q304=Parametres!$G$2,$Q304=Parametres!$G$3),I304,C304)</f>
        <v>9111.66</v>
      </c>
      <c r="O304" s="155">
        <f>+IF(OR($Q304=Parametres!$G$2,$Q304=Parametres!$G$3),J304,D304)</f>
        <v>4555.83</v>
      </c>
      <c r="P304" s="155">
        <f>+IF(OR($Q304=Parametres!$G$2,$Q304=Parametres!$G$3),K304,E304)</f>
        <v>13667.49</v>
      </c>
      <c r="Q304" s="154" t="str">
        <f t="shared" si="22"/>
        <v>7-Dépenses</v>
      </c>
      <c r="R304" s="153" t="str">
        <f t="shared" si="22"/>
        <v>6144</v>
      </c>
      <c r="S304" s="154">
        <f t="shared" si="22"/>
        <v>0</v>
      </c>
      <c r="T304" s="156" t="str">
        <f>+VLOOKUP($L304,Data_Validation!$A:$D,1,0)</f>
        <v>6144</v>
      </c>
      <c r="U304" s="156" t="str">
        <f>+VLOOKUP($L304,Data_Validation!$A:$D,3,0)</f>
        <v>Véhicules neufs</v>
      </c>
      <c r="V304" s="156" t="str">
        <f>+VLOOKUP($L304,Data_Validation!$A:$D,4,0)</f>
        <v>Formation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4" t="s">
        <v>1186</v>
      </c>
      <c r="B305" s="1014" t="s">
        <v>2632</v>
      </c>
      <c r="C305" s="1016">
        <v>30689.74</v>
      </c>
      <c r="D305" s="1016">
        <v>8667.2900000000009</v>
      </c>
      <c r="E305" s="1016">
        <v>39357.03</v>
      </c>
      <c r="F305" s="1014" t="s">
        <v>401</v>
      </c>
      <c r="G305" s="1014" t="s">
        <v>2632</v>
      </c>
      <c r="H305" s="972"/>
      <c r="I305" s="973"/>
      <c r="J305" s="973"/>
      <c r="K305" s="973"/>
      <c r="L305" s="153" t="str">
        <f t="shared" si="18"/>
        <v>6145</v>
      </c>
      <c r="M305" s="154" t="str">
        <f t="shared" si="19"/>
        <v>VEHICULE DE COMPAGNIE - DEPENS</v>
      </c>
      <c r="N305" s="155">
        <f>+IF(OR($Q305=Parametres!$G$2,$Q305=Parametres!$G$3),I305,C305)</f>
        <v>30689.74</v>
      </c>
      <c r="O305" s="155">
        <f>+IF(OR($Q305=Parametres!$G$2,$Q305=Parametres!$G$3),J305,D305)</f>
        <v>8667.2900000000009</v>
      </c>
      <c r="P305" s="155">
        <f>+IF(OR($Q305=Parametres!$G$2,$Q305=Parametres!$G$3),K305,E305)</f>
        <v>39357.03</v>
      </c>
      <c r="Q305" s="154" t="str">
        <f t="shared" si="22"/>
        <v>7-Dépenses</v>
      </c>
      <c r="R305" s="153" t="str">
        <f t="shared" si="22"/>
        <v>6145</v>
      </c>
      <c r="S305" s="154">
        <f t="shared" si="22"/>
        <v>0</v>
      </c>
      <c r="T305" s="156" t="str">
        <f>+VLOOKUP($L305,Data_Validation!$A:$D,1,0)</f>
        <v>6145</v>
      </c>
      <c r="U305" s="156" t="str">
        <f>+VLOOKUP($L305,Data_Validation!$A:$D,3,0)</f>
        <v>Véhicules neufs</v>
      </c>
      <c r="V305" s="156" t="str">
        <f>+VLOOKUP($L305,Data_Validation!$A:$D,4,0)</f>
        <v>Frais véhicules de cie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4" t="s">
        <v>1180</v>
      </c>
      <c r="B306" s="1014" t="s">
        <v>2581</v>
      </c>
      <c r="C306" s="1016">
        <v>301.41000000000003</v>
      </c>
      <c r="D306" s="1016">
        <v>82.32</v>
      </c>
      <c r="E306" s="1016">
        <v>383.73</v>
      </c>
      <c r="F306" s="1014" t="s">
        <v>401</v>
      </c>
      <c r="G306" s="1014" t="s">
        <v>2581</v>
      </c>
      <c r="H306" s="972"/>
      <c r="I306" s="973"/>
      <c r="J306" s="973"/>
      <c r="K306" s="973"/>
      <c r="L306" s="153" t="str">
        <f t="shared" si="18"/>
        <v>6147</v>
      </c>
      <c r="M306" s="154" t="str">
        <f t="shared" si="19"/>
        <v>FRET/EXPRESS/TRANS. PAR CAMION</v>
      </c>
      <c r="N306" s="155">
        <f>+IF(OR($Q306=Parametres!$G$2,$Q306=Parametres!$G$3),I306,C306)</f>
        <v>301.41000000000003</v>
      </c>
      <c r="O306" s="155">
        <f>+IF(OR($Q306=Parametres!$G$2,$Q306=Parametres!$G$3),J306,D306)</f>
        <v>82.32</v>
      </c>
      <c r="P306" s="155">
        <f>+IF(OR($Q306=Parametres!$G$2,$Q306=Parametres!$G$3),K306,E306)</f>
        <v>383.73</v>
      </c>
      <c r="Q306" s="154" t="str">
        <f t="shared" ref="Q306:S321" si="23">+F306</f>
        <v>7-Dépenses</v>
      </c>
      <c r="R306" s="153" t="str">
        <f t="shared" si="23"/>
        <v>6147</v>
      </c>
      <c r="S306" s="154">
        <f t="shared" si="23"/>
        <v>0</v>
      </c>
      <c r="T306" s="156" t="str">
        <f>+VLOOKUP($L306,Data_Validation!$A:$D,1,0)</f>
        <v>6147</v>
      </c>
      <c r="U306" s="156" t="str">
        <f>+VLOOKUP($L306,Data_Validation!$A:$D,3,0)</f>
        <v>Véhicules neufs</v>
      </c>
      <c r="V306" s="156" t="str">
        <f>+VLOOKUP($L306,Data_Validation!$A:$D,4,0)</f>
        <v>Frais postaux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4" t="s">
        <v>1286</v>
      </c>
      <c r="B307" s="1014" t="s">
        <v>2702</v>
      </c>
      <c r="C307" s="1016">
        <v>13773.29</v>
      </c>
      <c r="D307" s="1016">
        <v>6718.5</v>
      </c>
      <c r="E307" s="1016">
        <v>20491.79</v>
      </c>
      <c r="F307" s="1014" t="s">
        <v>401</v>
      </c>
      <c r="G307" s="1014" t="s">
        <v>2702</v>
      </c>
      <c r="H307" s="972"/>
      <c r="I307" s="973"/>
      <c r="J307" s="973"/>
      <c r="K307" s="973"/>
      <c r="L307" s="153" t="str">
        <f t="shared" si="18"/>
        <v>6151</v>
      </c>
      <c r="M307" s="154" t="str">
        <f t="shared" si="19"/>
        <v>DEP. DU TRAITEMENT DES DONNEES</v>
      </c>
      <c r="N307" s="155">
        <f>+IF(OR($Q307=Parametres!$G$2,$Q307=Parametres!$G$3),I307,C307)</f>
        <v>13773.29</v>
      </c>
      <c r="O307" s="155">
        <f>+IF(OR($Q307=Parametres!$G$2,$Q307=Parametres!$G$3),J307,D307)</f>
        <v>6718.5</v>
      </c>
      <c r="P307" s="155">
        <f>+IF(OR($Q307=Parametres!$G$2,$Q307=Parametres!$G$3),K307,E307)</f>
        <v>20491.79</v>
      </c>
      <c r="Q307" s="154" t="str">
        <f t="shared" si="23"/>
        <v>7-Dépenses</v>
      </c>
      <c r="R307" s="153" t="str">
        <f t="shared" si="23"/>
        <v>6151</v>
      </c>
      <c r="S307" s="154">
        <f t="shared" si="23"/>
        <v>0</v>
      </c>
      <c r="T307" s="156" t="str">
        <f>+VLOOKUP($L307,Data_Validation!$A:$D,1,0)</f>
        <v>6151</v>
      </c>
      <c r="U307" s="156" t="str">
        <f>+VLOOKUP($L307,Data_Validation!$A:$D,3,0)</f>
        <v>Véhicules neufs</v>
      </c>
      <c r="V307" s="156" t="str">
        <f>+VLOOKUP($L307,Data_Validation!$A:$D,4,0)</f>
        <v>Informatique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4" t="s">
        <v>1206</v>
      </c>
      <c r="B308" s="1014" t="s">
        <v>2588</v>
      </c>
      <c r="C308" s="1016">
        <v>1184</v>
      </c>
      <c r="D308" s="1016">
        <v>592</v>
      </c>
      <c r="E308" s="1016">
        <v>1776</v>
      </c>
      <c r="F308" s="1014" t="s">
        <v>401</v>
      </c>
      <c r="G308" s="1014" t="s">
        <v>2588</v>
      </c>
      <c r="H308" s="972"/>
      <c r="I308" s="973"/>
      <c r="J308" s="973"/>
      <c r="K308" s="973"/>
      <c r="L308" s="153" t="str">
        <f t="shared" si="18"/>
        <v>6152</v>
      </c>
      <c r="M308" s="154" t="str">
        <f t="shared" si="19"/>
        <v>PAPETERIE</v>
      </c>
      <c r="N308" s="155">
        <f>+IF(OR($Q308=Parametres!$G$2,$Q308=Parametres!$G$3),I308,C308)</f>
        <v>1184</v>
      </c>
      <c r="O308" s="155">
        <f>+IF(OR($Q308=Parametres!$G$2,$Q308=Parametres!$G$3),J308,D308)</f>
        <v>592</v>
      </c>
      <c r="P308" s="155">
        <f>+IF(OR($Q308=Parametres!$G$2,$Q308=Parametres!$G$3),K308,E308)</f>
        <v>1776</v>
      </c>
      <c r="Q308" s="154" t="str">
        <f t="shared" si="23"/>
        <v>7-Dépenses</v>
      </c>
      <c r="R308" s="153" t="str">
        <f t="shared" si="23"/>
        <v>6152</v>
      </c>
      <c r="S308" s="154">
        <f t="shared" si="23"/>
        <v>0</v>
      </c>
      <c r="T308" s="156" t="str">
        <f>+VLOOKUP($L308,Data_Validation!$A:$D,1,0)</f>
        <v>6152</v>
      </c>
      <c r="U308" s="156" t="str">
        <f>+VLOOKUP($L308,Data_Validation!$A:$D,3,0)</f>
        <v>Véhicules neufs</v>
      </c>
      <c r="V308" s="156" t="str">
        <f>+VLOOKUP($L308,Data_Validation!$A:$D,4,0)</f>
        <v>Papeterie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4" t="s">
        <v>1154</v>
      </c>
      <c r="B309" s="1014" t="s">
        <v>2592</v>
      </c>
      <c r="C309" s="1016">
        <v>995.63</v>
      </c>
      <c r="D309" s="1016">
        <v>633.66999999999996</v>
      </c>
      <c r="E309" s="1016">
        <v>1629.3</v>
      </c>
      <c r="F309" s="1014" t="s">
        <v>401</v>
      </c>
      <c r="G309" s="1014" t="s">
        <v>2592</v>
      </c>
      <c r="H309" s="972"/>
      <c r="I309" s="973"/>
      <c r="J309" s="973"/>
      <c r="K309" s="973"/>
      <c r="L309" s="153" t="str">
        <f t="shared" si="18"/>
        <v>6153</v>
      </c>
      <c r="M309" s="154" t="str">
        <f t="shared" si="19"/>
        <v>TELEPHONE ET TELEX</v>
      </c>
      <c r="N309" s="155">
        <f>+IF(OR($Q309=Parametres!$G$2,$Q309=Parametres!$G$3),I309,C309)</f>
        <v>995.63</v>
      </c>
      <c r="O309" s="155">
        <f>+IF(OR($Q309=Parametres!$G$2,$Q309=Parametres!$G$3),J309,D309)</f>
        <v>633.66999999999996</v>
      </c>
      <c r="P309" s="155">
        <f>+IF(OR($Q309=Parametres!$G$2,$Q309=Parametres!$G$3),K309,E309)</f>
        <v>1629.3</v>
      </c>
      <c r="Q309" s="154" t="str">
        <f t="shared" si="23"/>
        <v>7-Dépenses</v>
      </c>
      <c r="R309" s="153" t="str">
        <f t="shared" si="23"/>
        <v>6153</v>
      </c>
      <c r="S309" s="154">
        <f t="shared" si="23"/>
        <v>0</v>
      </c>
      <c r="T309" s="156" t="str">
        <f>+VLOOKUP($L309,Data_Validation!$A:$D,1,0)</f>
        <v>6153</v>
      </c>
      <c r="U309" s="156" t="str">
        <f>+VLOOKUP($L309,Data_Validation!$A:$D,3,0)</f>
        <v>Véhicules neufs</v>
      </c>
      <c r="V309" s="156" t="str">
        <f>+VLOOKUP($L309,Data_Validation!$A:$D,4,0)</f>
        <v>Téléphone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4" t="s">
        <v>1237</v>
      </c>
      <c r="B310" s="1014" t="s">
        <v>2637</v>
      </c>
      <c r="C310" s="1016">
        <v>3624.38</v>
      </c>
      <c r="D310" s="1016">
        <v>1545.45</v>
      </c>
      <c r="E310" s="1016">
        <v>5169.83</v>
      </c>
      <c r="F310" s="1014" t="s">
        <v>401</v>
      </c>
      <c r="G310" s="1014" t="s">
        <v>2637</v>
      </c>
      <c r="H310" s="972"/>
      <c r="I310" s="973"/>
      <c r="J310" s="973"/>
      <c r="K310" s="973"/>
      <c r="L310" s="153" t="str">
        <f t="shared" si="18"/>
        <v>6155</v>
      </c>
      <c r="M310" s="154" t="str">
        <f t="shared" si="19"/>
        <v>DEPENSES DIVERS</v>
      </c>
      <c r="N310" s="155">
        <f>+IF(OR($Q310=Parametres!$G$2,$Q310=Parametres!$G$3),I310,C310)</f>
        <v>3624.38</v>
      </c>
      <c r="O310" s="155">
        <f>+IF(OR($Q310=Parametres!$G$2,$Q310=Parametres!$G$3),J310,D310)</f>
        <v>1545.45</v>
      </c>
      <c r="P310" s="155">
        <f>+IF(OR($Q310=Parametres!$G$2,$Q310=Parametres!$G$3),K310,E310)</f>
        <v>5169.83</v>
      </c>
      <c r="Q310" s="154" t="str">
        <f t="shared" si="23"/>
        <v>7-Dépenses</v>
      </c>
      <c r="R310" s="153" t="str">
        <f t="shared" si="23"/>
        <v>6155</v>
      </c>
      <c r="S310" s="154">
        <f t="shared" si="23"/>
        <v>0</v>
      </c>
      <c r="T310" s="156" t="str">
        <f>+VLOOKUP($L310,Data_Validation!$A:$D,1,0)</f>
        <v>6155</v>
      </c>
      <c r="U310" s="156" t="str">
        <f>+VLOOKUP($L310,Data_Validation!$A:$D,3,0)</f>
        <v>Véhicules neufs</v>
      </c>
      <c r="V310" s="156" t="str">
        <f>+VLOOKUP($L310,Data_Validation!$A:$D,4,0)</f>
        <v>Divers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4" t="s">
        <v>1315</v>
      </c>
      <c r="B311" s="1014" t="s">
        <v>2470</v>
      </c>
      <c r="C311" s="1016">
        <v>3889.28</v>
      </c>
      <c r="D311" s="1016">
        <v>1944.64</v>
      </c>
      <c r="E311" s="1016">
        <v>5833.92</v>
      </c>
      <c r="F311" s="1014" t="s">
        <v>401</v>
      </c>
      <c r="G311" s="1014" t="s">
        <v>2470</v>
      </c>
      <c r="H311" s="972"/>
      <c r="I311" s="973"/>
      <c r="J311" s="973"/>
      <c r="K311" s="973"/>
      <c r="L311" s="153" t="str">
        <f t="shared" si="18"/>
        <v>6156</v>
      </c>
      <c r="M311" s="154" t="str">
        <f t="shared" si="19"/>
        <v>FRAIS REPRESENTATION - NEUF</v>
      </c>
      <c r="N311" s="155">
        <f>+IF(OR($Q311=Parametres!$G$2,$Q311=Parametres!$G$3),I311,C311)</f>
        <v>3889.28</v>
      </c>
      <c r="O311" s="155">
        <f>+IF(OR($Q311=Parametres!$G$2,$Q311=Parametres!$G$3),J311,D311)</f>
        <v>1944.64</v>
      </c>
      <c r="P311" s="155">
        <f>+IF(OR($Q311=Parametres!$G$2,$Q311=Parametres!$G$3),K311,E311)</f>
        <v>5833.92</v>
      </c>
      <c r="Q311" s="154" t="str">
        <f t="shared" si="23"/>
        <v>7-Dépenses</v>
      </c>
      <c r="R311" s="153" t="str">
        <f t="shared" si="23"/>
        <v>6156</v>
      </c>
      <c r="S311" s="154">
        <f t="shared" si="23"/>
        <v>0</v>
      </c>
      <c r="T311" s="156" t="str">
        <f>+VLOOKUP($L311,Data_Validation!$A:$D,1,0)</f>
        <v>6156</v>
      </c>
      <c r="U311" s="156" t="str">
        <f>+VLOOKUP($L311,Data_Validation!$A:$D,3,0)</f>
        <v>Véhicules neufs</v>
      </c>
      <c r="V311" s="156" t="str">
        <f>+VLOOKUP($L311,Data_Validation!$A:$D,4,0)</f>
        <v>Frais de déplacement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4" t="s">
        <v>1308</v>
      </c>
      <c r="B312" s="1014" t="s">
        <v>2662</v>
      </c>
      <c r="C312" s="1016">
        <v>15915.17</v>
      </c>
      <c r="D312" s="1016">
        <v>8135.35</v>
      </c>
      <c r="E312" s="1016">
        <v>24050.52</v>
      </c>
      <c r="F312" s="1014" t="s">
        <v>401</v>
      </c>
      <c r="G312" s="1014" t="s">
        <v>2662</v>
      </c>
      <c r="H312" s="972"/>
      <c r="I312" s="973"/>
      <c r="J312" s="973"/>
      <c r="K312" s="973"/>
      <c r="L312" s="153" t="str">
        <f t="shared" si="18"/>
        <v>6159</v>
      </c>
      <c r="M312" s="154" t="str">
        <f t="shared" si="19"/>
        <v>SERVICE EXTERIEUR</v>
      </c>
      <c r="N312" s="155">
        <f>+IF(OR($Q312=Parametres!$G$2,$Q312=Parametres!$G$3),I312,C312)</f>
        <v>15915.17</v>
      </c>
      <c r="O312" s="155">
        <f>+IF(OR($Q312=Parametres!$G$2,$Q312=Parametres!$G$3),J312,D312)</f>
        <v>8135.35</v>
      </c>
      <c r="P312" s="155">
        <f>+IF(OR($Q312=Parametres!$G$2,$Q312=Parametres!$G$3),K312,E312)</f>
        <v>24050.52</v>
      </c>
      <c r="Q312" s="154" t="str">
        <f t="shared" si="23"/>
        <v>7-Dépenses</v>
      </c>
      <c r="R312" s="153" t="str">
        <f t="shared" si="23"/>
        <v>6159</v>
      </c>
      <c r="S312" s="154">
        <f t="shared" si="23"/>
        <v>0</v>
      </c>
      <c r="T312" s="156" t="str">
        <f>+VLOOKUP($L312,Data_Validation!$A:$D,1,0)</f>
        <v>6159</v>
      </c>
      <c r="U312" s="156" t="str">
        <f>+VLOOKUP($L312,Data_Validation!$A:$D,3,0)</f>
        <v>Véhicules neufs</v>
      </c>
      <c r="V312" s="156" t="str">
        <f>+VLOOKUP($L312,Data_Validation!$A:$D,4,0)</f>
        <v>Services extérieurs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4" t="s">
        <v>1333</v>
      </c>
      <c r="B313" s="1014" t="s">
        <v>2653</v>
      </c>
      <c r="C313" s="1016">
        <v>5760</v>
      </c>
      <c r="D313" s="1016">
        <v>2880</v>
      </c>
      <c r="E313" s="1016">
        <v>8640</v>
      </c>
      <c r="F313" s="1014" t="s">
        <v>401</v>
      </c>
      <c r="G313" s="1014" t="s">
        <v>2653</v>
      </c>
      <c r="H313" s="972"/>
      <c r="I313" s="973"/>
      <c r="J313" s="973"/>
      <c r="K313" s="973"/>
      <c r="L313" s="153" t="str">
        <f t="shared" si="18"/>
        <v>6161</v>
      </c>
      <c r="M313" s="154" t="str">
        <f t="shared" si="19"/>
        <v>DEPRECIATION EQUIP. &amp; FIXTURES</v>
      </c>
      <c r="N313" s="155">
        <f>+IF(OR($Q313=Parametres!$G$2,$Q313=Parametres!$G$3),I313,C313)</f>
        <v>5760</v>
      </c>
      <c r="O313" s="155">
        <f>+IF(OR($Q313=Parametres!$G$2,$Q313=Parametres!$G$3),J313,D313)</f>
        <v>2880</v>
      </c>
      <c r="P313" s="155">
        <f>+IF(OR($Q313=Parametres!$G$2,$Q313=Parametres!$G$3),K313,E313)</f>
        <v>8640</v>
      </c>
      <c r="Q313" s="154" t="str">
        <f t="shared" si="23"/>
        <v>7-Dépenses</v>
      </c>
      <c r="R313" s="153" t="str">
        <f t="shared" si="23"/>
        <v>6161</v>
      </c>
      <c r="S313" s="154">
        <f t="shared" si="23"/>
        <v>0</v>
      </c>
      <c r="T313" s="156" t="str">
        <f>+VLOOKUP($L313,Data_Validation!$A:$D,1,0)</f>
        <v>6161</v>
      </c>
      <c r="U313" s="156" t="str">
        <f>+VLOOKUP($L313,Data_Validation!$A:$D,3,0)</f>
        <v>Véhicules neufs</v>
      </c>
      <c r="V313" s="156" t="str">
        <f>+VLOOKUP($L313,Data_Validation!$A:$D,4,0)</f>
        <v>Amortissement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4" t="s">
        <v>936</v>
      </c>
      <c r="B314" s="1014" t="s">
        <v>2463</v>
      </c>
      <c r="C314" s="1016">
        <v>256</v>
      </c>
      <c r="D314" s="1016">
        <v>128</v>
      </c>
      <c r="E314" s="1016">
        <v>384</v>
      </c>
      <c r="F314" s="1014" t="s">
        <v>401</v>
      </c>
      <c r="G314" s="1014" t="s">
        <v>2463</v>
      </c>
      <c r="H314" s="972"/>
      <c r="I314" s="973"/>
      <c r="J314" s="973"/>
      <c r="K314" s="973"/>
      <c r="L314" s="153" t="str">
        <f t="shared" si="18"/>
        <v>6162</v>
      </c>
      <c r="M314" s="154" t="str">
        <f t="shared" si="19"/>
        <v>LOCATION D'EQUIPEMENTS</v>
      </c>
      <c r="N314" s="155">
        <f>+IF(OR($Q314=Parametres!$G$2,$Q314=Parametres!$G$3),I314,C314)</f>
        <v>256</v>
      </c>
      <c r="O314" s="155">
        <f>+IF(OR($Q314=Parametres!$G$2,$Q314=Parametres!$G$3),J314,D314)</f>
        <v>128</v>
      </c>
      <c r="P314" s="155">
        <f>+IF(OR($Q314=Parametres!$G$2,$Q314=Parametres!$G$3),K314,E314)</f>
        <v>384</v>
      </c>
      <c r="Q314" s="154" t="str">
        <f t="shared" si="23"/>
        <v>7-Dépenses</v>
      </c>
      <c r="R314" s="153" t="str">
        <f t="shared" si="23"/>
        <v>6162</v>
      </c>
      <c r="S314" s="154">
        <f t="shared" si="23"/>
        <v>0</v>
      </c>
      <c r="T314" s="156" t="str">
        <f>+VLOOKUP($L314,Data_Validation!$A:$D,1,0)</f>
        <v>6162</v>
      </c>
      <c r="U314" s="156" t="str">
        <f>+VLOOKUP($L314,Data_Validation!$A:$D,3,0)</f>
        <v>Véhicules neufs</v>
      </c>
      <c r="V314" s="156" t="str">
        <f>+VLOOKUP($L314,Data_Validation!$A:$D,4,0)</f>
        <v>Location équipement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4" t="s">
        <v>1332</v>
      </c>
      <c r="B315" s="1014" t="s">
        <v>2604</v>
      </c>
      <c r="C315" s="1016">
        <v>2348.8000000000002</v>
      </c>
      <c r="D315" s="1016">
        <v>1174.4000000000001</v>
      </c>
      <c r="E315" s="1016">
        <v>3523.2</v>
      </c>
      <c r="F315" s="1014" t="s">
        <v>401</v>
      </c>
      <c r="G315" s="1014" t="s">
        <v>2604</v>
      </c>
      <c r="H315" s="972"/>
      <c r="I315" s="973"/>
      <c r="J315" s="973"/>
      <c r="K315" s="973"/>
      <c r="L315" s="153" t="str">
        <f t="shared" si="18"/>
        <v>6181</v>
      </c>
      <c r="M315" s="154" t="str">
        <f t="shared" si="19"/>
        <v>ELECTRICITE CHAUFFAGE</v>
      </c>
      <c r="N315" s="155">
        <f>+IF(OR($Q315=Parametres!$G$2,$Q315=Parametres!$G$3),I315,C315)</f>
        <v>2348.8000000000002</v>
      </c>
      <c r="O315" s="155">
        <f>+IF(OR($Q315=Parametres!$G$2,$Q315=Parametres!$G$3),J315,D315)</f>
        <v>1174.4000000000001</v>
      </c>
      <c r="P315" s="155">
        <f>+IF(OR($Q315=Parametres!$G$2,$Q315=Parametres!$G$3),K315,E315)</f>
        <v>3523.2</v>
      </c>
      <c r="Q315" s="154" t="str">
        <f t="shared" si="23"/>
        <v>7-Dépenses</v>
      </c>
      <c r="R315" s="153" t="str">
        <f t="shared" si="23"/>
        <v>6181</v>
      </c>
      <c r="S315" s="154">
        <f t="shared" si="23"/>
        <v>0</v>
      </c>
      <c r="T315" s="156" t="str">
        <f>+VLOOKUP($L315,Data_Validation!$A:$D,1,0)</f>
        <v>6181</v>
      </c>
      <c r="U315" s="156" t="str">
        <f>+VLOOKUP($L315,Data_Validation!$A:$D,3,0)</f>
        <v>Véhicules neufs</v>
      </c>
      <c r="V315" s="156" t="str">
        <f>+VLOOKUP($L315,Data_Validation!$A:$D,4,0)</f>
        <v>Chauffage, éclairage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4" t="s">
        <v>1469</v>
      </c>
      <c r="B316" s="1014" t="s">
        <v>2709</v>
      </c>
      <c r="C316" s="1016">
        <v>16640.04</v>
      </c>
      <c r="D316" s="1016">
        <v>8320.06</v>
      </c>
      <c r="E316" s="1016">
        <v>24960.1</v>
      </c>
      <c r="F316" s="1014" t="s">
        <v>401</v>
      </c>
      <c r="G316" s="1014" t="s">
        <v>2709</v>
      </c>
      <c r="H316" s="972"/>
      <c r="I316" s="973"/>
      <c r="J316" s="973"/>
      <c r="K316" s="973"/>
      <c r="L316" s="153" t="str">
        <f t="shared" si="18"/>
        <v>6182</v>
      </c>
      <c r="M316" s="154" t="str">
        <f t="shared" si="19"/>
        <v>LOYER NEUFS</v>
      </c>
      <c r="N316" s="155">
        <f>+IF(OR($Q316=Parametres!$G$2,$Q316=Parametres!$G$3),I316,C316)</f>
        <v>16640.04</v>
      </c>
      <c r="O316" s="155">
        <f>+IF(OR($Q316=Parametres!$G$2,$Q316=Parametres!$G$3),J316,D316)</f>
        <v>8320.06</v>
      </c>
      <c r="P316" s="155">
        <f>+IF(OR($Q316=Parametres!$G$2,$Q316=Parametres!$G$3),K316,E316)</f>
        <v>24960.1</v>
      </c>
      <c r="Q316" s="154" t="str">
        <f t="shared" si="23"/>
        <v>7-Dépenses</v>
      </c>
      <c r="R316" s="153" t="str">
        <f t="shared" si="23"/>
        <v>6182</v>
      </c>
      <c r="S316" s="154">
        <f t="shared" si="23"/>
        <v>0</v>
      </c>
      <c r="T316" s="156" t="str">
        <f>+VLOOKUP($L316,Data_Validation!$A:$D,1,0)</f>
        <v>6182</v>
      </c>
      <c r="U316" s="156" t="str">
        <f>+VLOOKUP($L316,Data_Validation!$A:$D,3,0)</f>
        <v>Véhicules neufs</v>
      </c>
      <c r="V316" s="156" t="str">
        <f>+VLOOKUP($L316,Data_Validation!$A:$D,4,0)</f>
        <v>Loyer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4" t="s">
        <v>1366</v>
      </c>
      <c r="B317" s="1014" t="s">
        <v>2594</v>
      </c>
      <c r="C317" s="1016">
        <v>960</v>
      </c>
      <c r="D317" s="1016">
        <v>480</v>
      </c>
      <c r="E317" s="1016">
        <v>1440</v>
      </c>
      <c r="F317" s="1014" t="s">
        <v>401</v>
      </c>
      <c r="G317" s="1014" t="s">
        <v>2594</v>
      </c>
      <c r="H317" s="972"/>
      <c r="I317" s="973"/>
      <c r="J317" s="973"/>
      <c r="K317" s="973"/>
      <c r="L317" s="153" t="str">
        <f t="shared" si="18"/>
        <v>6186</v>
      </c>
      <c r="M317" s="154" t="str">
        <f t="shared" si="19"/>
        <v>ASSURANCE BATIMENT</v>
      </c>
      <c r="N317" s="155">
        <f>+IF(OR($Q317=Parametres!$G$2,$Q317=Parametres!$G$3),I317,C317)</f>
        <v>960</v>
      </c>
      <c r="O317" s="155">
        <f>+IF(OR($Q317=Parametres!$G$2,$Q317=Parametres!$G$3),J317,D317)</f>
        <v>480</v>
      </c>
      <c r="P317" s="155">
        <f>+IF(OR($Q317=Parametres!$G$2,$Q317=Parametres!$G$3),K317,E317)</f>
        <v>1440</v>
      </c>
      <c r="Q317" s="154" t="str">
        <f t="shared" si="23"/>
        <v>7-Dépenses</v>
      </c>
      <c r="R317" s="153" t="str">
        <f t="shared" si="23"/>
        <v>6186</v>
      </c>
      <c r="S317" s="154">
        <f t="shared" si="23"/>
        <v>0</v>
      </c>
      <c r="T317" s="156" t="str">
        <f>+VLOOKUP($L317,Data_Validation!$A:$D,1,0)</f>
        <v>6186</v>
      </c>
      <c r="U317" s="156" t="str">
        <f>+VLOOKUP($L317,Data_Validation!$A:$D,3,0)</f>
        <v>Véhicules neufs</v>
      </c>
      <c r="V317" s="156" t="str">
        <f>+VLOOKUP($L317,Data_Validation!$A:$D,4,0)</f>
        <v>Assurances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4" t="s">
        <v>1362</v>
      </c>
      <c r="B318" s="1014" t="s">
        <v>2614</v>
      </c>
      <c r="C318" s="1016">
        <v>3008</v>
      </c>
      <c r="D318" s="1016">
        <v>1504</v>
      </c>
      <c r="E318" s="1016">
        <v>4512</v>
      </c>
      <c r="F318" s="1014" t="s">
        <v>401</v>
      </c>
      <c r="G318" s="1014" t="s">
        <v>2614</v>
      </c>
      <c r="H318" s="972"/>
      <c r="I318" s="973"/>
      <c r="J318" s="973"/>
      <c r="K318" s="973"/>
      <c r="L318" s="153" t="str">
        <f t="shared" si="18"/>
        <v>6187</v>
      </c>
      <c r="M318" s="154" t="str">
        <f t="shared" si="19"/>
        <v>TAXE SUR PROPRIETE</v>
      </c>
      <c r="N318" s="155">
        <f>+IF(OR($Q318=Parametres!$G$2,$Q318=Parametres!$G$3),I318,C318)</f>
        <v>3008</v>
      </c>
      <c r="O318" s="155">
        <f>+IF(OR($Q318=Parametres!$G$2,$Q318=Parametres!$G$3),J318,D318)</f>
        <v>1504</v>
      </c>
      <c r="P318" s="155">
        <f>+IF(OR($Q318=Parametres!$G$2,$Q318=Parametres!$G$3),K318,E318)</f>
        <v>4512</v>
      </c>
      <c r="Q318" s="154" t="str">
        <f t="shared" si="23"/>
        <v>7-Dépenses</v>
      </c>
      <c r="R318" s="153" t="str">
        <f t="shared" si="23"/>
        <v>6187</v>
      </c>
      <c r="S318" s="154">
        <f t="shared" si="23"/>
        <v>0</v>
      </c>
      <c r="T318" s="156" t="str">
        <f>+VLOOKUP($L318,Data_Validation!$A:$D,1,0)</f>
        <v>6187</v>
      </c>
      <c r="U318" s="156" t="str">
        <f>+VLOOKUP($L318,Data_Validation!$A:$D,3,0)</f>
        <v>Véhicules neufs</v>
      </c>
      <c r="V318" s="156" t="str">
        <f>+VLOOKUP($L318,Data_Validation!$A:$D,4,0)</f>
        <v>Taxes foncières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4" t="s">
        <v>1296</v>
      </c>
      <c r="B319" s="1014" t="s">
        <v>2597</v>
      </c>
      <c r="C319" s="1016">
        <v>2016</v>
      </c>
      <c r="D319" s="1016">
        <v>1008</v>
      </c>
      <c r="E319" s="1016">
        <v>3024</v>
      </c>
      <c r="F319" s="1014" t="s">
        <v>401</v>
      </c>
      <c r="G319" s="1014" t="s">
        <v>2597</v>
      </c>
      <c r="H319" s="972"/>
      <c r="I319" s="973"/>
      <c r="J319" s="973"/>
      <c r="K319" s="973"/>
      <c r="L319" s="153" t="str">
        <f t="shared" si="18"/>
        <v>6193</v>
      </c>
      <c r="M319" s="154" t="str">
        <f t="shared" si="19"/>
        <v>TAXES AUTRES PERMIS LICENCE</v>
      </c>
      <c r="N319" s="155">
        <f>+IF(OR($Q319=Parametres!$G$2,$Q319=Parametres!$G$3),I319,C319)</f>
        <v>2016</v>
      </c>
      <c r="O319" s="155">
        <f>+IF(OR($Q319=Parametres!$G$2,$Q319=Parametres!$G$3),J319,D319)</f>
        <v>1008</v>
      </c>
      <c r="P319" s="155">
        <f>+IF(OR($Q319=Parametres!$G$2,$Q319=Parametres!$G$3),K319,E319)</f>
        <v>3024</v>
      </c>
      <c r="Q319" s="154" t="str">
        <f t="shared" si="23"/>
        <v>7-Dépenses</v>
      </c>
      <c r="R319" s="153" t="str">
        <f t="shared" si="23"/>
        <v>6193</v>
      </c>
      <c r="S319" s="154">
        <f t="shared" si="23"/>
        <v>0</v>
      </c>
      <c r="T319" s="156" t="str">
        <f>+VLOOKUP($L319,Data_Validation!$A:$D,1,0)</f>
        <v>6193</v>
      </c>
      <c r="U319" s="156" t="str">
        <f>+VLOOKUP($L319,Data_Validation!$A:$D,3,0)</f>
        <v>Véhicules neufs</v>
      </c>
      <c r="V319" s="156" t="str">
        <f>+VLOOKUP($L319,Data_Validation!$A:$D,4,0)</f>
        <v>Taxes d`affaires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4" t="s">
        <v>1395</v>
      </c>
      <c r="B320" s="1014" t="s">
        <v>2635</v>
      </c>
      <c r="C320" s="1016">
        <v>5136</v>
      </c>
      <c r="D320" s="1016">
        <v>2568</v>
      </c>
      <c r="E320" s="1016">
        <v>7704</v>
      </c>
      <c r="F320" s="1014" t="s">
        <v>401</v>
      </c>
      <c r="G320" s="1014" t="s">
        <v>2635</v>
      </c>
      <c r="H320" s="972"/>
      <c r="I320" s="973"/>
      <c r="J320" s="973"/>
      <c r="K320" s="973"/>
      <c r="L320" s="153" t="str">
        <f t="shared" si="18"/>
        <v>6194</v>
      </c>
      <c r="M320" s="154" t="str">
        <f t="shared" si="19"/>
        <v>HONORAIRES PROFESSIONNELS</v>
      </c>
      <c r="N320" s="155">
        <f>+IF(OR($Q320=Parametres!$G$2,$Q320=Parametres!$G$3),I320,C320)</f>
        <v>5136</v>
      </c>
      <c r="O320" s="155">
        <f>+IF(OR($Q320=Parametres!$G$2,$Q320=Parametres!$G$3),J320,D320)</f>
        <v>2568</v>
      </c>
      <c r="P320" s="155">
        <f>+IF(OR($Q320=Parametres!$G$2,$Q320=Parametres!$G$3),K320,E320)</f>
        <v>7704</v>
      </c>
      <c r="Q320" s="154" t="str">
        <f t="shared" si="23"/>
        <v>7-Dépenses</v>
      </c>
      <c r="R320" s="153" t="str">
        <f t="shared" si="23"/>
        <v>6194</v>
      </c>
      <c r="S320" s="154">
        <f t="shared" si="23"/>
        <v>0</v>
      </c>
      <c r="T320" s="156" t="str">
        <f>+VLOOKUP($L320,Data_Validation!$A:$D,1,0)</f>
        <v>6194</v>
      </c>
      <c r="U320" s="156" t="str">
        <f>+VLOOKUP($L320,Data_Validation!$A:$D,3,0)</f>
        <v>Véhicules neufs</v>
      </c>
      <c r="V320" s="156" t="str">
        <f>+VLOOKUP($L320,Data_Validation!$A:$D,4,0)</f>
        <v>Honoraires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4" t="s">
        <v>1483</v>
      </c>
      <c r="B321" s="1014" t="s">
        <v>2780</v>
      </c>
      <c r="C321" s="1016">
        <v>32863.17</v>
      </c>
      <c r="D321" s="1016">
        <v>11183.93</v>
      </c>
      <c r="E321" s="1016">
        <v>44047.1</v>
      </c>
      <c r="F321" s="1014" t="s">
        <v>401</v>
      </c>
      <c r="G321" s="1014" t="s">
        <v>2781</v>
      </c>
      <c r="H321" s="972"/>
      <c r="I321" s="973"/>
      <c r="J321" s="973"/>
      <c r="K321" s="973"/>
      <c r="L321" s="153" t="str">
        <f t="shared" si="18"/>
        <v>6201</v>
      </c>
      <c r="M321" s="154" t="str">
        <f t="shared" si="19"/>
        <v>COMMISSION USAGES</v>
      </c>
      <c r="N321" s="155">
        <f>+IF(OR($Q321=Parametres!$G$2,$Q321=Parametres!$G$3),I321,C321)</f>
        <v>32863.17</v>
      </c>
      <c r="O321" s="155">
        <f>+IF(OR($Q321=Parametres!$G$2,$Q321=Parametres!$G$3),J321,D321)</f>
        <v>11183.93</v>
      </c>
      <c r="P321" s="155">
        <f>+IF(OR($Q321=Parametres!$G$2,$Q321=Parametres!$G$3),K321,E321)</f>
        <v>44047.1</v>
      </c>
      <c r="Q321" s="154" t="str">
        <f t="shared" si="23"/>
        <v>7-Dépenses</v>
      </c>
      <c r="R321" s="153" t="str">
        <f t="shared" si="23"/>
        <v>6101</v>
      </c>
      <c r="S321" s="154">
        <f t="shared" si="23"/>
        <v>0</v>
      </c>
      <c r="T321" s="156" t="str">
        <f>+VLOOKUP($L321,Data_Validation!$A:$D,1,0)</f>
        <v>6201</v>
      </c>
      <c r="U321" s="156" t="str">
        <f>+VLOOKUP($L321,Data_Validation!$A:$D,3,0)</f>
        <v>Véhicules usagés</v>
      </c>
      <c r="V321" s="156" t="str">
        <f>+VLOOKUP($L321,Data_Validation!$A:$D,4,0)</f>
        <v>Comm. vendeurs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4" t="s">
        <v>1442</v>
      </c>
      <c r="B322" s="1014" t="s">
        <v>2769</v>
      </c>
      <c r="C322" s="1016">
        <v>9230.35</v>
      </c>
      <c r="D322" s="1016">
        <v>7116.21</v>
      </c>
      <c r="E322" s="1016">
        <v>16346.56</v>
      </c>
      <c r="F322" s="1014" t="s">
        <v>401</v>
      </c>
      <c r="G322" s="1014" t="s">
        <v>2770</v>
      </c>
      <c r="H322" s="972"/>
      <c r="I322" s="973"/>
      <c r="J322" s="973"/>
      <c r="K322" s="973"/>
      <c r="L322" s="153" t="str">
        <f t="shared" si="18"/>
        <v>6202</v>
      </c>
      <c r="M322" s="154" t="str">
        <f t="shared" si="19"/>
        <v>RENUMERATION F &amp; I</v>
      </c>
      <c r="N322" s="155">
        <f>+IF(OR($Q322=Parametres!$G$2,$Q322=Parametres!$G$3),I322,C322)</f>
        <v>9230.35</v>
      </c>
      <c r="O322" s="155">
        <f>+IF(OR($Q322=Parametres!$G$2,$Q322=Parametres!$G$3),J322,D322)</f>
        <v>7116.21</v>
      </c>
      <c r="P322" s="155">
        <f>+IF(OR($Q322=Parametres!$G$2,$Q322=Parametres!$G$3),K322,E322)</f>
        <v>16346.56</v>
      </c>
      <c r="Q322" s="154" t="str">
        <f t="shared" ref="Q322:S337" si="24">+F322</f>
        <v>7-Dépenses</v>
      </c>
      <c r="R322" s="153" t="str">
        <f t="shared" si="24"/>
        <v>6102</v>
      </c>
      <c r="S322" s="154">
        <f t="shared" si="24"/>
        <v>0</v>
      </c>
      <c r="T322" s="156" t="str">
        <f>+VLOOKUP($L322,Data_Validation!$A:$D,1,0)</f>
        <v>6202</v>
      </c>
      <c r="U322" s="156" t="str">
        <f>+VLOOKUP($L322,Data_Validation!$A:$D,3,0)</f>
        <v>Véhicules usagés</v>
      </c>
      <c r="V322" s="156" t="str">
        <f>+VLOOKUP($L322,Data_Validation!$A:$D,4,0)</f>
        <v>Comm. F&amp;I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4" t="s">
        <v>1230</v>
      </c>
      <c r="B323" s="1014" t="s">
        <v>2751</v>
      </c>
      <c r="C323" s="1016">
        <v>255</v>
      </c>
      <c r="D323" s="1016">
        <v>0</v>
      </c>
      <c r="E323" s="1016">
        <v>255</v>
      </c>
      <c r="F323" s="1014" t="s">
        <v>401</v>
      </c>
      <c r="G323" s="1014" t="s">
        <v>2706</v>
      </c>
      <c r="H323" s="972"/>
      <c r="I323" s="973"/>
      <c r="J323" s="973"/>
      <c r="K323" s="973"/>
      <c r="L323" s="153" t="str">
        <f t="shared" si="18"/>
        <v>6203</v>
      </c>
      <c r="M323" s="154" t="str">
        <f t="shared" si="19"/>
        <v>RELAT. A LA CLIENTELLE &amp; AJUST</v>
      </c>
      <c r="N323" s="155">
        <f>+IF(OR($Q323=Parametres!$G$2,$Q323=Parametres!$G$3),I323,C323)</f>
        <v>255</v>
      </c>
      <c r="O323" s="155">
        <f>+IF(OR($Q323=Parametres!$G$2,$Q323=Parametres!$G$3),J323,D323)</f>
        <v>0</v>
      </c>
      <c r="P323" s="155">
        <f>+IF(OR($Q323=Parametres!$G$2,$Q323=Parametres!$G$3),K323,E323)</f>
        <v>255</v>
      </c>
      <c r="Q323" s="154" t="str">
        <f t="shared" si="24"/>
        <v>7-Dépenses</v>
      </c>
      <c r="R323" s="153" t="str">
        <f t="shared" si="24"/>
        <v>6103</v>
      </c>
      <c r="S323" s="154">
        <f t="shared" si="24"/>
        <v>0</v>
      </c>
      <c r="T323" s="156" t="str">
        <f>+VLOOKUP($L323,Data_Validation!$A:$D,1,0)</f>
        <v>6203</v>
      </c>
      <c r="U323" s="156" t="str">
        <f>+VLOOKUP($L323,Data_Validation!$A:$D,3,0)</f>
        <v>Véhicules usagés</v>
      </c>
      <c r="V323" s="156" t="str">
        <f>+VLOOKUP($L323,Data_Validation!$A:$D,4,0)</f>
        <v>Service gratuit 1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4" t="s">
        <v>2757</v>
      </c>
      <c r="B324" s="1014" t="s">
        <v>2758</v>
      </c>
      <c r="C324" s="1016">
        <v>2945.88</v>
      </c>
      <c r="D324" s="1016">
        <v>1418.99</v>
      </c>
      <c r="E324" s="1016">
        <v>4364.87</v>
      </c>
      <c r="F324" s="1014" t="s">
        <v>401</v>
      </c>
      <c r="G324" s="1014" t="s">
        <v>2759</v>
      </c>
      <c r="H324" s="972"/>
      <c r="I324" s="973"/>
      <c r="J324" s="973"/>
      <c r="K324" s="973"/>
      <c r="L324" s="153" t="str">
        <f t="shared" si="18"/>
        <v>6206</v>
      </c>
      <c r="M324" s="154" t="str">
        <f t="shared" si="19"/>
        <v>ENTRETIEN DES STOCKS</v>
      </c>
      <c r="N324" s="155">
        <f>+IF(OR($Q324=Parametres!$G$2,$Q324=Parametres!$G$3),I324,C324)</f>
        <v>2945.88</v>
      </c>
      <c r="O324" s="155">
        <f>+IF(OR($Q324=Parametres!$G$2,$Q324=Parametres!$G$3),J324,D324)</f>
        <v>1418.99</v>
      </c>
      <c r="P324" s="155">
        <f>+IF(OR($Q324=Parametres!$G$2,$Q324=Parametres!$G$3),K324,E324)</f>
        <v>4364.87</v>
      </c>
      <c r="Q324" s="154" t="str">
        <f t="shared" si="24"/>
        <v>7-Dépenses</v>
      </c>
      <c r="R324" s="153" t="str">
        <f t="shared" si="24"/>
        <v>6106</v>
      </c>
      <c r="S324" s="154">
        <f t="shared" si="24"/>
        <v>0</v>
      </c>
      <c r="T324" s="156" t="str">
        <f>+VLOOKUP($L324,Data_Validation!$A:$D,1,0)</f>
        <v>6206</v>
      </c>
      <c r="U324" s="156" t="str">
        <f>+VLOOKUP($L324,Data_Validation!$A:$D,3,0)</f>
        <v>Véhicules usagés</v>
      </c>
      <c r="V324" s="156" t="str">
        <f>+VLOOKUP($L324,Data_Validation!$A:$D,4,0)</f>
        <v>Entretien stock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4" t="s">
        <v>938</v>
      </c>
      <c r="B325" s="1014" t="s">
        <v>2611</v>
      </c>
      <c r="C325" s="1016">
        <v>0</v>
      </c>
      <c r="D325" s="1016">
        <v>130.91999999999999</v>
      </c>
      <c r="E325" s="1016">
        <v>130.91999999999999</v>
      </c>
      <c r="F325" s="1014" t="s">
        <v>401</v>
      </c>
      <c r="G325" s="1014" t="s">
        <v>2612</v>
      </c>
      <c r="H325" s="972"/>
      <c r="I325" s="973"/>
      <c r="J325" s="973"/>
      <c r="K325" s="973"/>
      <c r="L325" s="153" t="str">
        <f t="shared" si="18"/>
        <v>6207</v>
      </c>
      <c r="M325" s="154" t="str">
        <f t="shared" si="19"/>
        <v>INTERET-PLAN DE FINANCEMENT</v>
      </c>
      <c r="N325" s="155">
        <f>+IF(OR($Q325=Parametres!$G$2,$Q325=Parametres!$G$3),I325,C325)</f>
        <v>0</v>
      </c>
      <c r="O325" s="155">
        <f>+IF(OR($Q325=Parametres!$G$2,$Q325=Parametres!$G$3),J325,D325)</f>
        <v>130.91999999999999</v>
      </c>
      <c r="P325" s="155">
        <f>+IF(OR($Q325=Parametres!$G$2,$Q325=Parametres!$G$3),K325,E325)</f>
        <v>130.91999999999999</v>
      </c>
      <c r="Q325" s="154" t="str">
        <f t="shared" si="24"/>
        <v>7-Dépenses</v>
      </c>
      <c r="R325" s="153" t="str">
        <f t="shared" si="24"/>
        <v>6107</v>
      </c>
      <c r="S325" s="154">
        <f t="shared" si="24"/>
        <v>0</v>
      </c>
      <c r="T325" s="156" t="str">
        <f>+VLOOKUP($L325,Data_Validation!$A:$D,1,0)</f>
        <v>6207</v>
      </c>
      <c r="U325" s="156" t="str">
        <f>+VLOOKUP($L325,Data_Validation!$A:$D,3,0)</f>
        <v>Véhicules usagés</v>
      </c>
      <c r="V325" s="156" t="str">
        <f>+VLOOKUP($L325,Data_Validation!$A:$D,4,0)</f>
        <v>Intérêt de gros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4" t="s">
        <v>1407</v>
      </c>
      <c r="B326" s="1014" t="s">
        <v>2695</v>
      </c>
      <c r="C326" s="1016">
        <v>5947.9</v>
      </c>
      <c r="D326" s="1016">
        <v>0.02</v>
      </c>
      <c r="E326" s="1016">
        <v>5947.92</v>
      </c>
      <c r="F326" s="1014" t="s">
        <v>401</v>
      </c>
      <c r="G326" s="1014" t="s">
        <v>2696</v>
      </c>
      <c r="H326" s="972"/>
      <c r="I326" s="973"/>
      <c r="J326" s="973"/>
      <c r="K326" s="973"/>
      <c r="L326" s="153" t="str">
        <f t="shared" si="18"/>
        <v>6208</v>
      </c>
      <c r="M326" s="154" t="str">
        <f t="shared" si="19"/>
        <v>FRAIS DE LIVRAISON</v>
      </c>
      <c r="N326" s="155">
        <f>+IF(OR($Q326=Parametres!$G$2,$Q326=Parametres!$G$3),I326,C326)</f>
        <v>5947.9</v>
      </c>
      <c r="O326" s="155">
        <f>+IF(OR($Q326=Parametres!$G$2,$Q326=Parametres!$G$3),J326,D326)</f>
        <v>0.02</v>
      </c>
      <c r="P326" s="155">
        <f>+IF(OR($Q326=Parametres!$G$2,$Q326=Parametres!$G$3),K326,E326)</f>
        <v>5947.92</v>
      </c>
      <c r="Q326" s="154" t="str">
        <f t="shared" si="24"/>
        <v>7-Dépenses</v>
      </c>
      <c r="R326" s="153" t="str">
        <f t="shared" si="24"/>
        <v>6108</v>
      </c>
      <c r="S326" s="154">
        <f t="shared" si="24"/>
        <v>0</v>
      </c>
      <c r="T326" s="156" t="str">
        <f>+VLOOKUP($L326,Data_Validation!$A:$D,1,0)</f>
        <v>6208</v>
      </c>
      <c r="U326" s="156" t="str">
        <f>+VLOOKUP($L326,Data_Validation!$A:$D,3,0)</f>
        <v>Véhicules usagés</v>
      </c>
      <c r="V326" s="156" t="str">
        <f>+VLOOKUP($L326,Data_Validation!$A:$D,4,0)</f>
        <v>Frais de livraison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4" t="s">
        <v>1374</v>
      </c>
      <c r="B327" s="1014" t="s">
        <v>2774</v>
      </c>
      <c r="C327" s="1016">
        <v>14500</v>
      </c>
      <c r="D327" s="1016">
        <v>9250</v>
      </c>
      <c r="E327" s="1016">
        <v>23750</v>
      </c>
      <c r="F327" s="1014" t="s">
        <v>401</v>
      </c>
      <c r="G327" s="1014" t="s">
        <v>2113</v>
      </c>
      <c r="H327" s="972"/>
      <c r="I327" s="973"/>
      <c r="J327" s="973"/>
      <c r="K327" s="973"/>
      <c r="L327" s="153" t="str">
        <f t="shared" si="18"/>
        <v>6214</v>
      </c>
      <c r="M327" s="154" t="str">
        <f t="shared" si="19"/>
        <v>PUBLICITE</v>
      </c>
      <c r="N327" s="155">
        <f>+IF(OR($Q327=Parametres!$G$2,$Q327=Parametres!$G$3),I327,C327)</f>
        <v>14500</v>
      </c>
      <c r="O327" s="155">
        <f>+IF(OR($Q327=Parametres!$G$2,$Q327=Parametres!$G$3),J327,D327)</f>
        <v>9250</v>
      </c>
      <c r="P327" s="155">
        <f>+IF(OR($Q327=Parametres!$G$2,$Q327=Parametres!$G$3),K327,E327)</f>
        <v>23750</v>
      </c>
      <c r="Q327" s="154" t="str">
        <f t="shared" si="24"/>
        <v>7-Dépenses</v>
      </c>
      <c r="R327" s="153" t="str">
        <f t="shared" si="24"/>
        <v>6114</v>
      </c>
      <c r="S327" s="154">
        <f t="shared" si="24"/>
        <v>0</v>
      </c>
      <c r="T327" s="156" t="str">
        <f>+VLOOKUP($L327,Data_Validation!$A:$D,1,0)</f>
        <v>6214</v>
      </c>
      <c r="U327" s="156" t="str">
        <f>+VLOOKUP($L327,Data_Validation!$A:$D,3,0)</f>
        <v>Véhicules usagés</v>
      </c>
      <c r="V327" s="156" t="str">
        <f>+VLOOKUP($L327,Data_Validation!$A:$D,4,0)</f>
        <v>Publicité 1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4" t="s">
        <v>2148</v>
      </c>
      <c r="B328" s="1014" t="s">
        <v>2149</v>
      </c>
      <c r="C328" s="1016">
        <v>-4570</v>
      </c>
      <c r="D328" s="1016">
        <v>-3300</v>
      </c>
      <c r="E328" s="1016">
        <v>-7870</v>
      </c>
      <c r="F328" s="1014" t="s">
        <v>401</v>
      </c>
      <c r="G328" s="1014" t="s">
        <v>2113</v>
      </c>
      <c r="H328" s="972"/>
      <c r="I328" s="973"/>
      <c r="J328" s="973"/>
      <c r="K328" s="973"/>
      <c r="L328" s="153" t="str">
        <f t="shared" si="18"/>
        <v>6215</v>
      </c>
      <c r="M328" s="154" t="str">
        <f t="shared" si="19"/>
        <v>CREDIT PUBLICITE USAGES</v>
      </c>
      <c r="N328" s="155">
        <f>+IF(OR($Q328=Parametres!$G$2,$Q328=Parametres!$G$3),I328,C328)</f>
        <v>-4570</v>
      </c>
      <c r="O328" s="155">
        <f>+IF(OR($Q328=Parametres!$G$2,$Q328=Parametres!$G$3),J328,D328)</f>
        <v>-3300</v>
      </c>
      <c r="P328" s="155">
        <f>+IF(OR($Q328=Parametres!$G$2,$Q328=Parametres!$G$3),K328,E328)</f>
        <v>-7870</v>
      </c>
      <c r="Q328" s="154" t="str">
        <f t="shared" si="24"/>
        <v>7-Dépenses</v>
      </c>
      <c r="R328" s="153" t="str">
        <f t="shared" si="24"/>
        <v>6114</v>
      </c>
      <c r="S328" s="154">
        <f t="shared" si="24"/>
        <v>0</v>
      </c>
      <c r="T328" s="156" t="str">
        <f>+VLOOKUP($L328,Data_Validation!$A:$D,1,0)</f>
        <v>6215</v>
      </c>
      <c r="U328" s="156" t="str">
        <f>+VLOOKUP($L328,Data_Validation!$A:$D,3,0)</f>
        <v>Véhicules usagés</v>
      </c>
      <c r="V328" s="156" t="str">
        <f>+VLOOKUP($L328,Data_Validation!$A:$D,4,0)</f>
        <v>Publicité 1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4" t="s">
        <v>1259</v>
      </c>
      <c r="B329" s="1014" t="s">
        <v>2674</v>
      </c>
      <c r="C329" s="1016">
        <v>981.07</v>
      </c>
      <c r="D329" s="1016">
        <v>864.32</v>
      </c>
      <c r="E329" s="1016">
        <v>1845.39</v>
      </c>
      <c r="F329" s="1014" t="s">
        <v>401</v>
      </c>
      <c r="G329" s="1014" t="s">
        <v>2648</v>
      </c>
      <c r="H329" s="972"/>
      <c r="I329" s="973"/>
      <c r="J329" s="973"/>
      <c r="K329" s="973"/>
      <c r="L329" s="153" t="str">
        <f t="shared" si="18"/>
        <v>6221</v>
      </c>
      <c r="M329" s="154" t="str">
        <f t="shared" si="19"/>
        <v>SALAIRES - PROPRIETAIRES</v>
      </c>
      <c r="N329" s="155">
        <f>+IF(OR($Q329=Parametres!$G$2,$Q329=Parametres!$G$3),I329,C329)</f>
        <v>981.07</v>
      </c>
      <c r="O329" s="155">
        <f>+IF(OR($Q329=Parametres!$G$2,$Q329=Parametres!$G$3),J329,D329)</f>
        <v>864.32</v>
      </c>
      <c r="P329" s="155">
        <f>+IF(OR($Q329=Parametres!$G$2,$Q329=Parametres!$G$3),K329,E329)</f>
        <v>1845.39</v>
      </c>
      <c r="Q329" s="154" t="str">
        <f t="shared" si="24"/>
        <v>7-Dépenses</v>
      </c>
      <c r="R329" s="153" t="str">
        <f t="shared" si="24"/>
        <v>6121</v>
      </c>
      <c r="S329" s="154">
        <f t="shared" si="24"/>
        <v>0</v>
      </c>
      <c r="T329" s="156" t="str">
        <f>+VLOOKUP($L329,Data_Validation!$A:$D,1,0)</f>
        <v>6221</v>
      </c>
      <c r="U329" s="156" t="str">
        <f>+VLOOKUP($L329,Data_Validation!$A:$D,3,0)</f>
        <v>Véhicules usagés</v>
      </c>
      <c r="V329" s="156" t="str">
        <f>+VLOOKUP($L329,Data_Validation!$A:$D,4,0)</f>
        <v>Salaires propriétaire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4" t="s">
        <v>2624</v>
      </c>
      <c r="B330" s="1014" t="s">
        <v>2748</v>
      </c>
      <c r="C330" s="1016">
        <v>9597.5300000000007</v>
      </c>
      <c r="D330" s="1016">
        <v>10140.299999999999</v>
      </c>
      <c r="E330" s="1016">
        <v>19737.830000000002</v>
      </c>
      <c r="F330" s="1014" t="s">
        <v>401</v>
      </c>
      <c r="G330" s="1014" t="s">
        <v>2626</v>
      </c>
      <c r="H330" s="972"/>
      <c r="I330" s="973"/>
      <c r="J330" s="973"/>
      <c r="K330" s="973"/>
      <c r="L330" s="153" t="str">
        <f t="shared" si="18"/>
        <v>6222</v>
      </c>
      <c r="M330" s="154" t="str">
        <f t="shared" si="19"/>
        <v>SAL SUPERVISION / GERANT</v>
      </c>
      <c r="N330" s="155">
        <f>+IF(OR($Q330=Parametres!$G$2,$Q330=Parametres!$G$3),I330,C330)</f>
        <v>9597.5300000000007</v>
      </c>
      <c r="O330" s="155">
        <f>+IF(OR($Q330=Parametres!$G$2,$Q330=Parametres!$G$3),J330,D330)</f>
        <v>10140.299999999999</v>
      </c>
      <c r="P330" s="155">
        <f>+IF(OR($Q330=Parametres!$G$2,$Q330=Parametres!$G$3),K330,E330)</f>
        <v>19737.830000000002</v>
      </c>
      <c r="Q330" s="154" t="str">
        <f t="shared" si="24"/>
        <v>7-Dépenses</v>
      </c>
      <c r="R330" s="153" t="str">
        <f t="shared" si="24"/>
        <v>6122</v>
      </c>
      <c r="S330" s="154">
        <f t="shared" si="24"/>
        <v>0</v>
      </c>
      <c r="T330" s="156" t="str">
        <f>+VLOOKUP($L330,Data_Validation!$A:$D,1,0)</f>
        <v>6222</v>
      </c>
      <c r="U330" s="156" t="str">
        <f>+VLOOKUP($L330,Data_Validation!$A:$D,3,0)</f>
        <v>Véhicules usagés</v>
      </c>
      <c r="V330" s="156" t="str">
        <f>+VLOOKUP($L330,Data_Validation!$A:$D,4,0)</f>
        <v>Salaires cadres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4" t="s">
        <v>1342</v>
      </c>
      <c r="B331" s="1014" t="s">
        <v>2707</v>
      </c>
      <c r="C331" s="1016">
        <v>6464.75</v>
      </c>
      <c r="D331" s="1016">
        <v>2559.4</v>
      </c>
      <c r="E331" s="1016">
        <v>9024.15</v>
      </c>
      <c r="F331" s="1014" t="s">
        <v>401</v>
      </c>
      <c r="G331" s="1014" t="s">
        <v>2679</v>
      </c>
      <c r="H331" s="972"/>
      <c r="I331" s="973"/>
      <c r="J331" s="973"/>
      <c r="K331" s="973"/>
      <c r="L331" s="153" t="str">
        <f t="shared" si="18"/>
        <v>6223</v>
      </c>
      <c r="M331" s="154" t="str">
        <f t="shared" si="19"/>
        <v>SAL. &amp; RENUM. - CLERICAL</v>
      </c>
      <c r="N331" s="155">
        <f>+IF(OR($Q331=Parametres!$G$2,$Q331=Parametres!$G$3),I331,C331)</f>
        <v>6464.75</v>
      </c>
      <c r="O331" s="155">
        <f>+IF(OR($Q331=Parametres!$G$2,$Q331=Parametres!$G$3),J331,D331)</f>
        <v>2559.4</v>
      </c>
      <c r="P331" s="155">
        <f>+IF(OR($Q331=Parametres!$G$2,$Q331=Parametres!$G$3),K331,E331)</f>
        <v>9024.15</v>
      </c>
      <c r="Q331" s="154" t="str">
        <f t="shared" si="24"/>
        <v>7-Dépenses</v>
      </c>
      <c r="R331" s="153" t="str">
        <f t="shared" si="24"/>
        <v>6123</v>
      </c>
      <c r="S331" s="154">
        <f t="shared" si="24"/>
        <v>0</v>
      </c>
      <c r="T331" s="156" t="str">
        <f>+VLOOKUP($L331,Data_Validation!$A:$D,1,0)</f>
        <v>6223</v>
      </c>
      <c r="U331" s="156" t="str">
        <f>+VLOOKUP($L331,Data_Validation!$A:$D,3,0)</f>
        <v>Véhicules usagés</v>
      </c>
      <c r="V331" s="156" t="str">
        <f>+VLOOKUP($L331,Data_Validation!$A:$D,4,0)</f>
        <v>Salaires commis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4" t="s">
        <v>1412</v>
      </c>
      <c r="B332" s="1014" t="s">
        <v>2776</v>
      </c>
      <c r="C332" s="1016">
        <v>18571.439999999999</v>
      </c>
      <c r="D332" s="1016">
        <v>10989.9</v>
      </c>
      <c r="E332" s="1016">
        <v>29561.34</v>
      </c>
      <c r="F332" s="1014" t="s">
        <v>401</v>
      </c>
      <c r="G332" s="1014" t="s">
        <v>2735</v>
      </c>
      <c r="H332" s="972"/>
      <c r="I332" s="973"/>
      <c r="J332" s="973"/>
      <c r="K332" s="973"/>
      <c r="L332" s="153" t="str">
        <f t="shared" si="18"/>
        <v>6224</v>
      </c>
      <c r="M332" s="154" t="str">
        <f t="shared" si="19"/>
        <v>SALAIRE &amp; RENUM. - AUTRES</v>
      </c>
      <c r="N332" s="155">
        <f>+IF(OR($Q332=Parametres!$G$2,$Q332=Parametres!$G$3),I332,C332)</f>
        <v>18571.439999999999</v>
      </c>
      <c r="O332" s="155">
        <f>+IF(OR($Q332=Parametres!$G$2,$Q332=Parametres!$G$3),J332,D332)</f>
        <v>10989.9</v>
      </c>
      <c r="P332" s="155">
        <f>+IF(OR($Q332=Parametres!$G$2,$Q332=Parametres!$G$3),K332,E332)</f>
        <v>29561.34</v>
      </c>
      <c r="Q332" s="154" t="str">
        <f t="shared" si="24"/>
        <v>7-Dépenses</v>
      </c>
      <c r="R332" s="153" t="str">
        <f t="shared" si="24"/>
        <v>6124</v>
      </c>
      <c r="S332" s="154">
        <f t="shared" si="24"/>
        <v>0</v>
      </c>
      <c r="T332" s="156" t="str">
        <f>+VLOOKUP($L332,Data_Validation!$A:$D,1,0)</f>
        <v>6224</v>
      </c>
      <c r="U332" s="156" t="str">
        <f>+VLOOKUP($L332,Data_Validation!$A:$D,3,0)</f>
        <v>Véhicules usagés</v>
      </c>
      <c r="V332" s="156" t="str">
        <f>+VLOOKUP($L332,Data_Validation!$A:$D,4,0)</f>
        <v>Salaires autres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4" t="s">
        <v>1211</v>
      </c>
      <c r="B333" s="1014" t="s">
        <v>2712</v>
      </c>
      <c r="C333" s="1016">
        <v>10397.620000000001</v>
      </c>
      <c r="D333" s="1016">
        <v>5752.56</v>
      </c>
      <c r="E333" s="1016">
        <v>16150.18</v>
      </c>
      <c r="F333" s="1014" t="s">
        <v>401</v>
      </c>
      <c r="G333" s="1014" t="s">
        <v>2641</v>
      </c>
      <c r="H333" s="972"/>
      <c r="I333" s="973"/>
      <c r="J333" s="973"/>
      <c r="K333" s="973"/>
      <c r="L333" s="153" t="str">
        <f t="shared" si="18"/>
        <v>6229</v>
      </c>
      <c r="M333" s="154" t="str">
        <f t="shared" si="19"/>
        <v>ABS.,VACANCES &amp; SAL. JOURS FER</v>
      </c>
      <c r="N333" s="155">
        <f>+IF(OR($Q333=Parametres!$G$2,$Q333=Parametres!$G$3),I333,C333)</f>
        <v>10397.620000000001</v>
      </c>
      <c r="O333" s="155">
        <f>+IF(OR($Q333=Parametres!$G$2,$Q333=Parametres!$G$3),J333,D333)</f>
        <v>5752.56</v>
      </c>
      <c r="P333" s="155">
        <f>+IF(OR($Q333=Parametres!$G$2,$Q333=Parametres!$G$3),K333,E333)</f>
        <v>16150.18</v>
      </c>
      <c r="Q333" s="154" t="str">
        <f t="shared" si="24"/>
        <v>7-Dépenses</v>
      </c>
      <c r="R333" s="153" t="str">
        <f t="shared" si="24"/>
        <v>6129</v>
      </c>
      <c r="S333" s="154">
        <f t="shared" si="24"/>
        <v>0</v>
      </c>
      <c r="T333" s="156" t="str">
        <f>+VLOOKUP($L333,Data_Validation!$A:$D,1,0)</f>
        <v>6229</v>
      </c>
      <c r="U333" s="156" t="str">
        <f>+VLOOKUP($L333,Data_Validation!$A:$D,3,0)</f>
        <v>Véhicules usagés</v>
      </c>
      <c r="V333" s="156" t="str">
        <f>+VLOOKUP($L333,Data_Validation!$A:$D,4,0)</f>
        <v>Salaires en absences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4" t="s">
        <v>1252</v>
      </c>
      <c r="B334" s="1014" t="s">
        <v>2697</v>
      </c>
      <c r="C334" s="1016">
        <v>2960.48</v>
      </c>
      <c r="D334" s="1016">
        <v>1484.04</v>
      </c>
      <c r="E334" s="1016">
        <v>4444.5200000000004</v>
      </c>
      <c r="F334" s="1014" t="s">
        <v>401</v>
      </c>
      <c r="G334" s="1014" t="s">
        <v>2586</v>
      </c>
      <c r="H334" s="972"/>
      <c r="I334" s="973"/>
      <c r="J334" s="973"/>
      <c r="K334" s="973"/>
      <c r="L334" s="153" t="str">
        <f t="shared" si="18"/>
        <v>6231</v>
      </c>
      <c r="M334" s="154" t="str">
        <f t="shared" si="19"/>
        <v>CSST</v>
      </c>
      <c r="N334" s="155">
        <f>+IF(OR($Q334=Parametres!$G$2,$Q334=Parametres!$G$3),I334,C334)</f>
        <v>2960.48</v>
      </c>
      <c r="O334" s="155">
        <f>+IF(OR($Q334=Parametres!$G$2,$Q334=Parametres!$G$3),J334,D334)</f>
        <v>1484.04</v>
      </c>
      <c r="P334" s="155">
        <f>+IF(OR($Q334=Parametres!$G$2,$Q334=Parametres!$G$3),K334,E334)</f>
        <v>4444.5200000000004</v>
      </c>
      <c r="Q334" s="154" t="str">
        <f t="shared" si="24"/>
        <v>7-Dépenses</v>
      </c>
      <c r="R334" s="153" t="str">
        <f t="shared" si="24"/>
        <v>6131</v>
      </c>
      <c r="S334" s="154">
        <f t="shared" si="24"/>
        <v>0</v>
      </c>
      <c r="T334" s="156" t="str">
        <f>+VLOOKUP($L334,Data_Validation!$A:$D,1,0)</f>
        <v>6231</v>
      </c>
      <c r="U334" s="156" t="str">
        <f>+VLOOKUP($L334,Data_Validation!$A:$D,3,0)</f>
        <v>Véhicules usagés</v>
      </c>
      <c r="V334" s="156" t="str">
        <f>+VLOOKUP($L334,Data_Validation!$A:$D,4,0)</f>
        <v>Csst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4" t="s">
        <v>1283</v>
      </c>
      <c r="B335" s="1014" t="s">
        <v>2717</v>
      </c>
      <c r="C335" s="1016">
        <v>10760.61</v>
      </c>
      <c r="D335" s="1016">
        <v>5933.28</v>
      </c>
      <c r="E335" s="1016">
        <v>16693.89</v>
      </c>
      <c r="F335" s="1014" t="s">
        <v>401</v>
      </c>
      <c r="G335" s="1014" t="s">
        <v>2685</v>
      </c>
      <c r="H335" s="972"/>
      <c r="I335" s="973"/>
      <c r="J335" s="973"/>
      <c r="K335" s="973"/>
      <c r="L335" s="153" t="str">
        <f t="shared" si="18"/>
        <v>6232</v>
      </c>
      <c r="M335" s="154" t="str">
        <f t="shared" si="19"/>
        <v>RRQ RAMQ AC</v>
      </c>
      <c r="N335" s="155">
        <f>+IF(OR($Q335=Parametres!$G$2,$Q335=Parametres!$G$3),I335,C335)</f>
        <v>10760.61</v>
      </c>
      <c r="O335" s="155">
        <f>+IF(OR($Q335=Parametres!$G$2,$Q335=Parametres!$G$3),J335,D335)</f>
        <v>5933.28</v>
      </c>
      <c r="P335" s="155">
        <f>+IF(OR($Q335=Parametres!$G$2,$Q335=Parametres!$G$3),K335,E335)</f>
        <v>16693.89</v>
      </c>
      <c r="Q335" s="154" t="str">
        <f t="shared" si="24"/>
        <v>7-Dépenses</v>
      </c>
      <c r="R335" s="153" t="str">
        <f t="shared" si="24"/>
        <v>6132</v>
      </c>
      <c r="S335" s="154">
        <f t="shared" si="24"/>
        <v>0</v>
      </c>
      <c r="T335" s="156" t="str">
        <f>+VLOOKUP($L335,Data_Validation!$A:$D,1,0)</f>
        <v>6232</v>
      </c>
      <c r="U335" s="156" t="str">
        <f>+VLOOKUP($L335,Data_Validation!$A:$D,3,0)</f>
        <v>Véhicules usagés</v>
      </c>
      <c r="V335" s="156" t="str">
        <f>+VLOOKUP($L335,Data_Validation!$A:$D,4,0)</f>
        <v>Déduction à la source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4" t="s">
        <v>1305</v>
      </c>
      <c r="B336" s="1014" t="s">
        <v>2719</v>
      </c>
      <c r="C336" s="1016">
        <v>6902.25</v>
      </c>
      <c r="D336" s="1016">
        <v>3708.77</v>
      </c>
      <c r="E336" s="1016">
        <v>10611.02</v>
      </c>
      <c r="F336" s="1014" t="s">
        <v>401</v>
      </c>
      <c r="G336" s="1014" t="s">
        <v>2694</v>
      </c>
      <c r="H336" s="972"/>
      <c r="I336" s="973"/>
      <c r="J336" s="973"/>
      <c r="K336" s="973"/>
      <c r="L336" s="153" t="str">
        <f t="shared" si="18"/>
        <v>6239</v>
      </c>
      <c r="M336" s="154" t="str">
        <f t="shared" si="19"/>
        <v>ASSURANCE GROUPE</v>
      </c>
      <c r="N336" s="155">
        <f>+IF(OR($Q336=Parametres!$G$2,$Q336=Parametres!$G$3),I336,C336)</f>
        <v>6902.25</v>
      </c>
      <c r="O336" s="155">
        <f>+IF(OR($Q336=Parametres!$G$2,$Q336=Parametres!$G$3),J336,D336)</f>
        <v>3708.77</v>
      </c>
      <c r="P336" s="155">
        <f>+IF(OR($Q336=Parametres!$G$2,$Q336=Parametres!$G$3),K336,E336)</f>
        <v>10611.02</v>
      </c>
      <c r="Q336" s="154" t="str">
        <f t="shared" si="24"/>
        <v>7-Dépenses</v>
      </c>
      <c r="R336" s="153" t="str">
        <f t="shared" si="24"/>
        <v>6139</v>
      </c>
      <c r="S336" s="154">
        <f t="shared" si="24"/>
        <v>0</v>
      </c>
      <c r="T336" s="156" t="str">
        <f>+VLOOKUP($L336,Data_Validation!$A:$D,1,0)</f>
        <v>6239</v>
      </c>
      <c r="U336" s="156" t="str">
        <f>+VLOOKUP($L336,Data_Validation!$A:$D,3,0)</f>
        <v>Véhicules usagés</v>
      </c>
      <c r="V336" s="156" t="str">
        <f>+VLOOKUP($L336,Data_Validation!$A:$D,4,0)</f>
        <v>Bénéfices marginaux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4" t="s">
        <v>1157</v>
      </c>
      <c r="B337" s="1014" t="s">
        <v>2565</v>
      </c>
      <c r="C337" s="1016">
        <v>174</v>
      </c>
      <c r="D337" s="1016">
        <v>111</v>
      </c>
      <c r="E337" s="1016">
        <v>285</v>
      </c>
      <c r="F337" s="1014" t="s">
        <v>401</v>
      </c>
      <c r="G337" s="1014" t="s">
        <v>2563</v>
      </c>
      <c r="H337" s="972"/>
      <c r="I337" s="974"/>
      <c r="J337" s="974"/>
      <c r="K337" s="974"/>
      <c r="L337" s="153" t="str">
        <f t="shared" si="18"/>
        <v>6242</v>
      </c>
      <c r="M337" s="154" t="str">
        <f t="shared" si="19"/>
        <v>FOURNITURES &amp; PETITS OUTILS</v>
      </c>
      <c r="N337" s="155">
        <f>+IF(OR($Q337=Parametres!$G$2,$Q337=Parametres!$G$3),I337,C337)</f>
        <v>174</v>
      </c>
      <c r="O337" s="155">
        <f>+IF(OR($Q337=Parametres!$G$2,$Q337=Parametres!$G$3),J337,D337)</f>
        <v>111</v>
      </c>
      <c r="P337" s="155">
        <f>+IF(OR($Q337=Parametres!$G$2,$Q337=Parametres!$G$3),K337,E337)</f>
        <v>285</v>
      </c>
      <c r="Q337" s="154" t="str">
        <f t="shared" si="24"/>
        <v>7-Dépenses</v>
      </c>
      <c r="R337" s="153" t="str">
        <f t="shared" si="24"/>
        <v>6142</v>
      </c>
      <c r="S337" s="154">
        <f t="shared" si="24"/>
        <v>0</v>
      </c>
      <c r="T337" s="156" t="str">
        <f>+VLOOKUP($L337,Data_Validation!$A:$D,1,0)</f>
        <v>6242</v>
      </c>
      <c r="U337" s="156" t="str">
        <f>+VLOOKUP($L337,Data_Validation!$A:$D,3,0)</f>
        <v>Véhicules usagés</v>
      </c>
      <c r="V337" s="156" t="str">
        <f>+VLOOKUP($L337,Data_Validation!$A:$D,4,0)</f>
        <v>Fournitures autres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4" t="s">
        <v>932</v>
      </c>
      <c r="B338" s="1014" t="s">
        <v>2464</v>
      </c>
      <c r="C338" s="1016">
        <v>20</v>
      </c>
      <c r="D338" s="1016">
        <v>10</v>
      </c>
      <c r="E338" s="1016">
        <v>30</v>
      </c>
      <c r="F338" s="1014" t="s">
        <v>401</v>
      </c>
      <c r="G338" s="1014" t="s">
        <v>2159</v>
      </c>
      <c r="H338" s="972"/>
      <c r="I338" s="974"/>
      <c r="J338" s="974"/>
      <c r="K338" s="974"/>
      <c r="L338" s="153" t="str">
        <f t="shared" si="18"/>
        <v>6243</v>
      </c>
      <c r="M338" s="154" t="str">
        <f t="shared" si="19"/>
        <v>UNIFORMES &amp; LESSIVE</v>
      </c>
      <c r="N338" s="155">
        <f>+IF(OR($Q338=Parametres!$G$2,$Q338=Parametres!$G$3),I338,C338)</f>
        <v>20</v>
      </c>
      <c r="O338" s="155">
        <f>+IF(OR($Q338=Parametres!$G$2,$Q338=Parametres!$G$3),J338,D338)</f>
        <v>10</v>
      </c>
      <c r="P338" s="155">
        <f>+IF(OR($Q338=Parametres!$G$2,$Q338=Parametres!$G$3),K338,E338)</f>
        <v>30</v>
      </c>
      <c r="Q338" s="154" t="str">
        <f t="shared" ref="Q338:S353" si="25">+F338</f>
        <v>7-Dépenses</v>
      </c>
      <c r="R338" s="153" t="str">
        <f t="shared" si="25"/>
        <v>6143</v>
      </c>
      <c r="S338" s="154">
        <f t="shared" si="25"/>
        <v>0</v>
      </c>
      <c r="T338" s="156" t="str">
        <f>+VLOOKUP($L338,Data_Validation!$A:$D,1,0)</f>
        <v>6243</v>
      </c>
      <c r="U338" s="156" t="str">
        <f>+VLOOKUP($L338,Data_Validation!$A:$D,3,0)</f>
        <v>Véhicules usagés</v>
      </c>
      <c r="V338" s="156" t="str">
        <f>+VLOOKUP($L338,Data_Validation!$A:$D,4,0)</f>
        <v>Uniformes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4" t="s">
        <v>934</v>
      </c>
      <c r="B339" s="1014" t="s">
        <v>2564</v>
      </c>
      <c r="C339" s="1016">
        <v>120</v>
      </c>
      <c r="D339" s="1016">
        <v>60</v>
      </c>
      <c r="E339" s="1016">
        <v>180</v>
      </c>
      <c r="F339" s="1014" t="s">
        <v>401</v>
      </c>
      <c r="G339" s="1014" t="s">
        <v>2561</v>
      </c>
      <c r="H339" s="972"/>
      <c r="I339" s="974"/>
      <c r="J339" s="974"/>
      <c r="K339" s="974"/>
      <c r="L339" s="153" t="str">
        <f t="shared" si="18"/>
        <v>6244</v>
      </c>
      <c r="M339" s="154" t="str">
        <f t="shared" si="19"/>
        <v>FORMATION</v>
      </c>
      <c r="N339" s="155">
        <f>+IF(OR($Q339=Parametres!$G$2,$Q339=Parametres!$G$3),I339,C339)</f>
        <v>120</v>
      </c>
      <c r="O339" s="155">
        <f>+IF(OR($Q339=Parametres!$G$2,$Q339=Parametres!$G$3),J339,D339)</f>
        <v>60</v>
      </c>
      <c r="P339" s="155">
        <f>+IF(OR($Q339=Parametres!$G$2,$Q339=Parametres!$G$3),K339,E339)</f>
        <v>180</v>
      </c>
      <c r="Q339" s="154" t="str">
        <f t="shared" si="25"/>
        <v>7-Dépenses</v>
      </c>
      <c r="R339" s="153" t="str">
        <f t="shared" si="25"/>
        <v>6144</v>
      </c>
      <c r="S339" s="154">
        <f t="shared" si="25"/>
        <v>0</v>
      </c>
      <c r="T339" s="156" t="str">
        <f>+VLOOKUP($L339,Data_Validation!$A:$D,1,0)</f>
        <v>6244</v>
      </c>
      <c r="U339" s="156" t="str">
        <f>+VLOOKUP($L339,Data_Validation!$A:$D,3,0)</f>
        <v>Véhicules usagés</v>
      </c>
      <c r="V339" s="156" t="str">
        <f>+VLOOKUP($L339,Data_Validation!$A:$D,4,0)</f>
        <v>Formation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4" t="s">
        <v>1186</v>
      </c>
      <c r="B340" s="1014" t="s">
        <v>2649</v>
      </c>
      <c r="C340" s="1016">
        <v>5622.23</v>
      </c>
      <c r="D340" s="1016">
        <v>-2820.25</v>
      </c>
      <c r="E340" s="1016">
        <v>2801.98</v>
      </c>
      <c r="F340" s="1014" t="s">
        <v>401</v>
      </c>
      <c r="G340" s="1014" t="s">
        <v>2632</v>
      </c>
      <c r="H340" s="972"/>
      <c r="I340" s="974"/>
      <c r="J340" s="974"/>
      <c r="K340" s="974"/>
      <c r="L340" s="153" t="str">
        <f t="shared" si="18"/>
        <v>6245</v>
      </c>
      <c r="M340" s="154" t="str">
        <f t="shared" si="19"/>
        <v>VEHICULE DE COMPAGNIE - DEPENS</v>
      </c>
      <c r="N340" s="155">
        <f>+IF(OR($Q340=Parametres!$G$2,$Q340=Parametres!$G$3),I340,C340)</f>
        <v>5622.23</v>
      </c>
      <c r="O340" s="155">
        <f>+IF(OR($Q340=Parametres!$G$2,$Q340=Parametres!$G$3),J340,D340)</f>
        <v>-2820.25</v>
      </c>
      <c r="P340" s="155">
        <f>+IF(OR($Q340=Parametres!$G$2,$Q340=Parametres!$G$3),K340,E340)</f>
        <v>2801.98</v>
      </c>
      <c r="Q340" s="154" t="str">
        <f t="shared" si="25"/>
        <v>7-Dépenses</v>
      </c>
      <c r="R340" s="153" t="str">
        <f t="shared" si="25"/>
        <v>6145</v>
      </c>
      <c r="S340" s="154">
        <f t="shared" si="25"/>
        <v>0</v>
      </c>
      <c r="T340" s="156" t="str">
        <f>+VLOOKUP($L340,Data_Validation!$A:$D,1,0)</f>
        <v>6245</v>
      </c>
      <c r="U340" s="156" t="str">
        <f>+VLOOKUP($L340,Data_Validation!$A:$D,3,0)</f>
        <v>Véhicules usagés</v>
      </c>
      <c r="V340" s="156" t="str">
        <f>+VLOOKUP($L340,Data_Validation!$A:$D,4,0)</f>
        <v>Frais véhicules de cie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4" t="s">
        <v>1180</v>
      </c>
      <c r="B341" s="1014" t="s">
        <v>2584</v>
      </c>
      <c r="C341" s="1016">
        <v>109.29</v>
      </c>
      <c r="D341" s="1016">
        <v>101.04</v>
      </c>
      <c r="E341" s="1016">
        <v>210.33</v>
      </c>
      <c r="F341" s="1014" t="s">
        <v>401</v>
      </c>
      <c r="G341" s="1014" t="s">
        <v>2581</v>
      </c>
      <c r="H341" s="972"/>
      <c r="I341" s="975"/>
      <c r="J341" s="975"/>
      <c r="K341" s="975"/>
      <c r="L341" s="153" t="str">
        <f t="shared" si="18"/>
        <v>6247</v>
      </c>
      <c r="M341" s="154" t="str">
        <f t="shared" si="19"/>
        <v>FRET/EXPRESS/TRANS. PAR CAMION</v>
      </c>
      <c r="N341" s="155">
        <f>+IF(OR($Q341=Parametres!$G$2,$Q341=Parametres!$G$3),I341,C341)</f>
        <v>109.29</v>
      </c>
      <c r="O341" s="155">
        <f>+IF(OR($Q341=Parametres!$G$2,$Q341=Parametres!$G$3),J341,D341)</f>
        <v>101.04</v>
      </c>
      <c r="P341" s="155">
        <f>+IF(OR($Q341=Parametres!$G$2,$Q341=Parametres!$G$3),K341,E341)</f>
        <v>210.33</v>
      </c>
      <c r="Q341" s="154" t="str">
        <f t="shared" si="25"/>
        <v>7-Dépenses</v>
      </c>
      <c r="R341" s="153" t="str">
        <f t="shared" si="25"/>
        <v>6147</v>
      </c>
      <c r="S341" s="154">
        <f t="shared" si="25"/>
        <v>0</v>
      </c>
      <c r="T341" s="156" t="str">
        <f>+VLOOKUP($L341,Data_Validation!$A:$D,1,0)</f>
        <v>6247</v>
      </c>
      <c r="U341" s="156" t="str">
        <f>+VLOOKUP($L341,Data_Validation!$A:$D,3,0)</f>
        <v>Véhicules usagés</v>
      </c>
      <c r="V341" s="156" t="str">
        <f>+VLOOKUP($L341,Data_Validation!$A:$D,4,0)</f>
        <v>Frais postaux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4" t="s">
        <v>1286</v>
      </c>
      <c r="B342" s="1014" t="s">
        <v>2723</v>
      </c>
      <c r="C342" s="1016">
        <v>4625.6899999999996</v>
      </c>
      <c r="D342" s="1016">
        <v>2561.62</v>
      </c>
      <c r="E342" s="1016">
        <v>7187.31</v>
      </c>
      <c r="F342" s="1014" t="s">
        <v>401</v>
      </c>
      <c r="G342" s="1014" t="s">
        <v>2702</v>
      </c>
      <c r="H342" s="972"/>
      <c r="I342" s="975"/>
      <c r="J342" s="975"/>
      <c r="K342" s="975"/>
      <c r="L342" s="153" t="str">
        <f t="shared" si="18"/>
        <v>6251</v>
      </c>
      <c r="M342" s="154" t="str">
        <f t="shared" si="19"/>
        <v>DEP. DU TRAITEMENT DES DONNEES</v>
      </c>
      <c r="N342" s="155">
        <f>+IF(OR($Q342=Parametres!$G$2,$Q342=Parametres!$G$3),I342,C342)</f>
        <v>4625.6899999999996</v>
      </c>
      <c r="O342" s="155">
        <f>+IF(OR($Q342=Parametres!$G$2,$Q342=Parametres!$G$3),J342,D342)</f>
        <v>2561.62</v>
      </c>
      <c r="P342" s="155">
        <f>+IF(OR($Q342=Parametres!$G$2,$Q342=Parametres!$G$3),K342,E342)</f>
        <v>7187.31</v>
      </c>
      <c r="Q342" s="154" t="str">
        <f t="shared" si="25"/>
        <v>7-Dépenses</v>
      </c>
      <c r="R342" s="153" t="str">
        <f t="shared" si="25"/>
        <v>6151</v>
      </c>
      <c r="S342" s="154">
        <f t="shared" si="25"/>
        <v>0</v>
      </c>
      <c r="T342" s="156" t="str">
        <f>+VLOOKUP($L342,Data_Validation!$A:$D,1,0)</f>
        <v>6251</v>
      </c>
      <c r="U342" s="156" t="str">
        <f>+VLOOKUP($L342,Data_Validation!$A:$D,3,0)</f>
        <v>Véhicules usagés</v>
      </c>
      <c r="V342" s="156" t="str">
        <f>+VLOOKUP($L342,Data_Validation!$A:$D,4,0)</f>
        <v>Informatique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4" t="s">
        <v>1206</v>
      </c>
      <c r="B343" s="1014" t="s">
        <v>2602</v>
      </c>
      <c r="C343" s="1016">
        <v>444</v>
      </c>
      <c r="D343" s="1016">
        <v>222</v>
      </c>
      <c r="E343" s="1016">
        <v>666</v>
      </c>
      <c r="F343" s="1014" t="s">
        <v>401</v>
      </c>
      <c r="G343" s="1014" t="s">
        <v>2588</v>
      </c>
      <c r="H343" s="972"/>
      <c r="I343" s="975"/>
      <c r="J343" s="975"/>
      <c r="K343" s="975"/>
      <c r="L343" s="153" t="str">
        <f t="shared" si="18"/>
        <v>6252</v>
      </c>
      <c r="M343" s="154" t="str">
        <f t="shared" si="19"/>
        <v>PAPETERIE</v>
      </c>
      <c r="N343" s="155">
        <f>+IF(OR($Q343=Parametres!$G$2,$Q343=Parametres!$G$3),I343,C343)</f>
        <v>444</v>
      </c>
      <c r="O343" s="155">
        <f>+IF(OR($Q343=Parametres!$G$2,$Q343=Parametres!$G$3),J343,D343)</f>
        <v>222</v>
      </c>
      <c r="P343" s="155">
        <f>+IF(OR($Q343=Parametres!$G$2,$Q343=Parametres!$G$3),K343,E343)</f>
        <v>666</v>
      </c>
      <c r="Q343" s="154" t="str">
        <f t="shared" si="25"/>
        <v>7-Dépenses</v>
      </c>
      <c r="R343" s="153" t="str">
        <f t="shared" si="25"/>
        <v>6152</v>
      </c>
      <c r="S343" s="154">
        <f t="shared" si="25"/>
        <v>0</v>
      </c>
      <c r="T343" s="156" t="str">
        <f>+VLOOKUP($L343,Data_Validation!$A:$D,1,0)</f>
        <v>6252</v>
      </c>
      <c r="U343" s="156" t="str">
        <f>+VLOOKUP($L343,Data_Validation!$A:$D,3,0)</f>
        <v>Véhicules usagés</v>
      </c>
      <c r="V343" s="156" t="str">
        <f>+VLOOKUP($L343,Data_Validation!$A:$D,4,0)</f>
        <v>Papeterie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4" t="s">
        <v>1154</v>
      </c>
      <c r="B344" s="1014" t="s">
        <v>2595</v>
      </c>
      <c r="C344" s="1016">
        <v>270.51</v>
      </c>
      <c r="D344" s="1016">
        <v>177.37</v>
      </c>
      <c r="E344" s="1016">
        <v>447.88</v>
      </c>
      <c r="F344" s="1014" t="s">
        <v>401</v>
      </c>
      <c r="G344" s="1014" t="s">
        <v>2592</v>
      </c>
      <c r="H344" s="972"/>
      <c r="I344" s="975"/>
      <c r="J344" s="975"/>
      <c r="K344" s="975"/>
      <c r="L344" s="153" t="str">
        <f t="shared" si="18"/>
        <v>6253</v>
      </c>
      <c r="M344" s="154" t="str">
        <f t="shared" si="19"/>
        <v>TELEPHONE ET TELEX</v>
      </c>
      <c r="N344" s="155">
        <f>+IF(OR($Q344=Parametres!$G$2,$Q344=Parametres!$G$3),I344,C344)</f>
        <v>270.51</v>
      </c>
      <c r="O344" s="155">
        <f>+IF(OR($Q344=Parametres!$G$2,$Q344=Parametres!$G$3),J344,D344)</f>
        <v>177.37</v>
      </c>
      <c r="P344" s="155">
        <f>+IF(OR($Q344=Parametres!$G$2,$Q344=Parametres!$G$3),K344,E344)</f>
        <v>447.88</v>
      </c>
      <c r="Q344" s="154" t="str">
        <f t="shared" si="25"/>
        <v>7-Dépenses</v>
      </c>
      <c r="R344" s="153" t="str">
        <f t="shared" si="25"/>
        <v>6153</v>
      </c>
      <c r="S344" s="154">
        <f t="shared" si="25"/>
        <v>0</v>
      </c>
      <c r="T344" s="156" t="str">
        <f>+VLOOKUP($L344,Data_Validation!$A:$D,1,0)</f>
        <v>6253</v>
      </c>
      <c r="U344" s="156" t="str">
        <f>+VLOOKUP($L344,Data_Validation!$A:$D,3,0)</f>
        <v>Véhicules usagés</v>
      </c>
      <c r="V344" s="156" t="str">
        <f>+VLOOKUP($L344,Data_Validation!$A:$D,4,0)</f>
        <v>Téléphone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4" t="s">
        <v>1237</v>
      </c>
      <c r="B345" s="1014" t="s">
        <v>2666</v>
      </c>
      <c r="C345" s="1016">
        <v>1347.9</v>
      </c>
      <c r="D345" s="1016">
        <v>617.49</v>
      </c>
      <c r="E345" s="1016">
        <v>1965.39</v>
      </c>
      <c r="F345" s="1014" t="s">
        <v>401</v>
      </c>
      <c r="G345" s="1014" t="s">
        <v>2637</v>
      </c>
      <c r="H345" s="972"/>
      <c r="I345" s="975"/>
      <c r="J345" s="975"/>
      <c r="K345" s="975"/>
      <c r="L345" s="153" t="str">
        <f t="shared" si="18"/>
        <v>6255</v>
      </c>
      <c r="M345" s="154" t="str">
        <f t="shared" si="19"/>
        <v>DEPENSES DIVERS</v>
      </c>
      <c r="N345" s="155">
        <f>+IF(OR($Q345=Parametres!$G$2,$Q345=Parametres!$G$3),I345,C345)</f>
        <v>1347.9</v>
      </c>
      <c r="O345" s="155">
        <f>+IF(OR($Q345=Parametres!$G$2,$Q345=Parametres!$G$3),J345,D345)</f>
        <v>617.49</v>
      </c>
      <c r="P345" s="155">
        <f>+IF(OR($Q345=Parametres!$G$2,$Q345=Parametres!$G$3),K345,E345)</f>
        <v>1965.39</v>
      </c>
      <c r="Q345" s="154" t="str">
        <f t="shared" si="25"/>
        <v>7-Dépenses</v>
      </c>
      <c r="R345" s="153" t="str">
        <f t="shared" si="25"/>
        <v>6155</v>
      </c>
      <c r="S345" s="154">
        <f t="shared" si="25"/>
        <v>0</v>
      </c>
      <c r="T345" s="156" t="str">
        <f>+VLOOKUP($L345,Data_Validation!$A:$D,1,0)</f>
        <v>6255</v>
      </c>
      <c r="U345" s="156" t="str">
        <f>+VLOOKUP($L345,Data_Validation!$A:$D,3,0)</f>
        <v>Véhicules usagés</v>
      </c>
      <c r="V345" s="156" t="str">
        <f>+VLOOKUP($L345,Data_Validation!$A:$D,4,0)</f>
        <v>Divers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4" t="s">
        <v>1247</v>
      </c>
      <c r="B346" s="1014" t="s">
        <v>2676</v>
      </c>
      <c r="C346" s="1016">
        <v>1458.48</v>
      </c>
      <c r="D346" s="1016">
        <v>729.24</v>
      </c>
      <c r="E346" s="1016">
        <v>2187.7199999999998</v>
      </c>
      <c r="F346" s="1014" t="s">
        <v>401</v>
      </c>
      <c r="G346" s="1014" t="s">
        <v>2470</v>
      </c>
      <c r="H346" s="972"/>
      <c r="I346" s="975"/>
      <c r="J346" s="975"/>
      <c r="K346" s="975"/>
      <c r="L346" s="153" t="str">
        <f t="shared" si="18"/>
        <v>6256</v>
      </c>
      <c r="M346" s="154" t="str">
        <f t="shared" si="19"/>
        <v>FRAIS REPRESENTATION - USAGE</v>
      </c>
      <c r="N346" s="155">
        <f>+IF(OR($Q346=Parametres!$G$2,$Q346=Parametres!$G$3),I346,C346)</f>
        <v>1458.48</v>
      </c>
      <c r="O346" s="155">
        <f>+IF(OR($Q346=Parametres!$G$2,$Q346=Parametres!$G$3),J346,D346)</f>
        <v>729.24</v>
      </c>
      <c r="P346" s="155">
        <f>+IF(OR($Q346=Parametres!$G$2,$Q346=Parametres!$G$3),K346,E346)</f>
        <v>2187.7199999999998</v>
      </c>
      <c r="Q346" s="154" t="str">
        <f t="shared" si="25"/>
        <v>7-Dépenses</v>
      </c>
      <c r="R346" s="153" t="str">
        <f t="shared" si="25"/>
        <v>6156</v>
      </c>
      <c r="S346" s="154">
        <f t="shared" si="25"/>
        <v>0</v>
      </c>
      <c r="T346" s="156" t="str">
        <f>+VLOOKUP($L346,Data_Validation!$A:$D,1,0)</f>
        <v>6256</v>
      </c>
      <c r="U346" s="156" t="str">
        <f>+VLOOKUP($L346,Data_Validation!$A:$D,3,0)</f>
        <v>Véhicules usagés</v>
      </c>
      <c r="V346" s="156" t="str">
        <f>+VLOOKUP($L346,Data_Validation!$A:$D,4,0)</f>
        <v>Frais de déplacement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4" t="s">
        <v>1308</v>
      </c>
      <c r="B347" s="1014" t="s">
        <v>2698</v>
      </c>
      <c r="C347" s="1016">
        <v>3829.42</v>
      </c>
      <c r="D347" s="1016">
        <v>2104.48</v>
      </c>
      <c r="E347" s="1016">
        <v>5933.9</v>
      </c>
      <c r="F347" s="1014" t="s">
        <v>401</v>
      </c>
      <c r="G347" s="1014" t="s">
        <v>2662</v>
      </c>
      <c r="H347" s="972"/>
      <c r="I347" s="975"/>
      <c r="J347" s="975"/>
      <c r="K347" s="975"/>
      <c r="L347" s="153" t="str">
        <f t="shared" si="18"/>
        <v>6259</v>
      </c>
      <c r="M347" s="154" t="str">
        <f t="shared" si="19"/>
        <v>SERVICE EXTERIEUR</v>
      </c>
      <c r="N347" s="155">
        <f>+IF(OR($Q347=Parametres!$G$2,$Q347=Parametres!$G$3),I347,C347)</f>
        <v>3829.42</v>
      </c>
      <c r="O347" s="155">
        <f>+IF(OR($Q347=Parametres!$G$2,$Q347=Parametres!$G$3),J347,D347)</f>
        <v>2104.48</v>
      </c>
      <c r="P347" s="155">
        <f>+IF(OR($Q347=Parametres!$G$2,$Q347=Parametres!$G$3),K347,E347)</f>
        <v>5933.9</v>
      </c>
      <c r="Q347" s="154" t="str">
        <f t="shared" si="25"/>
        <v>7-Dépenses</v>
      </c>
      <c r="R347" s="153" t="str">
        <f t="shared" si="25"/>
        <v>6159</v>
      </c>
      <c r="S347" s="154">
        <f t="shared" si="25"/>
        <v>0</v>
      </c>
      <c r="T347" s="156" t="str">
        <f>+VLOOKUP($L347,Data_Validation!$A:$D,1,0)</f>
        <v>6259</v>
      </c>
      <c r="U347" s="156" t="str">
        <f>+VLOOKUP($L347,Data_Validation!$A:$D,3,0)</f>
        <v>Véhicules usagés</v>
      </c>
      <c r="V347" s="156" t="str">
        <f>+VLOOKUP($L347,Data_Validation!$A:$D,4,0)</f>
        <v>Services extérieurs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4" t="s">
        <v>1333</v>
      </c>
      <c r="B348" s="1014" t="s">
        <v>2680</v>
      </c>
      <c r="C348" s="1016">
        <v>2160</v>
      </c>
      <c r="D348" s="1016">
        <v>1080</v>
      </c>
      <c r="E348" s="1016">
        <v>3240</v>
      </c>
      <c r="F348" s="1014" t="s">
        <v>401</v>
      </c>
      <c r="G348" s="1014" t="s">
        <v>2653</v>
      </c>
      <c r="H348" s="972"/>
      <c r="I348" s="975"/>
      <c r="J348" s="975"/>
      <c r="K348" s="975"/>
      <c r="L348" s="153" t="str">
        <f t="shared" si="18"/>
        <v>6261</v>
      </c>
      <c r="M348" s="154" t="str">
        <f t="shared" si="19"/>
        <v>DEPRECIATION EQUIP. &amp; FIXTURES</v>
      </c>
      <c r="N348" s="155">
        <f>+IF(OR($Q348=Parametres!$G$2,$Q348=Parametres!$G$3),I348,C348)</f>
        <v>2160</v>
      </c>
      <c r="O348" s="155">
        <f>+IF(OR($Q348=Parametres!$G$2,$Q348=Parametres!$G$3),J348,D348)</f>
        <v>1080</v>
      </c>
      <c r="P348" s="155">
        <f>+IF(OR($Q348=Parametres!$G$2,$Q348=Parametres!$G$3),K348,E348)</f>
        <v>3240</v>
      </c>
      <c r="Q348" s="154" t="str">
        <f t="shared" si="25"/>
        <v>7-Dépenses</v>
      </c>
      <c r="R348" s="153" t="str">
        <f t="shared" si="25"/>
        <v>6161</v>
      </c>
      <c r="S348" s="154">
        <f t="shared" si="25"/>
        <v>0</v>
      </c>
      <c r="T348" s="156" t="str">
        <f>+VLOOKUP($L348,Data_Validation!$A:$D,1,0)</f>
        <v>6261</v>
      </c>
      <c r="U348" s="156" t="str">
        <f>+VLOOKUP($L348,Data_Validation!$A:$D,3,0)</f>
        <v>Véhicules usagés</v>
      </c>
      <c r="V348" s="156" t="str">
        <f>+VLOOKUP($L348,Data_Validation!$A:$D,4,0)</f>
        <v>Amortissement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4" t="s">
        <v>936</v>
      </c>
      <c r="B349" s="1014" t="s">
        <v>2465</v>
      </c>
      <c r="C349" s="1016">
        <v>96</v>
      </c>
      <c r="D349" s="1016">
        <v>48</v>
      </c>
      <c r="E349" s="1016">
        <v>144</v>
      </c>
      <c r="F349" s="1014" t="s">
        <v>401</v>
      </c>
      <c r="G349" s="1014" t="s">
        <v>2463</v>
      </c>
      <c r="H349" s="972"/>
      <c r="I349" s="975"/>
      <c r="J349" s="975"/>
      <c r="K349" s="975"/>
      <c r="L349" s="153" t="str">
        <f t="shared" si="18"/>
        <v>6262</v>
      </c>
      <c r="M349" s="154" t="str">
        <f t="shared" si="19"/>
        <v>LOCATION D'EQUIPEMENTS</v>
      </c>
      <c r="N349" s="155">
        <f>+IF(OR($Q349=Parametres!$G$2,$Q349=Parametres!$G$3),I349,C349)</f>
        <v>96</v>
      </c>
      <c r="O349" s="155">
        <f>+IF(OR($Q349=Parametres!$G$2,$Q349=Parametres!$G$3),J349,D349)</f>
        <v>48</v>
      </c>
      <c r="P349" s="155">
        <f>+IF(OR($Q349=Parametres!$G$2,$Q349=Parametres!$G$3),K349,E349)</f>
        <v>144</v>
      </c>
      <c r="Q349" s="154" t="str">
        <f t="shared" si="25"/>
        <v>7-Dépenses</v>
      </c>
      <c r="R349" s="153" t="str">
        <f t="shared" si="25"/>
        <v>6162</v>
      </c>
      <c r="S349" s="154">
        <f t="shared" si="25"/>
        <v>0</v>
      </c>
      <c r="T349" s="156" t="str">
        <f>+VLOOKUP($L349,Data_Validation!$A:$D,1,0)</f>
        <v>6262</v>
      </c>
      <c r="U349" s="156" t="str">
        <f>+VLOOKUP($L349,Data_Validation!$A:$D,3,0)</f>
        <v>Véhicules usagés</v>
      </c>
      <c r="V349" s="156" t="str">
        <f>+VLOOKUP($L349,Data_Validation!$A:$D,4,0)</f>
        <v>Location équipement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4" t="s">
        <v>1380</v>
      </c>
      <c r="B350" s="1014" t="s">
        <v>2633</v>
      </c>
      <c r="C350" s="1016">
        <v>880.8</v>
      </c>
      <c r="D350" s="1016">
        <v>440.4</v>
      </c>
      <c r="E350" s="1016">
        <v>1321.2</v>
      </c>
      <c r="F350" s="1014" t="s">
        <v>401</v>
      </c>
      <c r="G350" s="1014" t="s">
        <v>2604</v>
      </c>
      <c r="H350" s="972"/>
      <c r="I350" s="975"/>
      <c r="J350" s="975"/>
      <c r="K350" s="975"/>
      <c r="L350" s="153" t="str">
        <f t="shared" si="18"/>
        <v>6281</v>
      </c>
      <c r="M350" s="154" t="str">
        <f t="shared" si="19"/>
        <v>CHAUFFAGE,ELECTRICITE,EAU-USAGE</v>
      </c>
      <c r="N350" s="155">
        <f>+IF(OR($Q350=Parametres!$G$2,$Q350=Parametres!$G$3),I350,C350)</f>
        <v>880.8</v>
      </c>
      <c r="O350" s="155">
        <f>+IF(OR($Q350=Parametres!$G$2,$Q350=Parametres!$G$3),J350,D350)</f>
        <v>440.4</v>
      </c>
      <c r="P350" s="155">
        <f>+IF(OR($Q350=Parametres!$G$2,$Q350=Parametres!$G$3),K350,E350)</f>
        <v>1321.2</v>
      </c>
      <c r="Q350" s="154" t="str">
        <f t="shared" si="25"/>
        <v>7-Dépenses</v>
      </c>
      <c r="R350" s="153" t="str">
        <f t="shared" si="25"/>
        <v>6181</v>
      </c>
      <c r="S350" s="154">
        <f t="shared" si="25"/>
        <v>0</v>
      </c>
      <c r="T350" s="156" t="str">
        <f>+VLOOKUP($L350,Data_Validation!$A:$D,1,0)</f>
        <v>6281</v>
      </c>
      <c r="U350" s="156" t="str">
        <f>+VLOOKUP($L350,Data_Validation!$A:$D,3,0)</f>
        <v>Véhicules usagés</v>
      </c>
      <c r="V350" s="156" t="str">
        <f>+VLOOKUP($L350,Data_Validation!$A:$D,4,0)</f>
        <v>Chauffage, éclairage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4" t="s">
        <v>1462</v>
      </c>
      <c r="B351" s="1014" t="s">
        <v>2724</v>
      </c>
      <c r="C351" s="1016">
        <v>6240.02</v>
      </c>
      <c r="D351" s="1016">
        <v>3120.02</v>
      </c>
      <c r="E351" s="1016">
        <v>9360.0400000000009</v>
      </c>
      <c r="F351" s="1014" t="s">
        <v>401</v>
      </c>
      <c r="G351" s="1014" t="s">
        <v>2709</v>
      </c>
      <c r="H351" s="972"/>
      <c r="I351" s="975"/>
      <c r="J351" s="975"/>
      <c r="K351" s="975"/>
      <c r="L351" s="153" t="str">
        <f t="shared" si="18"/>
        <v>6282</v>
      </c>
      <c r="M351" s="154" t="str">
        <f t="shared" si="19"/>
        <v>LOYER - USAGE</v>
      </c>
      <c r="N351" s="155">
        <f>+IF(OR($Q351=Parametres!$G$2,$Q351=Parametres!$G$3),I351,C351)</f>
        <v>6240.02</v>
      </c>
      <c r="O351" s="155">
        <f>+IF(OR($Q351=Parametres!$G$2,$Q351=Parametres!$G$3),J351,D351)</f>
        <v>3120.02</v>
      </c>
      <c r="P351" s="155">
        <f>+IF(OR($Q351=Parametres!$G$2,$Q351=Parametres!$G$3),K351,E351)</f>
        <v>9360.0400000000009</v>
      </c>
      <c r="Q351" s="154" t="str">
        <f t="shared" si="25"/>
        <v>7-Dépenses</v>
      </c>
      <c r="R351" s="153" t="str">
        <f t="shared" si="25"/>
        <v>6182</v>
      </c>
      <c r="S351" s="154">
        <f t="shared" si="25"/>
        <v>0</v>
      </c>
      <c r="T351" s="156" t="str">
        <f>+VLOOKUP($L351,Data_Validation!$A:$D,1,0)</f>
        <v>6282</v>
      </c>
      <c r="U351" s="156" t="str">
        <f>+VLOOKUP($L351,Data_Validation!$A:$D,3,0)</f>
        <v>Véhicules usagés</v>
      </c>
      <c r="V351" s="156" t="str">
        <f>+VLOOKUP($L351,Data_Validation!$A:$D,4,0)</f>
        <v>Loyer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4" t="s">
        <v>1290</v>
      </c>
      <c r="B352" s="1014" t="s">
        <v>2615</v>
      </c>
      <c r="C352" s="1016">
        <v>360</v>
      </c>
      <c r="D352" s="1016">
        <v>180</v>
      </c>
      <c r="E352" s="1016">
        <v>540</v>
      </c>
      <c r="F352" s="1014" t="s">
        <v>401</v>
      </c>
      <c r="G352" s="1014" t="s">
        <v>2594</v>
      </c>
      <c r="H352" s="972"/>
      <c r="I352" s="975"/>
      <c r="J352" s="975"/>
      <c r="K352" s="975"/>
      <c r="L352" s="153" t="str">
        <f t="shared" si="18"/>
        <v>6286</v>
      </c>
      <c r="M352" s="154" t="str">
        <f t="shared" si="19"/>
        <v>ASSURANCE BATISSE &amp; AMEL.-USAGE</v>
      </c>
      <c r="N352" s="155">
        <f>+IF(OR($Q352=Parametres!$G$2,$Q352=Parametres!$G$3),I352,C352)</f>
        <v>360</v>
      </c>
      <c r="O352" s="155">
        <f>+IF(OR($Q352=Parametres!$G$2,$Q352=Parametres!$G$3),J352,D352)</f>
        <v>180</v>
      </c>
      <c r="P352" s="155">
        <f>+IF(OR($Q352=Parametres!$G$2,$Q352=Parametres!$G$3),K352,E352)</f>
        <v>540</v>
      </c>
      <c r="Q352" s="154" t="str">
        <f t="shared" si="25"/>
        <v>7-Dépenses</v>
      </c>
      <c r="R352" s="153" t="str">
        <f t="shared" si="25"/>
        <v>6186</v>
      </c>
      <c r="S352" s="154">
        <f t="shared" si="25"/>
        <v>0</v>
      </c>
      <c r="T352" s="156" t="str">
        <f>+VLOOKUP($L352,Data_Validation!$A:$D,1,0)</f>
        <v>6286</v>
      </c>
      <c r="U352" s="156" t="str">
        <f>+VLOOKUP($L352,Data_Validation!$A:$D,3,0)</f>
        <v>Véhicules usagés</v>
      </c>
      <c r="V352" s="156" t="str">
        <f>+VLOOKUP($L352,Data_Validation!$A:$D,4,0)</f>
        <v>Assurances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4" t="s">
        <v>1203</v>
      </c>
      <c r="B353" s="1014" t="s">
        <v>2651</v>
      </c>
      <c r="C353" s="1016">
        <v>1128</v>
      </c>
      <c r="D353" s="1016">
        <v>564</v>
      </c>
      <c r="E353" s="1016">
        <v>1692</v>
      </c>
      <c r="F353" s="1014" t="s">
        <v>401</v>
      </c>
      <c r="G353" s="1014" t="s">
        <v>2614</v>
      </c>
      <c r="H353" s="972"/>
      <c r="I353" s="975"/>
      <c r="J353" s="975"/>
      <c r="K353" s="975"/>
      <c r="L353" s="153" t="str">
        <f t="shared" si="18"/>
        <v>6287</v>
      </c>
      <c r="M353" s="154" t="str">
        <f t="shared" si="19"/>
        <v>TAXES FONCIERES - USAGE</v>
      </c>
      <c r="N353" s="155">
        <f>+IF(OR($Q353=Parametres!$G$2,$Q353=Parametres!$G$3),I353,C353)</f>
        <v>1128</v>
      </c>
      <c r="O353" s="155">
        <f>+IF(OR($Q353=Parametres!$G$2,$Q353=Parametres!$G$3),J353,D353)</f>
        <v>564</v>
      </c>
      <c r="P353" s="155">
        <f>+IF(OR($Q353=Parametres!$G$2,$Q353=Parametres!$G$3),K353,E353)</f>
        <v>1692</v>
      </c>
      <c r="Q353" s="154" t="str">
        <f t="shared" si="25"/>
        <v>7-Dépenses</v>
      </c>
      <c r="R353" s="153" t="str">
        <f t="shared" si="25"/>
        <v>6187</v>
      </c>
      <c r="S353" s="154">
        <f t="shared" si="25"/>
        <v>0</v>
      </c>
      <c r="T353" s="156" t="str">
        <f>+VLOOKUP($L353,Data_Validation!$A:$D,1,0)</f>
        <v>6287</v>
      </c>
      <c r="U353" s="156" t="str">
        <f>+VLOOKUP($L353,Data_Validation!$A:$D,3,0)</f>
        <v>Véhicules usagés</v>
      </c>
      <c r="V353" s="156" t="str">
        <f>+VLOOKUP($L353,Data_Validation!$A:$D,4,0)</f>
        <v>Taxes foncières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4" t="s">
        <v>1393</v>
      </c>
      <c r="B354" s="1014" t="s">
        <v>2620</v>
      </c>
      <c r="C354" s="1016">
        <v>756</v>
      </c>
      <c r="D354" s="1016">
        <v>378</v>
      </c>
      <c r="E354" s="1016">
        <v>1134</v>
      </c>
      <c r="F354" s="1014" t="s">
        <v>401</v>
      </c>
      <c r="G354" s="1014" t="s">
        <v>2597</v>
      </c>
      <c r="H354" s="972"/>
      <c r="I354" s="975"/>
      <c r="J354" s="975"/>
      <c r="K354" s="975"/>
      <c r="L354" s="153" t="str">
        <f t="shared" si="18"/>
        <v>6293</v>
      </c>
      <c r="M354" s="154" t="str">
        <f t="shared" si="19"/>
        <v>AUTRE TAXES - USAGES</v>
      </c>
      <c r="N354" s="155">
        <f>+IF(OR($Q354=Parametres!$G$2,$Q354=Parametres!$G$3),I354,C354)</f>
        <v>756</v>
      </c>
      <c r="O354" s="155">
        <f>+IF(OR($Q354=Parametres!$G$2,$Q354=Parametres!$G$3),J354,D354)</f>
        <v>378</v>
      </c>
      <c r="P354" s="155">
        <f>+IF(OR($Q354=Parametres!$G$2,$Q354=Parametres!$G$3),K354,E354)</f>
        <v>1134</v>
      </c>
      <c r="Q354" s="154" t="str">
        <f t="shared" ref="Q354:S369" si="26">+F354</f>
        <v>7-Dépenses</v>
      </c>
      <c r="R354" s="153" t="str">
        <f t="shared" si="26"/>
        <v>6193</v>
      </c>
      <c r="S354" s="154">
        <f t="shared" si="26"/>
        <v>0</v>
      </c>
      <c r="T354" s="156" t="str">
        <f>+VLOOKUP($L354,Data_Validation!$A:$D,1,0)</f>
        <v>6293</v>
      </c>
      <c r="U354" s="156" t="str">
        <f>+VLOOKUP($L354,Data_Validation!$A:$D,3,0)</f>
        <v>Véhicules usagés</v>
      </c>
      <c r="V354" s="156" t="str">
        <f>+VLOOKUP($L354,Data_Validation!$A:$D,4,0)</f>
        <v>Taxes d`affaires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4" t="s">
        <v>1318</v>
      </c>
      <c r="B355" s="1014" t="s">
        <v>2664</v>
      </c>
      <c r="C355" s="1016">
        <v>1926</v>
      </c>
      <c r="D355" s="1016">
        <v>963</v>
      </c>
      <c r="E355" s="1016">
        <v>2889</v>
      </c>
      <c r="F355" s="1014" t="s">
        <v>401</v>
      </c>
      <c r="G355" s="1014" t="s">
        <v>2635</v>
      </c>
      <c r="H355" s="972"/>
      <c r="I355" s="975"/>
      <c r="J355" s="975"/>
      <c r="K355" s="975"/>
      <c r="L355" s="153" t="str">
        <f t="shared" si="18"/>
        <v>6294</v>
      </c>
      <c r="M355" s="154" t="str">
        <f t="shared" si="19"/>
        <v>FRAIS PROFESSIONNEL-USAGE</v>
      </c>
      <c r="N355" s="155">
        <f>+IF(OR($Q355=Parametres!$G$2,$Q355=Parametres!$G$3),I355,C355)</f>
        <v>1926</v>
      </c>
      <c r="O355" s="155">
        <f>+IF(OR($Q355=Parametres!$G$2,$Q355=Parametres!$G$3),J355,D355)</f>
        <v>963</v>
      </c>
      <c r="P355" s="155">
        <f>+IF(OR($Q355=Parametres!$G$2,$Q355=Parametres!$G$3),K355,E355)</f>
        <v>2889</v>
      </c>
      <c r="Q355" s="154" t="str">
        <f t="shared" si="26"/>
        <v>7-Dépenses</v>
      </c>
      <c r="R355" s="153" t="str">
        <f t="shared" si="26"/>
        <v>6194</v>
      </c>
      <c r="S355" s="154">
        <f t="shared" si="26"/>
        <v>0</v>
      </c>
      <c r="T355" s="156" t="str">
        <f>+VLOOKUP($L355,Data_Validation!$A:$D,1,0)</f>
        <v>6294</v>
      </c>
      <c r="U355" s="156" t="str">
        <f>+VLOOKUP($L355,Data_Validation!$A:$D,3,0)</f>
        <v>Véhicules usagés</v>
      </c>
      <c r="V355" s="156" t="str">
        <f>+VLOOKUP($L355,Data_Validation!$A:$D,4,0)</f>
        <v>Honoraires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4" t="s">
        <v>1403</v>
      </c>
      <c r="B356" s="1014" t="s">
        <v>2743</v>
      </c>
      <c r="C356" s="1016">
        <v>3531.07</v>
      </c>
      <c r="D356" s="1016">
        <v>2671.58</v>
      </c>
      <c r="E356" s="1016">
        <v>6202.65</v>
      </c>
      <c r="F356" s="1014" t="s">
        <v>401</v>
      </c>
      <c r="G356" s="1014" t="s">
        <v>2467</v>
      </c>
      <c r="H356" s="972"/>
      <c r="I356" s="975"/>
      <c r="J356" s="975"/>
      <c r="K356" s="975"/>
      <c r="L356" s="153" t="str">
        <f t="shared" si="18"/>
        <v>6403</v>
      </c>
      <c r="M356" s="154" t="str">
        <f t="shared" si="19"/>
        <v>RELAT. A LA CLIENTELE &amp; AJUST</v>
      </c>
      <c r="N356" s="155">
        <f>+IF(OR($Q356=Parametres!$G$2,$Q356=Parametres!$G$3),I356,C356)</f>
        <v>3531.07</v>
      </c>
      <c r="O356" s="155">
        <f>+IF(OR($Q356=Parametres!$G$2,$Q356=Parametres!$G$3),J356,D356)</f>
        <v>2671.58</v>
      </c>
      <c r="P356" s="155">
        <f>+IF(OR($Q356=Parametres!$G$2,$Q356=Parametres!$G$3),K356,E356)</f>
        <v>6202.65</v>
      </c>
      <c r="Q356" s="154" t="str">
        <f t="shared" si="26"/>
        <v>7-Dépenses</v>
      </c>
      <c r="R356" s="153" t="str">
        <f t="shared" si="26"/>
        <v>6112</v>
      </c>
      <c r="S356" s="154">
        <f t="shared" si="26"/>
        <v>0</v>
      </c>
      <c r="T356" s="156" t="str">
        <f>+VLOOKUP($L356,Data_Validation!$A:$D,1,0)</f>
        <v>6403</v>
      </c>
      <c r="U356" s="156" t="str">
        <f>+VLOOKUP($L356,Data_Validation!$A:$D,3,0)</f>
        <v>Service</v>
      </c>
      <c r="V356" s="156" t="str">
        <f>+VLOOKUP($L356,Data_Validation!$A:$D,4,0)</f>
        <v>Service gratuit 2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4" t="s">
        <v>1450</v>
      </c>
      <c r="B357" s="1014" t="s">
        <v>2677</v>
      </c>
      <c r="C357" s="1016">
        <v>553.80999999999995</v>
      </c>
      <c r="D357" s="1016">
        <v>85.9</v>
      </c>
      <c r="E357" s="1016">
        <v>639.71</v>
      </c>
      <c r="F357" s="1014" t="s">
        <v>401</v>
      </c>
      <c r="G357" s="1014" t="s">
        <v>2467</v>
      </c>
      <c r="H357" s="972"/>
      <c r="I357" s="975"/>
      <c r="J357" s="975"/>
      <c r="K357" s="975"/>
      <c r="L357" s="153" t="str">
        <f t="shared" si="18"/>
        <v>6412</v>
      </c>
      <c r="M357" s="154" t="str">
        <f t="shared" si="19"/>
        <v>AUTORISATION &amp; GAR./VEH. USA</v>
      </c>
      <c r="N357" s="155">
        <f>+IF(OR($Q357=Parametres!$G$2,$Q357=Parametres!$G$3),I357,C357)</f>
        <v>553.80999999999995</v>
      </c>
      <c r="O357" s="155">
        <f>+IF(OR($Q357=Parametres!$G$2,$Q357=Parametres!$G$3),J357,D357)</f>
        <v>85.9</v>
      </c>
      <c r="P357" s="155">
        <f>+IF(OR($Q357=Parametres!$G$2,$Q357=Parametres!$G$3),K357,E357)</f>
        <v>639.71</v>
      </c>
      <c r="Q357" s="154" t="str">
        <f t="shared" si="26"/>
        <v>7-Dépenses</v>
      </c>
      <c r="R357" s="153" t="str">
        <f t="shared" si="26"/>
        <v>6112</v>
      </c>
      <c r="S357" s="154">
        <f t="shared" si="26"/>
        <v>0</v>
      </c>
      <c r="T357" s="156" t="str">
        <f>+VLOOKUP($L357,Data_Validation!$A:$D,1,0)</f>
        <v>6412</v>
      </c>
      <c r="U357" s="156" t="str">
        <f>+VLOOKUP($L357,Data_Validation!$A:$D,3,0)</f>
        <v>Service</v>
      </c>
      <c r="V357" s="156" t="str">
        <f>+VLOOKUP($L357,Data_Validation!$A:$D,4,0)</f>
        <v>Service gratuit 2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4" t="s">
        <v>1374</v>
      </c>
      <c r="B358" s="1014" t="s">
        <v>2714</v>
      </c>
      <c r="C358" s="1016">
        <v>22876.3</v>
      </c>
      <c r="D358" s="1016">
        <v>13895.47</v>
      </c>
      <c r="E358" s="1016">
        <v>36771.769999999997</v>
      </c>
      <c r="F358" s="1014" t="s">
        <v>401</v>
      </c>
      <c r="G358" s="1014" t="s">
        <v>2113</v>
      </c>
      <c r="H358" s="972"/>
      <c r="I358" s="975"/>
      <c r="J358" s="975"/>
      <c r="K358" s="975"/>
      <c r="L358" s="153" t="str">
        <f t="shared" si="18"/>
        <v>6414</v>
      </c>
      <c r="M358" s="154" t="str">
        <f t="shared" si="19"/>
        <v>PUBLICITE</v>
      </c>
      <c r="N358" s="155">
        <f>+IF(OR($Q358=Parametres!$G$2,$Q358=Parametres!$G$3),I358,C358)</f>
        <v>22876.3</v>
      </c>
      <c r="O358" s="155">
        <f>+IF(OR($Q358=Parametres!$G$2,$Q358=Parametres!$G$3),J358,D358)</f>
        <v>13895.47</v>
      </c>
      <c r="P358" s="155">
        <f>+IF(OR($Q358=Parametres!$G$2,$Q358=Parametres!$G$3),K358,E358)</f>
        <v>36771.769999999997</v>
      </c>
      <c r="Q358" s="154" t="str">
        <f t="shared" si="26"/>
        <v>7-Dépenses</v>
      </c>
      <c r="R358" s="153" t="str">
        <f t="shared" si="26"/>
        <v>6114</v>
      </c>
      <c r="S358" s="154">
        <f t="shared" si="26"/>
        <v>0</v>
      </c>
      <c r="T358" s="156" t="str">
        <f>+VLOOKUP($L358,Data_Validation!$A:$D,1,0)</f>
        <v>6414</v>
      </c>
      <c r="U358" s="156" t="str">
        <f>+VLOOKUP($L358,Data_Validation!$A:$D,3,0)</f>
        <v>Service</v>
      </c>
      <c r="V358" s="156" t="str">
        <f>+VLOOKUP($L358,Data_Validation!$A:$D,4,0)</f>
        <v>Publicité 2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4" t="s">
        <v>1259</v>
      </c>
      <c r="B359" s="1014" t="s">
        <v>2711</v>
      </c>
      <c r="C359" s="1016">
        <v>1961.13</v>
      </c>
      <c r="D359" s="1016">
        <v>1728.61</v>
      </c>
      <c r="E359" s="1016">
        <v>3689.74</v>
      </c>
      <c r="F359" s="1014" t="s">
        <v>401</v>
      </c>
      <c r="G359" s="1014" t="s">
        <v>2648</v>
      </c>
      <c r="H359" s="972"/>
      <c r="I359" s="975"/>
      <c r="J359" s="975"/>
      <c r="K359" s="975"/>
      <c r="L359" s="153" t="str">
        <f t="shared" si="18"/>
        <v>6421</v>
      </c>
      <c r="M359" s="154" t="str">
        <f t="shared" si="19"/>
        <v>SALAIRES - PROPRIETAIRES</v>
      </c>
      <c r="N359" s="155">
        <f>+IF(OR($Q359=Parametres!$G$2,$Q359=Parametres!$G$3),I359,C359)</f>
        <v>1961.13</v>
      </c>
      <c r="O359" s="155">
        <f>+IF(OR($Q359=Parametres!$G$2,$Q359=Parametres!$G$3),J359,D359)</f>
        <v>1728.61</v>
      </c>
      <c r="P359" s="155">
        <f>+IF(OR($Q359=Parametres!$G$2,$Q359=Parametres!$G$3),K359,E359)</f>
        <v>3689.74</v>
      </c>
      <c r="Q359" s="154" t="str">
        <f t="shared" si="26"/>
        <v>7-Dépenses</v>
      </c>
      <c r="R359" s="153" t="str">
        <f t="shared" si="26"/>
        <v>6121</v>
      </c>
      <c r="S359" s="154">
        <f t="shared" si="26"/>
        <v>0</v>
      </c>
      <c r="T359" s="156" t="str">
        <f>+VLOOKUP($L359,Data_Validation!$A:$D,1,0)</f>
        <v>6421</v>
      </c>
      <c r="U359" s="156" t="str">
        <f>+VLOOKUP($L359,Data_Validation!$A:$D,3,0)</f>
        <v>Service</v>
      </c>
      <c r="V359" s="156" t="str">
        <f>+VLOOKUP($L359,Data_Validation!$A:$D,4,0)</f>
        <v>Salaires propriétaire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4" t="s">
        <v>2624</v>
      </c>
      <c r="B360" s="1014" t="s">
        <v>2771</v>
      </c>
      <c r="C360" s="1016">
        <v>28039.79</v>
      </c>
      <c r="D360" s="1016">
        <v>12092.75</v>
      </c>
      <c r="E360" s="1016">
        <v>40132.54</v>
      </c>
      <c r="F360" s="1014" t="s">
        <v>401</v>
      </c>
      <c r="G360" s="1014" t="s">
        <v>2626</v>
      </c>
      <c r="H360" s="972"/>
      <c r="I360" s="975"/>
      <c r="J360" s="975"/>
      <c r="K360" s="975"/>
      <c r="L360" s="153" t="str">
        <f t="shared" si="18"/>
        <v>6422</v>
      </c>
      <c r="M360" s="154" t="str">
        <f t="shared" si="19"/>
        <v>SAL SUPERVISION / GERANT</v>
      </c>
      <c r="N360" s="155">
        <f>+IF(OR($Q360=Parametres!$G$2,$Q360=Parametres!$G$3),I360,C360)</f>
        <v>28039.79</v>
      </c>
      <c r="O360" s="155">
        <f>+IF(OR($Q360=Parametres!$G$2,$Q360=Parametres!$G$3),J360,D360)</f>
        <v>12092.75</v>
      </c>
      <c r="P360" s="155">
        <f>+IF(OR($Q360=Parametres!$G$2,$Q360=Parametres!$G$3),K360,E360)</f>
        <v>40132.54</v>
      </c>
      <c r="Q360" s="154" t="str">
        <f t="shared" si="26"/>
        <v>7-Dépenses</v>
      </c>
      <c r="R360" s="153" t="str">
        <f t="shared" si="26"/>
        <v>6122</v>
      </c>
      <c r="S360" s="154">
        <f t="shared" si="26"/>
        <v>0</v>
      </c>
      <c r="T360" s="156" t="str">
        <f>+VLOOKUP($L360,Data_Validation!$A:$D,1,0)</f>
        <v>6422</v>
      </c>
      <c r="U360" s="156" t="str">
        <f>+VLOOKUP($L360,Data_Validation!$A:$D,3,0)</f>
        <v>Service</v>
      </c>
      <c r="V360" s="156" t="str">
        <f>+VLOOKUP($L360,Data_Validation!$A:$D,4,0)</f>
        <v>Salaires cadres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4" t="s">
        <v>1266</v>
      </c>
      <c r="B361" s="1014" t="s">
        <v>2766</v>
      </c>
      <c r="C361" s="1016">
        <v>15482.32</v>
      </c>
      <c r="D361" s="1016">
        <v>6668.69</v>
      </c>
      <c r="E361" s="1016">
        <v>22151.01</v>
      </c>
      <c r="F361" s="1014" t="s">
        <v>401</v>
      </c>
      <c r="G361" s="1014" t="s">
        <v>2679</v>
      </c>
      <c r="H361" s="972"/>
      <c r="I361" s="975"/>
      <c r="J361" s="975"/>
      <c r="K361" s="975"/>
      <c r="L361" s="153" t="str">
        <f t="shared" si="18"/>
        <v>6423</v>
      </c>
      <c r="M361" s="154" t="str">
        <f t="shared" si="19"/>
        <v>SAL. &amp; RENUM. CLERICAL</v>
      </c>
      <c r="N361" s="155">
        <f>+IF(OR($Q361=Parametres!$G$2,$Q361=Parametres!$G$3),I361,C361)</f>
        <v>15482.32</v>
      </c>
      <c r="O361" s="155">
        <f>+IF(OR($Q361=Parametres!$G$2,$Q361=Parametres!$G$3),J361,D361)</f>
        <v>6668.69</v>
      </c>
      <c r="P361" s="155">
        <f>+IF(OR($Q361=Parametres!$G$2,$Q361=Parametres!$G$3),K361,E361)</f>
        <v>22151.01</v>
      </c>
      <c r="Q361" s="154" t="str">
        <f t="shared" si="26"/>
        <v>7-Dépenses</v>
      </c>
      <c r="R361" s="153" t="str">
        <f t="shared" si="26"/>
        <v>6123</v>
      </c>
      <c r="S361" s="154">
        <f t="shared" si="26"/>
        <v>0</v>
      </c>
      <c r="T361" s="156" t="str">
        <f>+VLOOKUP($L361,Data_Validation!$A:$D,1,0)</f>
        <v>6423</v>
      </c>
      <c r="U361" s="156" t="str">
        <f>+VLOOKUP($L361,Data_Validation!$A:$D,3,0)</f>
        <v>Service</v>
      </c>
      <c r="V361" s="156" t="str">
        <f>+VLOOKUP($L361,Data_Validation!$A:$D,4,0)</f>
        <v>Salaires commis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4" t="s">
        <v>1249</v>
      </c>
      <c r="B362" s="1014" t="s">
        <v>2805</v>
      </c>
      <c r="C362" s="1016">
        <v>21817.96</v>
      </c>
      <c r="D362" s="1016">
        <v>8643.08</v>
      </c>
      <c r="E362" s="1016">
        <v>30461.040000000001</v>
      </c>
      <c r="F362" s="1014" t="s">
        <v>401</v>
      </c>
      <c r="G362" s="1014" t="s">
        <v>2735</v>
      </c>
      <c r="H362" s="972"/>
      <c r="I362" s="975"/>
      <c r="J362" s="975"/>
      <c r="K362" s="975"/>
      <c r="L362" s="153" t="str">
        <f t="shared" si="18"/>
        <v>6424</v>
      </c>
      <c r="M362" s="154" t="str">
        <f t="shared" si="19"/>
        <v>SALAIRES &amp; RENUM. - AUTRES</v>
      </c>
      <c r="N362" s="155">
        <f>+IF(OR($Q362=Parametres!$G$2,$Q362=Parametres!$G$3),I362,C362)</f>
        <v>21817.96</v>
      </c>
      <c r="O362" s="155">
        <f>+IF(OR($Q362=Parametres!$G$2,$Q362=Parametres!$G$3),J362,D362)</f>
        <v>8643.08</v>
      </c>
      <c r="P362" s="155">
        <f>+IF(OR($Q362=Parametres!$G$2,$Q362=Parametres!$G$3),K362,E362)</f>
        <v>30461.040000000001</v>
      </c>
      <c r="Q362" s="154" t="str">
        <f t="shared" si="26"/>
        <v>7-Dépenses</v>
      </c>
      <c r="R362" s="153" t="str">
        <f t="shared" si="26"/>
        <v>6124</v>
      </c>
      <c r="S362" s="154">
        <f t="shared" si="26"/>
        <v>0</v>
      </c>
      <c r="T362" s="156" t="str">
        <f>+VLOOKUP($L362,Data_Validation!$A:$D,1,0)</f>
        <v>6424</v>
      </c>
      <c r="U362" s="156" t="str">
        <f>+VLOOKUP($L362,Data_Validation!$A:$D,3,0)</f>
        <v>Service</v>
      </c>
      <c r="V362" s="156" t="str">
        <f>+VLOOKUP($L362,Data_Validation!$A:$D,4,0)</f>
        <v>Salaires autres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4" t="s">
        <v>1330</v>
      </c>
      <c r="B363" s="1014" t="s">
        <v>2810</v>
      </c>
      <c r="C363" s="1016">
        <v>39535.96</v>
      </c>
      <c r="D363" s="1016">
        <v>17311.25</v>
      </c>
      <c r="E363" s="1016">
        <v>56847.21</v>
      </c>
      <c r="F363" s="1014" t="s">
        <v>401</v>
      </c>
      <c r="G363" s="1014" t="s">
        <v>2721</v>
      </c>
      <c r="H363" s="972"/>
      <c r="I363" s="975"/>
      <c r="J363" s="975"/>
      <c r="K363" s="975"/>
      <c r="L363" s="153" t="str">
        <f t="shared" si="18"/>
        <v>6425</v>
      </c>
      <c r="M363" s="154" t="str">
        <f t="shared" si="19"/>
        <v>SALAIRE SPECIALISTES</v>
      </c>
      <c r="N363" s="155">
        <f>+IF(OR($Q363=Parametres!$G$2,$Q363=Parametres!$G$3),I363,C363)</f>
        <v>39535.96</v>
      </c>
      <c r="O363" s="155">
        <f>+IF(OR($Q363=Parametres!$G$2,$Q363=Parametres!$G$3),J363,D363)</f>
        <v>17311.25</v>
      </c>
      <c r="P363" s="155">
        <f>+IF(OR($Q363=Parametres!$G$2,$Q363=Parametres!$G$3),K363,E363)</f>
        <v>56847.21</v>
      </c>
      <c r="Q363" s="154" t="str">
        <f t="shared" si="26"/>
        <v>7-Dépenses</v>
      </c>
      <c r="R363" s="153" t="str">
        <f t="shared" si="26"/>
        <v>6125</v>
      </c>
      <c r="S363" s="154">
        <f t="shared" si="26"/>
        <v>0</v>
      </c>
      <c r="T363" s="156" t="str">
        <f>+VLOOKUP($L363,Data_Validation!$A:$D,1,0)</f>
        <v>6425</v>
      </c>
      <c r="U363" s="156" t="str">
        <f>+VLOOKUP($L363,Data_Validation!$A:$D,3,0)</f>
        <v>Service</v>
      </c>
      <c r="V363" s="156" t="str">
        <f>+VLOOKUP($L363,Data_Validation!$A:$D,4,0)</f>
        <v>Salaires spécialistes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4" t="s">
        <v>1448</v>
      </c>
      <c r="B364" s="1014" t="s">
        <v>2793</v>
      </c>
      <c r="C364" s="1016">
        <v>26087.74</v>
      </c>
      <c r="D364" s="1016">
        <v>14747.25</v>
      </c>
      <c r="E364" s="1016">
        <v>40834.99</v>
      </c>
      <c r="F364" s="1014" t="s">
        <v>401</v>
      </c>
      <c r="G364" s="1014" t="s">
        <v>2641</v>
      </c>
      <c r="H364" s="972"/>
      <c r="I364" s="975"/>
      <c r="J364" s="975"/>
      <c r="K364" s="975"/>
      <c r="L364" s="153" t="str">
        <f t="shared" si="18"/>
        <v>6429</v>
      </c>
      <c r="M364" s="154" t="str">
        <f t="shared" si="19"/>
        <v>SAL.,VACANCE, &amp; SAL. JOURS FER</v>
      </c>
      <c r="N364" s="155">
        <f>+IF(OR($Q364=Parametres!$G$2,$Q364=Parametres!$G$3),I364,C364)</f>
        <v>26087.74</v>
      </c>
      <c r="O364" s="155">
        <f>+IF(OR($Q364=Parametres!$G$2,$Q364=Parametres!$G$3),J364,D364)</f>
        <v>14747.25</v>
      </c>
      <c r="P364" s="155">
        <f>+IF(OR($Q364=Parametres!$G$2,$Q364=Parametres!$G$3),K364,E364)</f>
        <v>40834.99</v>
      </c>
      <c r="Q364" s="154" t="str">
        <f t="shared" si="26"/>
        <v>7-Dépenses</v>
      </c>
      <c r="R364" s="153" t="str">
        <f t="shared" si="26"/>
        <v>6129</v>
      </c>
      <c r="S364" s="154">
        <f t="shared" si="26"/>
        <v>0</v>
      </c>
      <c r="T364" s="156" t="str">
        <f>+VLOOKUP($L364,Data_Validation!$A:$D,1,0)</f>
        <v>6429</v>
      </c>
      <c r="U364" s="156" t="str">
        <f>+VLOOKUP($L364,Data_Validation!$A:$D,3,0)</f>
        <v>Service</v>
      </c>
      <c r="V364" s="156" t="str">
        <f>+VLOOKUP($L364,Data_Validation!$A:$D,4,0)</f>
        <v>Salaires en absences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4" t="s">
        <v>1252</v>
      </c>
      <c r="B365" s="1014" t="s">
        <v>2732</v>
      </c>
      <c r="C365" s="1016">
        <v>5966.13</v>
      </c>
      <c r="D365" s="1016">
        <v>3039.25</v>
      </c>
      <c r="E365" s="1016">
        <v>9005.3799999999992</v>
      </c>
      <c r="F365" s="1014" t="s">
        <v>401</v>
      </c>
      <c r="G365" s="1014" t="s">
        <v>2586</v>
      </c>
      <c r="H365" s="972"/>
      <c r="I365" s="975"/>
      <c r="J365" s="975"/>
      <c r="K365" s="975"/>
      <c r="L365" s="153" t="str">
        <f t="shared" si="18"/>
        <v>6431</v>
      </c>
      <c r="M365" s="154" t="str">
        <f t="shared" si="19"/>
        <v>CSST</v>
      </c>
      <c r="N365" s="155">
        <f>+IF(OR($Q365=Parametres!$G$2,$Q365=Parametres!$G$3),I365,C365)</f>
        <v>5966.13</v>
      </c>
      <c r="O365" s="155">
        <f>+IF(OR($Q365=Parametres!$G$2,$Q365=Parametres!$G$3),J365,D365)</f>
        <v>3039.25</v>
      </c>
      <c r="P365" s="155">
        <f>+IF(OR($Q365=Parametres!$G$2,$Q365=Parametres!$G$3),K365,E365)</f>
        <v>9005.3799999999992</v>
      </c>
      <c r="Q365" s="154" t="str">
        <f t="shared" si="26"/>
        <v>7-Dépenses</v>
      </c>
      <c r="R365" s="153" t="str">
        <f t="shared" si="26"/>
        <v>6131</v>
      </c>
      <c r="S365" s="154">
        <f t="shared" si="26"/>
        <v>0</v>
      </c>
      <c r="T365" s="156" t="str">
        <f>+VLOOKUP($L365,Data_Validation!$A:$D,1,0)</f>
        <v>6431</v>
      </c>
      <c r="U365" s="156" t="str">
        <f>+VLOOKUP($L365,Data_Validation!$A:$D,3,0)</f>
        <v>Service</v>
      </c>
      <c r="V365" s="156" t="str">
        <f>+VLOOKUP($L365,Data_Validation!$A:$D,4,0)</f>
        <v>Csst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4" t="s">
        <v>1283</v>
      </c>
      <c r="B366" s="1014" t="s">
        <v>2779</v>
      </c>
      <c r="C366" s="1016">
        <v>21670.3</v>
      </c>
      <c r="D366" s="1016">
        <v>12147.63</v>
      </c>
      <c r="E366" s="1016">
        <v>33817.93</v>
      </c>
      <c r="F366" s="1014" t="s">
        <v>401</v>
      </c>
      <c r="G366" s="1014" t="s">
        <v>2685</v>
      </c>
      <c r="H366" s="972"/>
      <c r="I366" s="975"/>
      <c r="J366" s="975"/>
      <c r="K366" s="975"/>
      <c r="L366" s="153" t="str">
        <f t="shared" si="18"/>
        <v>6432</v>
      </c>
      <c r="M366" s="154" t="str">
        <f t="shared" si="19"/>
        <v>RRQ RAMQ AC</v>
      </c>
      <c r="N366" s="155">
        <f>+IF(OR($Q366=Parametres!$G$2,$Q366=Parametres!$G$3),I366,C366)</f>
        <v>21670.3</v>
      </c>
      <c r="O366" s="155">
        <f>+IF(OR($Q366=Parametres!$G$2,$Q366=Parametres!$G$3),J366,D366)</f>
        <v>12147.63</v>
      </c>
      <c r="P366" s="155">
        <f>+IF(OR($Q366=Parametres!$G$2,$Q366=Parametres!$G$3),K366,E366)</f>
        <v>33817.93</v>
      </c>
      <c r="Q366" s="154" t="str">
        <f t="shared" si="26"/>
        <v>7-Dépenses</v>
      </c>
      <c r="R366" s="153" t="str">
        <f t="shared" si="26"/>
        <v>6132</v>
      </c>
      <c r="S366" s="154">
        <f t="shared" si="26"/>
        <v>0</v>
      </c>
      <c r="T366" s="156" t="str">
        <f>+VLOOKUP($L366,Data_Validation!$A:$D,1,0)</f>
        <v>6432</v>
      </c>
      <c r="U366" s="156" t="str">
        <f>+VLOOKUP($L366,Data_Validation!$A:$D,3,0)</f>
        <v>Service</v>
      </c>
      <c r="V366" s="156" t="str">
        <f>+VLOOKUP($L366,Data_Validation!$A:$D,4,0)</f>
        <v>Déduction à la source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4" t="s">
        <v>1305</v>
      </c>
      <c r="B367" s="1014" t="s">
        <v>2742</v>
      </c>
      <c r="C367" s="1016">
        <v>15646.2</v>
      </c>
      <c r="D367" s="1016">
        <v>8436.59</v>
      </c>
      <c r="E367" s="1016">
        <v>24082.79</v>
      </c>
      <c r="F367" s="1014" t="s">
        <v>401</v>
      </c>
      <c r="G367" s="1014" t="s">
        <v>2694</v>
      </c>
      <c r="H367" s="972"/>
      <c r="I367" s="975"/>
      <c r="J367" s="975"/>
      <c r="K367" s="975"/>
      <c r="L367" s="153" t="str">
        <f t="shared" si="18"/>
        <v>6439</v>
      </c>
      <c r="M367" s="154" t="str">
        <f t="shared" si="19"/>
        <v>ASSURANCE GROUPE</v>
      </c>
      <c r="N367" s="155">
        <f>+IF(OR($Q367=Parametres!$G$2,$Q367=Parametres!$G$3),I367,C367)</f>
        <v>15646.2</v>
      </c>
      <c r="O367" s="155">
        <f>+IF(OR($Q367=Parametres!$G$2,$Q367=Parametres!$G$3),J367,D367)</f>
        <v>8436.59</v>
      </c>
      <c r="P367" s="155">
        <f>+IF(OR($Q367=Parametres!$G$2,$Q367=Parametres!$G$3),K367,E367)</f>
        <v>24082.79</v>
      </c>
      <c r="Q367" s="154" t="str">
        <f t="shared" si="26"/>
        <v>7-Dépenses</v>
      </c>
      <c r="R367" s="153" t="str">
        <f t="shared" si="26"/>
        <v>6139</v>
      </c>
      <c r="S367" s="154">
        <f t="shared" si="26"/>
        <v>0</v>
      </c>
      <c r="T367" s="156" t="str">
        <f>+VLOOKUP($L367,Data_Validation!$A:$D,1,0)</f>
        <v>6439</v>
      </c>
      <c r="U367" s="156" t="str">
        <f>+VLOOKUP($L367,Data_Validation!$A:$D,3,0)</f>
        <v>Service</v>
      </c>
      <c r="V367" s="156" t="str">
        <f>+VLOOKUP($L367,Data_Validation!$A:$D,4,0)</f>
        <v>Bénéfices marginaux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4" t="s">
        <v>1157</v>
      </c>
      <c r="B368" s="1014" t="s">
        <v>2655</v>
      </c>
      <c r="C368" s="1016">
        <v>820</v>
      </c>
      <c r="D368" s="1016">
        <v>420</v>
      </c>
      <c r="E368" s="1016">
        <v>1240</v>
      </c>
      <c r="F368" s="1014" t="s">
        <v>401</v>
      </c>
      <c r="G368" s="1014" t="s">
        <v>2563</v>
      </c>
      <c r="H368" s="972"/>
      <c r="I368" s="975"/>
      <c r="J368" s="975"/>
      <c r="K368" s="975"/>
      <c r="L368" s="153" t="str">
        <f t="shared" si="18"/>
        <v>6442</v>
      </c>
      <c r="M368" s="154" t="str">
        <f t="shared" si="19"/>
        <v>FOURNITURES &amp; PETITS OUTILS</v>
      </c>
      <c r="N368" s="155">
        <f>+IF(OR($Q368=Parametres!$G$2,$Q368=Parametres!$G$3),I368,C368)</f>
        <v>820</v>
      </c>
      <c r="O368" s="155">
        <f>+IF(OR($Q368=Parametres!$G$2,$Q368=Parametres!$G$3),J368,D368)</f>
        <v>420</v>
      </c>
      <c r="P368" s="155">
        <f>+IF(OR($Q368=Parametres!$G$2,$Q368=Parametres!$G$3),K368,E368)</f>
        <v>1240</v>
      </c>
      <c r="Q368" s="154" t="str">
        <f t="shared" si="26"/>
        <v>7-Dépenses</v>
      </c>
      <c r="R368" s="153" t="str">
        <f t="shared" si="26"/>
        <v>6142</v>
      </c>
      <c r="S368" s="154">
        <f t="shared" si="26"/>
        <v>0</v>
      </c>
      <c r="T368" s="156" t="str">
        <f>+VLOOKUP($L368,Data_Validation!$A:$D,1,0)</f>
        <v>6442</v>
      </c>
      <c r="U368" s="156" t="str">
        <f>+VLOOKUP($L368,Data_Validation!$A:$D,3,0)</f>
        <v>Service</v>
      </c>
      <c r="V368" s="156" t="str">
        <f>+VLOOKUP($L368,Data_Validation!$A:$D,4,0)</f>
        <v>Fournitures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4" t="s">
        <v>932</v>
      </c>
      <c r="B369" s="1014" t="s">
        <v>2158</v>
      </c>
      <c r="C369" s="1016">
        <v>2600</v>
      </c>
      <c r="D369" s="1016">
        <v>1300</v>
      </c>
      <c r="E369" s="1016">
        <v>3900</v>
      </c>
      <c r="F369" s="1014" t="s">
        <v>401</v>
      </c>
      <c r="G369" s="1014" t="s">
        <v>2159</v>
      </c>
      <c r="H369" s="972"/>
      <c r="I369" s="975"/>
      <c r="J369" s="975"/>
      <c r="K369" s="975"/>
      <c r="L369" s="153" t="str">
        <f t="shared" si="18"/>
        <v>6443</v>
      </c>
      <c r="M369" s="154" t="str">
        <f t="shared" si="19"/>
        <v>UNIFORMES &amp; LESSIVE</v>
      </c>
      <c r="N369" s="155">
        <f>+IF(OR($Q369=Parametres!$G$2,$Q369=Parametres!$G$3),I369,C369)</f>
        <v>2600</v>
      </c>
      <c r="O369" s="155">
        <f>+IF(OR($Q369=Parametres!$G$2,$Q369=Parametres!$G$3),J369,D369)</f>
        <v>1300</v>
      </c>
      <c r="P369" s="155">
        <f>+IF(OR($Q369=Parametres!$G$2,$Q369=Parametres!$G$3),K369,E369)</f>
        <v>3900</v>
      </c>
      <c r="Q369" s="154" t="str">
        <f t="shared" si="26"/>
        <v>7-Dépenses</v>
      </c>
      <c r="R369" s="153" t="str">
        <f t="shared" si="26"/>
        <v>6143</v>
      </c>
      <c r="S369" s="154">
        <f t="shared" si="26"/>
        <v>0</v>
      </c>
      <c r="T369" s="156" t="str">
        <f>+VLOOKUP($L369,Data_Validation!$A:$D,1,0)</f>
        <v>6443</v>
      </c>
      <c r="U369" s="156" t="str">
        <f>+VLOOKUP($L369,Data_Validation!$A:$D,3,0)</f>
        <v>Service</v>
      </c>
      <c r="V369" s="156" t="str">
        <f>+VLOOKUP($L369,Data_Validation!$A:$D,4,0)</f>
        <v>Uniformes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4" t="s">
        <v>934</v>
      </c>
      <c r="B370" s="1014" t="s">
        <v>2572</v>
      </c>
      <c r="C370" s="1016">
        <v>5573.34</v>
      </c>
      <c r="D370" s="1016">
        <v>2786.67</v>
      </c>
      <c r="E370" s="1016">
        <v>8360.01</v>
      </c>
      <c r="F370" s="1014" t="s">
        <v>401</v>
      </c>
      <c r="G370" s="1014" t="s">
        <v>2561</v>
      </c>
      <c r="H370" s="972"/>
      <c r="I370" s="975"/>
      <c r="J370" s="975"/>
      <c r="K370" s="975"/>
      <c r="L370" s="153" t="str">
        <f t="shared" si="18"/>
        <v>6444</v>
      </c>
      <c r="M370" s="154" t="str">
        <f t="shared" si="19"/>
        <v>FORMATION</v>
      </c>
      <c r="N370" s="155">
        <f>+IF(OR($Q370=Parametres!$G$2,$Q370=Parametres!$G$3),I370,C370)</f>
        <v>5573.34</v>
      </c>
      <c r="O370" s="155">
        <f>+IF(OR($Q370=Parametres!$G$2,$Q370=Parametres!$G$3),J370,D370)</f>
        <v>2786.67</v>
      </c>
      <c r="P370" s="155">
        <f>+IF(OR($Q370=Parametres!$G$2,$Q370=Parametres!$G$3),K370,E370)</f>
        <v>8360.01</v>
      </c>
      <c r="Q370" s="154" t="str">
        <f t="shared" ref="Q370:S385" si="27">+F370</f>
        <v>7-Dépenses</v>
      </c>
      <c r="R370" s="153" t="str">
        <f t="shared" si="27"/>
        <v>6144</v>
      </c>
      <c r="S370" s="154">
        <f t="shared" si="27"/>
        <v>0</v>
      </c>
      <c r="T370" s="156" t="str">
        <f>+VLOOKUP($L370,Data_Validation!$A:$D,1,0)</f>
        <v>6444</v>
      </c>
      <c r="U370" s="156" t="str">
        <f>+VLOOKUP($L370,Data_Validation!$A:$D,3,0)</f>
        <v>Service</v>
      </c>
      <c r="V370" s="156" t="str">
        <f>+VLOOKUP($L370,Data_Validation!$A:$D,4,0)</f>
        <v>Formation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4" t="s">
        <v>1527</v>
      </c>
      <c r="B371" s="1014" t="s">
        <v>2801</v>
      </c>
      <c r="C371" s="1016">
        <v>21901.83</v>
      </c>
      <c r="D371" s="1016">
        <v>12606.24</v>
      </c>
      <c r="E371" s="1016">
        <v>34508.07</v>
      </c>
      <c r="F371" s="1014" t="s">
        <v>401</v>
      </c>
      <c r="G371" s="1014" t="s">
        <v>2632</v>
      </c>
      <c r="H371" s="972"/>
      <c r="I371" s="975"/>
      <c r="J371" s="975"/>
      <c r="K371" s="975"/>
      <c r="L371" s="153" t="str">
        <f t="shared" si="18"/>
        <v>6445</v>
      </c>
      <c r="M371" s="154" t="str">
        <f t="shared" si="19"/>
        <v>LOCATION COURTOISIE</v>
      </c>
      <c r="N371" s="155">
        <f>+IF(OR($Q371=Parametres!$G$2,$Q371=Parametres!$G$3),I371,C371)</f>
        <v>21901.83</v>
      </c>
      <c r="O371" s="155">
        <f>+IF(OR($Q371=Parametres!$G$2,$Q371=Parametres!$G$3),J371,D371)</f>
        <v>12606.24</v>
      </c>
      <c r="P371" s="155">
        <f>+IF(OR($Q371=Parametres!$G$2,$Q371=Parametres!$G$3),K371,E371)</f>
        <v>34508.07</v>
      </c>
      <c r="Q371" s="154" t="str">
        <f t="shared" si="27"/>
        <v>7-Dépenses</v>
      </c>
      <c r="R371" s="153" t="str">
        <f t="shared" si="27"/>
        <v>6145</v>
      </c>
      <c r="S371" s="154">
        <f t="shared" si="27"/>
        <v>0</v>
      </c>
      <c r="T371" s="156" t="str">
        <f>+VLOOKUP($L371,Data_Validation!$A:$D,1,0)</f>
        <v>6445</v>
      </c>
      <c r="U371" s="156" t="str">
        <f>+VLOOKUP($L371,Data_Validation!$A:$D,3,0)</f>
        <v>Service</v>
      </c>
      <c r="V371" s="156" t="str">
        <f>+VLOOKUP($L371,Data_Validation!$A:$D,4,0)</f>
        <v>Frais véhicules de cie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4" t="s">
        <v>1180</v>
      </c>
      <c r="B372" s="1014" t="s">
        <v>2609</v>
      </c>
      <c r="C372" s="1016">
        <v>367.53</v>
      </c>
      <c r="D372" s="1016">
        <v>52.75</v>
      </c>
      <c r="E372" s="1016">
        <v>420.28</v>
      </c>
      <c r="F372" s="1014" t="s">
        <v>401</v>
      </c>
      <c r="G372" s="1014" t="s">
        <v>2581</v>
      </c>
      <c r="H372" s="972"/>
      <c r="I372" s="975"/>
      <c r="J372" s="975"/>
      <c r="K372" s="975"/>
      <c r="L372" s="153" t="str">
        <f t="shared" si="18"/>
        <v>6447</v>
      </c>
      <c r="M372" s="154" t="str">
        <f t="shared" si="19"/>
        <v>FRET/EXPRESS/TRANS. PAR CAMION</v>
      </c>
      <c r="N372" s="155">
        <f>+IF(OR($Q372=Parametres!$G$2,$Q372=Parametres!$G$3),I372,C372)</f>
        <v>367.53</v>
      </c>
      <c r="O372" s="155">
        <f>+IF(OR($Q372=Parametres!$G$2,$Q372=Parametres!$G$3),J372,D372)</f>
        <v>52.75</v>
      </c>
      <c r="P372" s="155">
        <f>+IF(OR($Q372=Parametres!$G$2,$Q372=Parametres!$G$3),K372,E372)</f>
        <v>420.28</v>
      </c>
      <c r="Q372" s="154" t="str">
        <f t="shared" si="27"/>
        <v>7-Dépenses</v>
      </c>
      <c r="R372" s="153" t="str">
        <f t="shared" si="27"/>
        <v>6147</v>
      </c>
      <c r="S372" s="154">
        <f t="shared" si="27"/>
        <v>0</v>
      </c>
      <c r="T372" s="156" t="str">
        <f>+VLOOKUP($L372,Data_Validation!$A:$D,1,0)</f>
        <v>6447</v>
      </c>
      <c r="U372" s="156" t="str">
        <f>+VLOOKUP($L372,Data_Validation!$A:$D,3,0)</f>
        <v>Service</v>
      </c>
      <c r="V372" s="156" t="str">
        <f>+VLOOKUP($L372,Data_Validation!$A:$D,4,0)</f>
        <v>Frais postaux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4" t="s">
        <v>1286</v>
      </c>
      <c r="B373" s="1014" t="s">
        <v>2745</v>
      </c>
      <c r="C373" s="1016">
        <v>6762.78</v>
      </c>
      <c r="D373" s="1016">
        <v>4526.45</v>
      </c>
      <c r="E373" s="1016">
        <v>11289.23</v>
      </c>
      <c r="F373" s="1014" t="s">
        <v>401</v>
      </c>
      <c r="G373" s="1014" t="s">
        <v>2702</v>
      </c>
      <c r="H373" s="972"/>
      <c r="I373" s="975"/>
      <c r="J373" s="975"/>
      <c r="K373" s="975"/>
      <c r="L373" s="153" t="str">
        <f t="shared" si="18"/>
        <v>6451</v>
      </c>
      <c r="M373" s="154" t="str">
        <f t="shared" si="19"/>
        <v>DEP. DU TRAITEMENT DES DONNEES</v>
      </c>
      <c r="N373" s="155">
        <f>+IF(OR($Q373=Parametres!$G$2,$Q373=Parametres!$G$3),I373,C373)</f>
        <v>6762.78</v>
      </c>
      <c r="O373" s="155">
        <f>+IF(OR($Q373=Parametres!$G$2,$Q373=Parametres!$G$3),J373,D373)</f>
        <v>4526.45</v>
      </c>
      <c r="P373" s="155">
        <f>+IF(OR($Q373=Parametres!$G$2,$Q373=Parametres!$G$3),K373,E373)</f>
        <v>11289.23</v>
      </c>
      <c r="Q373" s="154" t="str">
        <f t="shared" si="27"/>
        <v>7-Dépenses</v>
      </c>
      <c r="R373" s="153" t="str">
        <f t="shared" si="27"/>
        <v>6151</v>
      </c>
      <c r="S373" s="154">
        <f t="shared" si="27"/>
        <v>0</v>
      </c>
      <c r="T373" s="156" t="str">
        <f>+VLOOKUP($L373,Data_Validation!$A:$D,1,0)</f>
        <v>6451</v>
      </c>
      <c r="U373" s="156" t="str">
        <f>+VLOOKUP($L373,Data_Validation!$A:$D,3,0)</f>
        <v>Service</v>
      </c>
      <c r="V373" s="156" t="str">
        <f>+VLOOKUP($L373,Data_Validation!$A:$D,4,0)</f>
        <v>Informatique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4" t="s">
        <v>1206</v>
      </c>
      <c r="B374" s="1014" t="s">
        <v>2644</v>
      </c>
      <c r="C374" s="1016">
        <v>888</v>
      </c>
      <c r="D374" s="1016">
        <v>444</v>
      </c>
      <c r="E374" s="1016">
        <v>1332</v>
      </c>
      <c r="F374" s="1014" t="s">
        <v>401</v>
      </c>
      <c r="G374" s="1014" t="s">
        <v>2588</v>
      </c>
      <c r="H374" s="972"/>
      <c r="I374" s="975"/>
      <c r="J374" s="975"/>
      <c r="K374" s="975"/>
      <c r="L374" s="153" t="str">
        <f t="shared" si="18"/>
        <v>6452</v>
      </c>
      <c r="M374" s="154" t="str">
        <f t="shared" si="19"/>
        <v>PAPETERIE</v>
      </c>
      <c r="N374" s="155">
        <f>+IF(OR($Q374=Parametres!$G$2,$Q374=Parametres!$G$3),I374,C374)</f>
        <v>888</v>
      </c>
      <c r="O374" s="155">
        <f>+IF(OR($Q374=Parametres!$G$2,$Q374=Parametres!$G$3),J374,D374)</f>
        <v>444</v>
      </c>
      <c r="P374" s="155">
        <f>+IF(OR($Q374=Parametres!$G$2,$Q374=Parametres!$G$3),K374,E374)</f>
        <v>1332</v>
      </c>
      <c r="Q374" s="154" t="str">
        <f t="shared" si="27"/>
        <v>7-Dépenses</v>
      </c>
      <c r="R374" s="153" t="str">
        <f t="shared" si="27"/>
        <v>6152</v>
      </c>
      <c r="S374" s="154">
        <f t="shared" si="27"/>
        <v>0</v>
      </c>
      <c r="T374" s="156" t="str">
        <f>+VLOOKUP($L374,Data_Validation!$A:$D,1,0)</f>
        <v>6452</v>
      </c>
      <c r="U374" s="156" t="str">
        <f>+VLOOKUP($L374,Data_Validation!$A:$D,3,0)</f>
        <v>Service</v>
      </c>
      <c r="V374" s="156" t="str">
        <f>+VLOOKUP($L374,Data_Validation!$A:$D,4,0)</f>
        <v>Papeterie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4" t="s">
        <v>1154</v>
      </c>
      <c r="B375" s="1014" t="s">
        <v>2645</v>
      </c>
      <c r="C375" s="1016">
        <v>1012.38</v>
      </c>
      <c r="D375" s="1016">
        <v>585.75</v>
      </c>
      <c r="E375" s="1016">
        <v>1598.13</v>
      </c>
      <c r="F375" s="1014" t="s">
        <v>401</v>
      </c>
      <c r="G375" s="1014" t="s">
        <v>2592</v>
      </c>
      <c r="H375" s="972"/>
      <c r="I375" s="975"/>
      <c r="J375" s="975"/>
      <c r="K375" s="975"/>
      <c r="L375" s="153" t="str">
        <f t="shared" si="18"/>
        <v>6453</v>
      </c>
      <c r="M375" s="154" t="str">
        <f t="shared" si="19"/>
        <v>TELEPHONE ET TELEX</v>
      </c>
      <c r="N375" s="155">
        <f>+IF(OR($Q375=Parametres!$G$2,$Q375=Parametres!$G$3),I375,C375)</f>
        <v>1012.38</v>
      </c>
      <c r="O375" s="155">
        <f>+IF(OR($Q375=Parametres!$G$2,$Q375=Parametres!$G$3),J375,D375)</f>
        <v>585.75</v>
      </c>
      <c r="P375" s="155">
        <f>+IF(OR($Q375=Parametres!$G$2,$Q375=Parametres!$G$3),K375,E375)</f>
        <v>1598.13</v>
      </c>
      <c r="Q375" s="154" t="str">
        <f t="shared" si="27"/>
        <v>7-Dépenses</v>
      </c>
      <c r="R375" s="153" t="str">
        <f t="shared" si="27"/>
        <v>6153</v>
      </c>
      <c r="S375" s="154">
        <f t="shared" si="27"/>
        <v>0</v>
      </c>
      <c r="T375" s="156" t="str">
        <f>+VLOOKUP($L375,Data_Validation!$A:$D,1,0)</f>
        <v>6453</v>
      </c>
      <c r="U375" s="156" t="str">
        <f>+VLOOKUP($L375,Data_Validation!$A:$D,3,0)</f>
        <v>Service</v>
      </c>
      <c r="V375" s="156" t="str">
        <f>+VLOOKUP($L375,Data_Validation!$A:$D,4,0)</f>
        <v>Téléphone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4" t="s">
        <v>1237</v>
      </c>
      <c r="B376" s="1014" t="s">
        <v>2700</v>
      </c>
      <c r="C376" s="1016">
        <v>2695.78</v>
      </c>
      <c r="D376" s="1016">
        <v>1127.5899999999999</v>
      </c>
      <c r="E376" s="1016">
        <v>3823.37</v>
      </c>
      <c r="F376" s="1014" t="s">
        <v>401</v>
      </c>
      <c r="G376" s="1014" t="s">
        <v>2637</v>
      </c>
      <c r="H376" s="972"/>
      <c r="I376" s="975"/>
      <c r="J376" s="975"/>
      <c r="K376" s="975"/>
      <c r="L376" s="153" t="str">
        <f t="shared" si="18"/>
        <v>6455</v>
      </c>
      <c r="M376" s="154" t="str">
        <f t="shared" si="19"/>
        <v>DEPENSES DIVERS</v>
      </c>
      <c r="N376" s="155">
        <f>+IF(OR($Q376=Parametres!$G$2,$Q376=Parametres!$G$3),I376,C376)</f>
        <v>2695.78</v>
      </c>
      <c r="O376" s="155">
        <f>+IF(OR($Q376=Parametres!$G$2,$Q376=Parametres!$G$3),J376,D376)</f>
        <v>1127.5899999999999</v>
      </c>
      <c r="P376" s="155">
        <f>+IF(OR($Q376=Parametres!$G$2,$Q376=Parametres!$G$3),K376,E376)</f>
        <v>3823.37</v>
      </c>
      <c r="Q376" s="154" t="str">
        <f t="shared" si="27"/>
        <v>7-Dépenses</v>
      </c>
      <c r="R376" s="153" t="str">
        <f t="shared" si="27"/>
        <v>6155</v>
      </c>
      <c r="S376" s="154">
        <f t="shared" si="27"/>
        <v>0</v>
      </c>
      <c r="T376" s="156" t="str">
        <f>+VLOOKUP($L376,Data_Validation!$A:$D,1,0)</f>
        <v>6455</v>
      </c>
      <c r="U376" s="156" t="str">
        <f>+VLOOKUP($L376,Data_Validation!$A:$D,3,0)</f>
        <v>Service</v>
      </c>
      <c r="V376" s="156" t="str">
        <f>+VLOOKUP($L376,Data_Validation!$A:$D,4,0)</f>
        <v>Divers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4" t="s">
        <v>1292</v>
      </c>
      <c r="B377" s="1014" t="s">
        <v>2656</v>
      </c>
      <c r="C377" s="1016">
        <v>2916.96</v>
      </c>
      <c r="D377" s="1016">
        <v>1458.48</v>
      </c>
      <c r="E377" s="1016">
        <v>4375.4399999999996</v>
      </c>
      <c r="F377" s="1014" t="s">
        <v>401</v>
      </c>
      <c r="G377" s="1014" t="s">
        <v>2470</v>
      </c>
      <c r="H377" s="972"/>
      <c r="I377" s="975"/>
      <c r="J377" s="975"/>
      <c r="K377" s="975"/>
      <c r="L377" s="153" t="str">
        <f t="shared" si="18"/>
        <v>6456</v>
      </c>
      <c r="M377" s="154" t="str">
        <f t="shared" si="19"/>
        <v>FRAIS REPRESENTATION - SERVICE</v>
      </c>
      <c r="N377" s="155">
        <f>+IF(OR($Q377=Parametres!$G$2,$Q377=Parametres!$G$3),I377,C377)</f>
        <v>2916.96</v>
      </c>
      <c r="O377" s="155">
        <f>+IF(OR($Q377=Parametres!$G$2,$Q377=Parametres!$G$3),J377,D377)</f>
        <v>1458.48</v>
      </c>
      <c r="P377" s="155">
        <f>+IF(OR($Q377=Parametres!$G$2,$Q377=Parametres!$G$3),K377,E377)</f>
        <v>4375.4399999999996</v>
      </c>
      <c r="Q377" s="154" t="str">
        <f t="shared" si="27"/>
        <v>7-Dépenses</v>
      </c>
      <c r="R377" s="153" t="str">
        <f t="shared" si="27"/>
        <v>6156</v>
      </c>
      <c r="S377" s="154">
        <f t="shared" si="27"/>
        <v>0</v>
      </c>
      <c r="T377" s="156" t="str">
        <f>+VLOOKUP($L377,Data_Validation!$A:$D,1,0)</f>
        <v>6456</v>
      </c>
      <c r="U377" s="156" t="str">
        <f>+VLOOKUP($L377,Data_Validation!$A:$D,3,0)</f>
        <v>Service</v>
      </c>
      <c r="V377" s="156" t="str">
        <f>+VLOOKUP($L377,Data_Validation!$A:$D,4,0)</f>
        <v>Frais de déplacement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4" t="s">
        <v>1308</v>
      </c>
      <c r="B378" s="1014" t="s">
        <v>2736</v>
      </c>
      <c r="C378" s="1016">
        <v>19967.8</v>
      </c>
      <c r="D378" s="1016">
        <v>9523.6200000000008</v>
      </c>
      <c r="E378" s="1016">
        <v>29491.42</v>
      </c>
      <c r="F378" s="1014" t="s">
        <v>401</v>
      </c>
      <c r="G378" s="1014" t="s">
        <v>2662</v>
      </c>
      <c r="H378" s="972"/>
      <c r="I378" s="975"/>
      <c r="J378" s="975"/>
      <c r="K378" s="975"/>
      <c r="L378" s="153" t="str">
        <f t="shared" si="18"/>
        <v>6459</v>
      </c>
      <c r="M378" s="154" t="str">
        <f t="shared" si="19"/>
        <v>SERVICE EXTERIEUR</v>
      </c>
      <c r="N378" s="155">
        <f>+IF(OR($Q378=Parametres!$G$2,$Q378=Parametres!$G$3),I378,C378)</f>
        <v>19967.8</v>
      </c>
      <c r="O378" s="155">
        <f>+IF(OR($Q378=Parametres!$G$2,$Q378=Parametres!$G$3),J378,D378)</f>
        <v>9523.6200000000008</v>
      </c>
      <c r="P378" s="155">
        <f>+IF(OR($Q378=Parametres!$G$2,$Q378=Parametres!$G$3),K378,E378)</f>
        <v>29491.42</v>
      </c>
      <c r="Q378" s="154" t="str">
        <f t="shared" si="27"/>
        <v>7-Dépenses</v>
      </c>
      <c r="R378" s="153" t="str">
        <f t="shared" si="27"/>
        <v>6159</v>
      </c>
      <c r="S378" s="154">
        <f t="shared" si="27"/>
        <v>0</v>
      </c>
      <c r="T378" s="156" t="str">
        <f>+VLOOKUP($L378,Data_Validation!$A:$D,1,0)</f>
        <v>6459</v>
      </c>
      <c r="U378" s="156" t="str">
        <f>+VLOOKUP($L378,Data_Validation!$A:$D,3,0)</f>
        <v>Service</v>
      </c>
      <c r="V378" s="156" t="str">
        <f>+VLOOKUP($L378,Data_Validation!$A:$D,4,0)</f>
        <v>Services extérieurs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4" t="s">
        <v>1333</v>
      </c>
      <c r="B379" s="1014" t="s">
        <v>2716</v>
      </c>
      <c r="C379" s="1016">
        <v>4320</v>
      </c>
      <c r="D379" s="1016">
        <v>2160</v>
      </c>
      <c r="E379" s="1016">
        <v>6480</v>
      </c>
      <c r="F379" s="1014" t="s">
        <v>401</v>
      </c>
      <c r="G379" s="1014" t="s">
        <v>2653</v>
      </c>
      <c r="H379" s="972"/>
      <c r="I379" s="975"/>
      <c r="J379" s="975"/>
      <c r="K379" s="975"/>
      <c r="L379" s="153" t="str">
        <f t="shared" si="18"/>
        <v>6461</v>
      </c>
      <c r="M379" s="154" t="str">
        <f t="shared" si="19"/>
        <v>DEPRECIATION EQUIP. &amp; FIXTURES</v>
      </c>
      <c r="N379" s="155">
        <f>+IF(OR($Q379=Parametres!$G$2,$Q379=Parametres!$G$3),I379,C379)</f>
        <v>4320</v>
      </c>
      <c r="O379" s="155">
        <f>+IF(OR($Q379=Parametres!$G$2,$Q379=Parametres!$G$3),J379,D379)</f>
        <v>2160</v>
      </c>
      <c r="P379" s="155">
        <f>+IF(OR($Q379=Parametres!$G$2,$Q379=Parametres!$G$3),K379,E379)</f>
        <v>6480</v>
      </c>
      <c r="Q379" s="154" t="str">
        <f t="shared" si="27"/>
        <v>7-Dépenses</v>
      </c>
      <c r="R379" s="153" t="str">
        <f t="shared" si="27"/>
        <v>6161</v>
      </c>
      <c r="S379" s="154">
        <f t="shared" si="27"/>
        <v>0</v>
      </c>
      <c r="T379" s="156" t="str">
        <f>+VLOOKUP($L379,Data_Validation!$A:$D,1,0)</f>
        <v>6461</v>
      </c>
      <c r="U379" s="156" t="str">
        <f>+VLOOKUP($L379,Data_Validation!$A:$D,3,0)</f>
        <v>Service</v>
      </c>
      <c r="V379" s="156" t="str">
        <f>+VLOOKUP($L379,Data_Validation!$A:$D,4,0)</f>
        <v>Amortissement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4" t="s">
        <v>936</v>
      </c>
      <c r="B380" s="1014" t="s">
        <v>2607</v>
      </c>
      <c r="C380" s="1016">
        <v>592</v>
      </c>
      <c r="D380" s="1016">
        <v>296</v>
      </c>
      <c r="E380" s="1016">
        <v>888</v>
      </c>
      <c r="F380" s="1014" t="s">
        <v>401</v>
      </c>
      <c r="G380" s="1014" t="s">
        <v>2463</v>
      </c>
      <c r="H380" s="972"/>
      <c r="I380" s="975"/>
      <c r="J380" s="975"/>
      <c r="K380" s="975"/>
      <c r="L380" s="153" t="str">
        <f t="shared" si="18"/>
        <v>6462</v>
      </c>
      <c r="M380" s="154" t="str">
        <f t="shared" si="19"/>
        <v>LOCATION D'EQUIPEMENTS</v>
      </c>
      <c r="N380" s="155">
        <f>+IF(OR($Q380=Parametres!$G$2,$Q380=Parametres!$G$3),I380,C380)</f>
        <v>592</v>
      </c>
      <c r="O380" s="155">
        <f>+IF(OR($Q380=Parametres!$G$2,$Q380=Parametres!$G$3),J380,D380)</f>
        <v>296</v>
      </c>
      <c r="P380" s="155">
        <f>+IF(OR($Q380=Parametres!$G$2,$Q380=Parametres!$G$3),K380,E380)</f>
        <v>888</v>
      </c>
      <c r="Q380" s="154" t="str">
        <f t="shared" si="27"/>
        <v>7-Dépenses</v>
      </c>
      <c r="R380" s="153" t="str">
        <f t="shared" si="27"/>
        <v>6162</v>
      </c>
      <c r="S380" s="154">
        <f t="shared" si="27"/>
        <v>0</v>
      </c>
      <c r="T380" s="156" t="str">
        <f>+VLOOKUP($L380,Data_Validation!$A:$D,1,0)</f>
        <v>6462</v>
      </c>
      <c r="U380" s="156" t="str">
        <f>+VLOOKUP($L380,Data_Validation!$A:$D,3,0)</f>
        <v>Service</v>
      </c>
      <c r="V380" s="156" t="str">
        <f>+VLOOKUP($L380,Data_Validation!$A:$D,4,0)</f>
        <v>Location équipement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4" t="s">
        <v>1168</v>
      </c>
      <c r="B381" s="1014" t="s">
        <v>2638</v>
      </c>
      <c r="C381" s="1016">
        <v>1768</v>
      </c>
      <c r="D381" s="1016">
        <v>884</v>
      </c>
      <c r="E381" s="1016">
        <v>2652</v>
      </c>
      <c r="F381" s="1014" t="s">
        <v>401</v>
      </c>
      <c r="G381" s="1014" t="s">
        <v>2639</v>
      </c>
      <c r="H381" s="972"/>
      <c r="I381" s="975"/>
      <c r="J381" s="975"/>
      <c r="K381" s="975"/>
      <c r="L381" s="153" t="str">
        <f t="shared" si="18"/>
        <v>6463</v>
      </c>
      <c r="M381" s="154" t="str">
        <f t="shared" si="19"/>
        <v>REPARATION &amp; ENT. - EQUIP.</v>
      </c>
      <c r="N381" s="155">
        <f>+IF(OR($Q381=Parametres!$G$2,$Q381=Parametres!$G$3),I381,C381)</f>
        <v>1768</v>
      </c>
      <c r="O381" s="155">
        <f>+IF(OR($Q381=Parametres!$G$2,$Q381=Parametres!$G$3),J381,D381)</f>
        <v>884</v>
      </c>
      <c r="P381" s="155">
        <f>+IF(OR($Q381=Parametres!$G$2,$Q381=Parametres!$G$3),K381,E381)</f>
        <v>2652</v>
      </c>
      <c r="Q381" s="154" t="str">
        <f t="shared" si="27"/>
        <v>7-Dépenses</v>
      </c>
      <c r="R381" s="153" t="str">
        <f t="shared" si="27"/>
        <v>6163</v>
      </c>
      <c r="S381" s="154">
        <f t="shared" si="27"/>
        <v>0</v>
      </c>
      <c r="T381" s="156" t="str">
        <f>+VLOOKUP($L381,Data_Validation!$A:$D,1,0)</f>
        <v>6463</v>
      </c>
      <c r="U381" s="156" t="str">
        <f>+VLOOKUP($L381,Data_Validation!$A:$D,3,0)</f>
        <v>Service</v>
      </c>
      <c r="V381" s="156" t="str">
        <f>+VLOOKUP($L381,Data_Validation!$A:$D,4,0)</f>
        <v>Réparation équipement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4" t="s">
        <v>1311</v>
      </c>
      <c r="B382" s="1014" t="s">
        <v>2670</v>
      </c>
      <c r="C382" s="1016">
        <v>1761.6</v>
      </c>
      <c r="D382" s="1016">
        <v>880.8</v>
      </c>
      <c r="E382" s="1016">
        <v>2642.4</v>
      </c>
      <c r="F382" s="1014" t="s">
        <v>401</v>
      </c>
      <c r="G382" s="1014" t="s">
        <v>2604</v>
      </c>
      <c r="H382" s="972"/>
      <c r="I382" s="975"/>
      <c r="J382" s="975"/>
      <c r="K382" s="975"/>
      <c r="L382" s="153" t="str">
        <f t="shared" si="18"/>
        <v>6481</v>
      </c>
      <c r="M382" s="154" t="str">
        <f t="shared" si="19"/>
        <v>CHAUFFAGE,ELECTRICITE,EAU-SERVICE</v>
      </c>
      <c r="N382" s="155">
        <f>+IF(OR($Q382=Parametres!$G$2,$Q382=Parametres!$G$3),I382,C382)</f>
        <v>1761.6</v>
      </c>
      <c r="O382" s="155">
        <f>+IF(OR($Q382=Parametres!$G$2,$Q382=Parametres!$G$3),J382,D382)</f>
        <v>880.8</v>
      </c>
      <c r="P382" s="155">
        <f>+IF(OR($Q382=Parametres!$G$2,$Q382=Parametres!$G$3),K382,E382)</f>
        <v>2642.4</v>
      </c>
      <c r="Q382" s="154" t="str">
        <f t="shared" si="27"/>
        <v>7-Dépenses</v>
      </c>
      <c r="R382" s="153" t="str">
        <f t="shared" si="27"/>
        <v>6181</v>
      </c>
      <c r="S382" s="154">
        <f t="shared" si="27"/>
        <v>0</v>
      </c>
      <c r="T382" s="156" t="str">
        <f>+VLOOKUP($L382,Data_Validation!$A:$D,1,0)</f>
        <v>6481</v>
      </c>
      <c r="U382" s="156" t="str">
        <f>+VLOOKUP($L382,Data_Validation!$A:$D,3,0)</f>
        <v>Service</v>
      </c>
      <c r="V382" s="156" t="str">
        <f>+VLOOKUP($L382,Data_Validation!$A:$D,4,0)</f>
        <v>Chauffage, éclairage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4" t="s">
        <v>1452</v>
      </c>
      <c r="B383" s="1014" t="s">
        <v>2756</v>
      </c>
      <c r="C383" s="1016">
        <v>12480.03</v>
      </c>
      <c r="D383" s="1016">
        <v>6240.04</v>
      </c>
      <c r="E383" s="1016">
        <v>18720.07</v>
      </c>
      <c r="F383" s="1014" t="s">
        <v>401</v>
      </c>
      <c r="G383" s="1014" t="s">
        <v>2709</v>
      </c>
      <c r="H383" s="972"/>
      <c r="I383" s="975"/>
      <c r="J383" s="975"/>
      <c r="K383" s="975"/>
      <c r="L383" s="153" t="str">
        <f t="shared" si="18"/>
        <v>6482</v>
      </c>
      <c r="M383" s="154" t="str">
        <f t="shared" si="19"/>
        <v>LOYER - SERVICE</v>
      </c>
      <c r="N383" s="155">
        <f>+IF(OR($Q383=Parametres!$G$2,$Q383=Parametres!$G$3),I383,C383)</f>
        <v>12480.03</v>
      </c>
      <c r="O383" s="155">
        <f>+IF(OR($Q383=Parametres!$G$2,$Q383=Parametres!$G$3),J383,D383)</f>
        <v>6240.04</v>
      </c>
      <c r="P383" s="155">
        <f>+IF(OR($Q383=Parametres!$G$2,$Q383=Parametres!$G$3),K383,E383)</f>
        <v>18720.07</v>
      </c>
      <c r="Q383" s="154" t="str">
        <f t="shared" si="27"/>
        <v>7-Dépenses</v>
      </c>
      <c r="R383" s="153" t="str">
        <f t="shared" si="27"/>
        <v>6182</v>
      </c>
      <c r="S383" s="154">
        <f t="shared" si="27"/>
        <v>0</v>
      </c>
      <c r="T383" s="156" t="str">
        <f>+VLOOKUP($L383,Data_Validation!$A:$D,1,0)</f>
        <v>6482</v>
      </c>
      <c r="U383" s="156" t="str">
        <f>+VLOOKUP($L383,Data_Validation!$A:$D,3,0)</f>
        <v>Service</v>
      </c>
      <c r="V383" s="156" t="str">
        <f>+VLOOKUP($L383,Data_Validation!$A:$D,4,0)</f>
        <v>Loyer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4" t="s">
        <v>1347</v>
      </c>
      <c r="B384" s="1014" t="s">
        <v>2657</v>
      </c>
      <c r="C384" s="1016">
        <v>720</v>
      </c>
      <c r="D384" s="1016">
        <v>360</v>
      </c>
      <c r="E384" s="1016">
        <v>1080</v>
      </c>
      <c r="F384" s="1014" t="s">
        <v>401</v>
      </c>
      <c r="G384" s="1014" t="s">
        <v>2594</v>
      </c>
      <c r="H384" s="972"/>
      <c r="I384" s="975"/>
      <c r="J384" s="975"/>
      <c r="K384" s="975"/>
      <c r="L384" s="153" t="str">
        <f t="shared" si="18"/>
        <v>6486</v>
      </c>
      <c r="M384" s="154" t="str">
        <f t="shared" si="19"/>
        <v>ASSURANCE BATISSE &amp; AMEL.-SERVICE</v>
      </c>
      <c r="N384" s="155">
        <f>+IF(OR($Q384=Parametres!$G$2,$Q384=Parametres!$G$3),I384,C384)</f>
        <v>720</v>
      </c>
      <c r="O384" s="155">
        <f>+IF(OR($Q384=Parametres!$G$2,$Q384=Parametres!$G$3),J384,D384)</f>
        <v>360</v>
      </c>
      <c r="P384" s="155">
        <f>+IF(OR($Q384=Parametres!$G$2,$Q384=Parametres!$G$3),K384,E384)</f>
        <v>1080</v>
      </c>
      <c r="Q384" s="154" t="str">
        <f t="shared" si="27"/>
        <v>7-Dépenses</v>
      </c>
      <c r="R384" s="153" t="str">
        <f t="shared" si="27"/>
        <v>6186</v>
      </c>
      <c r="S384" s="154">
        <f t="shared" si="27"/>
        <v>0</v>
      </c>
      <c r="T384" s="156" t="str">
        <f>+VLOOKUP($L384,Data_Validation!$A:$D,1,0)</f>
        <v>6486</v>
      </c>
      <c r="U384" s="156" t="str">
        <f>+VLOOKUP($L384,Data_Validation!$A:$D,3,0)</f>
        <v>Service</v>
      </c>
      <c r="V384" s="156" t="str">
        <f>+VLOOKUP($L384,Data_Validation!$A:$D,4,0)</f>
        <v>Assurances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4" t="s">
        <v>1340</v>
      </c>
      <c r="B385" s="1014" t="s">
        <v>2681</v>
      </c>
      <c r="C385" s="1016">
        <v>2256</v>
      </c>
      <c r="D385" s="1016">
        <v>1128</v>
      </c>
      <c r="E385" s="1016">
        <v>3384</v>
      </c>
      <c r="F385" s="1014" t="s">
        <v>401</v>
      </c>
      <c r="G385" s="1014" t="s">
        <v>2614</v>
      </c>
      <c r="H385" s="972"/>
      <c r="I385" s="975"/>
      <c r="J385" s="975"/>
      <c r="K385" s="975"/>
      <c r="L385" s="153" t="str">
        <f t="shared" si="18"/>
        <v>6487</v>
      </c>
      <c r="M385" s="154" t="str">
        <f t="shared" si="19"/>
        <v>TAXES FONCIERES - SERVICE</v>
      </c>
      <c r="N385" s="155">
        <f>+IF(OR($Q385=Parametres!$G$2,$Q385=Parametres!$G$3),I385,C385)</f>
        <v>2256</v>
      </c>
      <c r="O385" s="155">
        <f>+IF(OR($Q385=Parametres!$G$2,$Q385=Parametres!$G$3),J385,D385)</f>
        <v>1128</v>
      </c>
      <c r="P385" s="155">
        <f>+IF(OR($Q385=Parametres!$G$2,$Q385=Parametres!$G$3),K385,E385)</f>
        <v>3384</v>
      </c>
      <c r="Q385" s="154" t="str">
        <f t="shared" si="27"/>
        <v>7-Dépenses</v>
      </c>
      <c r="R385" s="153" t="str">
        <f t="shared" si="27"/>
        <v>6187</v>
      </c>
      <c r="S385" s="154">
        <f t="shared" si="27"/>
        <v>0</v>
      </c>
      <c r="T385" s="156" t="str">
        <f>+VLOOKUP($L385,Data_Validation!$A:$D,1,0)</f>
        <v>6487</v>
      </c>
      <c r="U385" s="156" t="str">
        <f>+VLOOKUP($L385,Data_Validation!$A:$D,3,0)</f>
        <v>Service</v>
      </c>
      <c r="V385" s="156" t="str">
        <f>+VLOOKUP($L385,Data_Validation!$A:$D,4,0)</f>
        <v>Taxes foncières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4" t="s">
        <v>1274</v>
      </c>
      <c r="B386" s="1014" t="s">
        <v>2663</v>
      </c>
      <c r="C386" s="1016">
        <v>1512</v>
      </c>
      <c r="D386" s="1016">
        <v>756</v>
      </c>
      <c r="E386" s="1016">
        <v>2268</v>
      </c>
      <c r="F386" s="1014" t="s">
        <v>401</v>
      </c>
      <c r="G386" s="1014" t="s">
        <v>2597</v>
      </c>
      <c r="H386" s="972"/>
      <c r="I386" s="975"/>
      <c r="J386" s="975"/>
      <c r="K386" s="975"/>
      <c r="L386" s="153" t="str">
        <f t="shared" si="18"/>
        <v>6493</v>
      </c>
      <c r="M386" s="154" t="str">
        <f t="shared" si="19"/>
        <v>AUTRE TAXES-SERVICE</v>
      </c>
      <c r="N386" s="155">
        <f>+IF(OR($Q386=Parametres!$G$2,$Q386=Parametres!$G$3),I386,C386)</f>
        <v>1512</v>
      </c>
      <c r="O386" s="155">
        <f>+IF(OR($Q386=Parametres!$G$2,$Q386=Parametres!$G$3),J386,D386)</f>
        <v>756</v>
      </c>
      <c r="P386" s="155">
        <f>+IF(OR($Q386=Parametres!$G$2,$Q386=Parametres!$G$3),K386,E386)</f>
        <v>2268</v>
      </c>
      <c r="Q386" s="154" t="str">
        <f t="shared" ref="Q386:S401" si="28">+F386</f>
        <v>7-Dépenses</v>
      </c>
      <c r="R386" s="153" t="str">
        <f t="shared" si="28"/>
        <v>6193</v>
      </c>
      <c r="S386" s="154">
        <f t="shared" si="28"/>
        <v>0</v>
      </c>
      <c r="T386" s="156" t="str">
        <f>+VLOOKUP($L386,Data_Validation!$A:$D,1,0)</f>
        <v>6493</v>
      </c>
      <c r="U386" s="156" t="str">
        <f>+VLOOKUP($L386,Data_Validation!$A:$D,3,0)</f>
        <v>Service</v>
      </c>
      <c r="V386" s="156" t="str">
        <f>+VLOOKUP($L386,Data_Validation!$A:$D,4,0)</f>
        <v>Taxes d`affaires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4" t="s">
        <v>1367</v>
      </c>
      <c r="B387" s="1014" t="s">
        <v>2699</v>
      </c>
      <c r="C387" s="1016">
        <v>3852</v>
      </c>
      <c r="D387" s="1016">
        <v>1926</v>
      </c>
      <c r="E387" s="1016">
        <v>5778</v>
      </c>
      <c r="F387" s="1014" t="s">
        <v>401</v>
      </c>
      <c r="G387" s="1014" t="s">
        <v>2635</v>
      </c>
      <c r="H387" s="972"/>
      <c r="I387" s="975"/>
      <c r="J387" s="975"/>
      <c r="K387" s="975"/>
      <c r="L387" s="153" t="str">
        <f t="shared" si="18"/>
        <v>6494</v>
      </c>
      <c r="M387" s="154" t="str">
        <f t="shared" si="19"/>
        <v>FRAIS PROFESSIONNEL-SERVICE</v>
      </c>
      <c r="N387" s="155">
        <f>+IF(OR($Q387=Parametres!$G$2,$Q387=Parametres!$G$3),I387,C387)</f>
        <v>3852</v>
      </c>
      <c r="O387" s="155">
        <f>+IF(OR($Q387=Parametres!$G$2,$Q387=Parametres!$G$3),J387,D387)</f>
        <v>1926</v>
      </c>
      <c r="P387" s="155">
        <f>+IF(OR($Q387=Parametres!$G$2,$Q387=Parametres!$G$3),K387,E387)</f>
        <v>5778</v>
      </c>
      <c r="Q387" s="154" t="str">
        <f t="shared" si="28"/>
        <v>7-Dépenses</v>
      </c>
      <c r="R387" s="153" t="str">
        <f t="shared" si="28"/>
        <v>6194</v>
      </c>
      <c r="S387" s="154">
        <f t="shared" si="28"/>
        <v>0</v>
      </c>
      <c r="T387" s="156" t="str">
        <f>+VLOOKUP($L387,Data_Validation!$A:$D,1,0)</f>
        <v>6494</v>
      </c>
      <c r="U387" s="156" t="str">
        <f>+VLOOKUP($L387,Data_Validation!$A:$D,3,0)</f>
        <v>Service</v>
      </c>
      <c r="V387" s="156" t="str">
        <f>+VLOOKUP($L387,Data_Validation!$A:$D,4,0)</f>
        <v>Honoraires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4" t="s">
        <v>399</v>
      </c>
      <c r="B388" s="1014" t="s">
        <v>2627</v>
      </c>
      <c r="C388" s="1016">
        <v>685.03</v>
      </c>
      <c r="D388" s="1016">
        <v>1858.66</v>
      </c>
      <c r="E388" s="1016">
        <v>2543.69</v>
      </c>
      <c r="F388" s="1014" t="s">
        <v>401</v>
      </c>
      <c r="G388" s="1014" t="s">
        <v>2467</v>
      </c>
      <c r="H388" s="972"/>
      <c r="I388" s="975"/>
      <c r="J388" s="975"/>
      <c r="K388" s="975"/>
      <c r="L388" s="153" t="str">
        <f t="shared" si="18"/>
        <v>6503</v>
      </c>
      <c r="M388" s="154" t="str">
        <f t="shared" si="19"/>
        <v>RELAT. A LA CLIENTELE &amp; AJUST.</v>
      </c>
      <c r="N388" s="155">
        <f>+IF(OR($Q388=Parametres!$G$2,$Q388=Parametres!$G$3),I388,C388)</f>
        <v>685.03</v>
      </c>
      <c r="O388" s="155">
        <f>+IF(OR($Q388=Parametres!$G$2,$Q388=Parametres!$G$3),J388,D388)</f>
        <v>1858.66</v>
      </c>
      <c r="P388" s="155">
        <f>+IF(OR($Q388=Parametres!$G$2,$Q388=Parametres!$G$3),K388,E388)</f>
        <v>2543.69</v>
      </c>
      <c r="Q388" s="154" t="str">
        <f t="shared" si="28"/>
        <v>7-Dépenses</v>
      </c>
      <c r="R388" s="153" t="str">
        <f t="shared" si="28"/>
        <v>6112</v>
      </c>
      <c r="S388" s="154">
        <f t="shared" si="28"/>
        <v>0</v>
      </c>
      <c r="T388" s="156" t="str">
        <f>+VLOOKUP($L388,Data_Validation!$A:$D,1,0)</f>
        <v>6503</v>
      </c>
      <c r="U388" s="156" t="str">
        <f>+VLOOKUP($L388,Data_Validation!$A:$D,3,0)</f>
        <v>Carrosserie</v>
      </c>
      <c r="V388" s="156" t="str">
        <f>+VLOOKUP($L388,Data_Validation!$A:$D,4,0)</f>
        <v>Service gratuit 2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4" t="s">
        <v>1259</v>
      </c>
      <c r="B389" s="1014" t="s">
        <v>2647</v>
      </c>
      <c r="C389" s="1016">
        <v>3221.7</v>
      </c>
      <c r="D389" s="1016">
        <v>504.19</v>
      </c>
      <c r="E389" s="1016">
        <v>3725.89</v>
      </c>
      <c r="F389" s="1014" t="s">
        <v>401</v>
      </c>
      <c r="G389" s="1014" t="s">
        <v>2648</v>
      </c>
      <c r="H389" s="972"/>
      <c r="I389" s="975"/>
      <c r="J389" s="975"/>
      <c r="K389" s="975"/>
      <c r="L389" s="153" t="str">
        <f t="shared" si="18"/>
        <v>6521</v>
      </c>
      <c r="M389" s="154" t="str">
        <f t="shared" si="19"/>
        <v>SALAIRES - PROPRIETAIRES</v>
      </c>
      <c r="N389" s="155">
        <f>+IF(OR($Q389=Parametres!$G$2,$Q389=Parametres!$G$3),I389,C389)</f>
        <v>3221.7</v>
      </c>
      <c r="O389" s="155">
        <f>+IF(OR($Q389=Parametres!$G$2,$Q389=Parametres!$G$3),J389,D389)</f>
        <v>504.19</v>
      </c>
      <c r="P389" s="155">
        <f>+IF(OR($Q389=Parametres!$G$2,$Q389=Parametres!$G$3),K389,E389)</f>
        <v>3725.89</v>
      </c>
      <c r="Q389" s="154" t="str">
        <f t="shared" si="28"/>
        <v>7-Dépenses</v>
      </c>
      <c r="R389" s="153" t="str">
        <f t="shared" si="28"/>
        <v>6121</v>
      </c>
      <c r="S389" s="154">
        <f t="shared" si="28"/>
        <v>0</v>
      </c>
      <c r="T389" s="156" t="str">
        <f>+VLOOKUP($L389,Data_Validation!$A:$D,1,0)</f>
        <v>6521</v>
      </c>
      <c r="U389" s="156" t="str">
        <f>+VLOOKUP($L389,Data_Validation!$A:$D,3,0)</f>
        <v>Carrosserie</v>
      </c>
      <c r="V389" s="156" t="str">
        <f>+VLOOKUP($L389,Data_Validation!$A:$D,4,0)</f>
        <v>Salaires propriétaire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4" t="s">
        <v>2624</v>
      </c>
      <c r="B390" s="1014" t="s">
        <v>2625</v>
      </c>
      <c r="C390" s="1016">
        <v>1167.94</v>
      </c>
      <c r="D390" s="1016">
        <v>141.69</v>
      </c>
      <c r="E390" s="1016">
        <v>1309.6300000000001</v>
      </c>
      <c r="F390" s="1014" t="s">
        <v>401</v>
      </c>
      <c r="G390" s="1014" t="s">
        <v>2626</v>
      </c>
      <c r="H390" s="972"/>
      <c r="I390" s="975"/>
      <c r="J390" s="975"/>
      <c r="K390" s="975"/>
      <c r="L390" s="153" t="str">
        <f t="shared" si="18"/>
        <v>6522</v>
      </c>
      <c r="M390" s="154" t="str">
        <f t="shared" si="19"/>
        <v>SAL SUPERVISION / GERANT</v>
      </c>
      <c r="N390" s="155">
        <f>+IF(OR($Q390=Parametres!$G$2,$Q390=Parametres!$G$3),I390,C390)</f>
        <v>1167.94</v>
      </c>
      <c r="O390" s="155">
        <f>+IF(OR($Q390=Parametres!$G$2,$Q390=Parametres!$G$3),J390,D390)</f>
        <v>141.69</v>
      </c>
      <c r="P390" s="155">
        <f>+IF(OR($Q390=Parametres!$G$2,$Q390=Parametres!$G$3),K390,E390)</f>
        <v>1309.6300000000001</v>
      </c>
      <c r="Q390" s="154" t="str">
        <f t="shared" si="28"/>
        <v>7-Dépenses</v>
      </c>
      <c r="R390" s="153" t="str">
        <f t="shared" si="28"/>
        <v>6122</v>
      </c>
      <c r="S390" s="154">
        <f t="shared" si="28"/>
        <v>0</v>
      </c>
      <c r="T390" s="156" t="str">
        <f>+VLOOKUP($L390,Data_Validation!$A:$D,1,0)</f>
        <v>6522</v>
      </c>
      <c r="U390" s="156" t="str">
        <f>+VLOOKUP($L390,Data_Validation!$A:$D,3,0)</f>
        <v>Carrosserie</v>
      </c>
      <c r="V390" s="156" t="str">
        <f>+VLOOKUP($L390,Data_Validation!$A:$D,4,0)</f>
        <v>Salaires cadres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4" t="s">
        <v>1266</v>
      </c>
      <c r="B391" s="1014" t="s">
        <v>2678</v>
      </c>
      <c r="C391" s="1016">
        <v>2231.66</v>
      </c>
      <c r="D391" s="1016">
        <v>920.51</v>
      </c>
      <c r="E391" s="1016">
        <v>3152.17</v>
      </c>
      <c r="F391" s="1014" t="s">
        <v>401</v>
      </c>
      <c r="G391" s="1014" t="s">
        <v>2679</v>
      </c>
      <c r="H391" s="972"/>
      <c r="I391" s="975"/>
      <c r="J391" s="975"/>
      <c r="K391" s="975"/>
      <c r="L391" s="153" t="str">
        <f t="shared" si="18"/>
        <v>6523</v>
      </c>
      <c r="M391" s="154" t="str">
        <f t="shared" si="19"/>
        <v>SAL. &amp; RENUM. CLERICAL</v>
      </c>
      <c r="N391" s="155">
        <f>+IF(OR($Q391=Parametres!$G$2,$Q391=Parametres!$G$3),I391,C391)</f>
        <v>2231.66</v>
      </c>
      <c r="O391" s="155">
        <f>+IF(OR($Q391=Parametres!$G$2,$Q391=Parametres!$G$3),J391,D391)</f>
        <v>920.51</v>
      </c>
      <c r="P391" s="155">
        <f>+IF(OR($Q391=Parametres!$G$2,$Q391=Parametres!$G$3),K391,E391)</f>
        <v>3152.17</v>
      </c>
      <c r="Q391" s="154" t="str">
        <f t="shared" si="28"/>
        <v>7-Dépenses</v>
      </c>
      <c r="R391" s="153" t="str">
        <f t="shared" si="28"/>
        <v>6123</v>
      </c>
      <c r="S391" s="154">
        <f t="shared" si="28"/>
        <v>0</v>
      </c>
      <c r="T391" s="156" t="str">
        <f>+VLOOKUP($L391,Data_Validation!$A:$D,1,0)</f>
        <v>6523</v>
      </c>
      <c r="U391" s="156" t="str">
        <f>+VLOOKUP($L391,Data_Validation!$A:$D,3,0)</f>
        <v>Carrosserie</v>
      </c>
      <c r="V391" s="156" t="str">
        <f>+VLOOKUP($L391,Data_Validation!$A:$D,4,0)</f>
        <v>Salaires commis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4" t="s">
        <v>1249</v>
      </c>
      <c r="B392" s="1014" t="s">
        <v>2734</v>
      </c>
      <c r="C392" s="1016">
        <v>7526.74</v>
      </c>
      <c r="D392" s="1016">
        <v>5321.42</v>
      </c>
      <c r="E392" s="1016">
        <v>12848.16</v>
      </c>
      <c r="F392" s="1014" t="s">
        <v>401</v>
      </c>
      <c r="G392" s="1014" t="s">
        <v>2735</v>
      </c>
      <c r="H392" s="972"/>
      <c r="I392" s="975"/>
      <c r="J392" s="975"/>
      <c r="K392" s="975"/>
      <c r="L392" s="153" t="str">
        <f t="shared" si="18"/>
        <v>6524</v>
      </c>
      <c r="M392" s="154" t="str">
        <f t="shared" si="19"/>
        <v>SALAIRES &amp; RENUM. - AUTRES</v>
      </c>
      <c r="N392" s="155">
        <f>+IF(OR($Q392=Parametres!$G$2,$Q392=Parametres!$G$3),I392,C392)</f>
        <v>7526.74</v>
      </c>
      <c r="O392" s="155">
        <f>+IF(OR($Q392=Parametres!$G$2,$Q392=Parametres!$G$3),J392,D392)</f>
        <v>5321.42</v>
      </c>
      <c r="P392" s="155">
        <f>+IF(OR($Q392=Parametres!$G$2,$Q392=Parametres!$G$3),K392,E392)</f>
        <v>12848.16</v>
      </c>
      <c r="Q392" s="154" t="str">
        <f t="shared" si="28"/>
        <v>7-Dépenses</v>
      </c>
      <c r="R392" s="153" t="str">
        <f t="shared" si="28"/>
        <v>6124</v>
      </c>
      <c r="S392" s="154">
        <f t="shared" si="28"/>
        <v>0</v>
      </c>
      <c r="T392" s="156" t="str">
        <f>+VLOOKUP($L392,Data_Validation!$A:$D,1,0)</f>
        <v>6524</v>
      </c>
      <c r="U392" s="156" t="str">
        <f>+VLOOKUP($L392,Data_Validation!$A:$D,3,0)</f>
        <v>Carrosserie</v>
      </c>
      <c r="V392" s="156" t="str">
        <f>+VLOOKUP($L392,Data_Validation!$A:$D,4,0)</f>
        <v>Salaires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4" t="s">
        <v>1330</v>
      </c>
      <c r="B393" s="1014" t="s">
        <v>2720</v>
      </c>
      <c r="C393" s="1016">
        <v>9826.32</v>
      </c>
      <c r="D393" s="1016">
        <v>5668.2</v>
      </c>
      <c r="E393" s="1016">
        <v>15494.52</v>
      </c>
      <c r="F393" s="1014" t="s">
        <v>401</v>
      </c>
      <c r="G393" s="1014" t="s">
        <v>2721</v>
      </c>
      <c r="H393" s="972"/>
      <c r="I393" s="975"/>
      <c r="J393" s="975"/>
      <c r="K393" s="975"/>
      <c r="L393" s="153" t="str">
        <f t="shared" si="18"/>
        <v>6525</v>
      </c>
      <c r="M393" s="154" t="str">
        <f t="shared" si="19"/>
        <v>SALAIRE SPECIALISTES</v>
      </c>
      <c r="N393" s="155">
        <f>+IF(OR($Q393=Parametres!$G$2,$Q393=Parametres!$G$3),I393,C393)</f>
        <v>9826.32</v>
      </c>
      <c r="O393" s="155">
        <f>+IF(OR($Q393=Parametres!$G$2,$Q393=Parametres!$G$3),J393,D393)</f>
        <v>5668.2</v>
      </c>
      <c r="P393" s="155">
        <f>+IF(OR($Q393=Parametres!$G$2,$Q393=Parametres!$G$3),K393,E393)</f>
        <v>15494.52</v>
      </c>
      <c r="Q393" s="154" t="str">
        <f t="shared" si="28"/>
        <v>7-Dépenses</v>
      </c>
      <c r="R393" s="153" t="str">
        <f t="shared" si="28"/>
        <v>6125</v>
      </c>
      <c r="S393" s="154">
        <f t="shared" si="28"/>
        <v>0</v>
      </c>
      <c r="T393" s="156" t="str">
        <f>+VLOOKUP($L393,Data_Validation!$A:$D,1,0)</f>
        <v>6525</v>
      </c>
      <c r="U393" s="156" t="str">
        <f>+VLOOKUP($L393,Data_Validation!$A:$D,3,0)</f>
        <v>Carrosserie</v>
      </c>
      <c r="V393" s="156" t="str">
        <f>+VLOOKUP($L393,Data_Validation!$A:$D,4,0)</f>
        <v>Salaires spécialistes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4" t="s">
        <v>1211</v>
      </c>
      <c r="B394" s="1014" t="s">
        <v>2640</v>
      </c>
      <c r="C394" s="1016">
        <v>2417.61</v>
      </c>
      <c r="D394" s="1016">
        <v>1220.52</v>
      </c>
      <c r="E394" s="1016">
        <v>3638.13</v>
      </c>
      <c r="F394" s="1014" t="s">
        <v>401</v>
      </c>
      <c r="G394" s="1014" t="s">
        <v>2641</v>
      </c>
      <c r="H394" s="972"/>
      <c r="I394" s="975"/>
      <c r="J394" s="975"/>
      <c r="K394" s="975"/>
      <c r="L394" s="153" t="str">
        <f t="shared" si="18"/>
        <v>6529</v>
      </c>
      <c r="M394" s="154" t="str">
        <f t="shared" si="19"/>
        <v>ABS.,VACANCES &amp; SAL. JOURS FER</v>
      </c>
      <c r="N394" s="155">
        <f>+IF(OR($Q394=Parametres!$G$2,$Q394=Parametres!$G$3),I394,C394)</f>
        <v>2417.61</v>
      </c>
      <c r="O394" s="155">
        <f>+IF(OR($Q394=Parametres!$G$2,$Q394=Parametres!$G$3),J394,D394)</f>
        <v>1220.52</v>
      </c>
      <c r="P394" s="155">
        <f>+IF(OR($Q394=Parametres!$G$2,$Q394=Parametres!$G$3),K394,E394)</f>
        <v>3638.13</v>
      </c>
      <c r="Q394" s="154" t="str">
        <f t="shared" si="28"/>
        <v>7-Dépenses</v>
      </c>
      <c r="R394" s="153" t="str">
        <f t="shared" si="28"/>
        <v>6129</v>
      </c>
      <c r="S394" s="154">
        <f t="shared" si="28"/>
        <v>0</v>
      </c>
      <c r="T394" s="156" t="str">
        <f>+VLOOKUP($L394,Data_Validation!$A:$D,1,0)</f>
        <v>6529</v>
      </c>
      <c r="U394" s="156" t="str">
        <f>+VLOOKUP($L394,Data_Validation!$A:$D,3,0)</f>
        <v>Carrosserie</v>
      </c>
      <c r="V394" s="156" t="str">
        <f>+VLOOKUP($L394,Data_Validation!$A:$D,4,0)</f>
        <v>Salaires en absences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4" t="s">
        <v>1252</v>
      </c>
      <c r="B395" s="1014" t="s">
        <v>2585</v>
      </c>
      <c r="C395" s="1016">
        <v>647.16</v>
      </c>
      <c r="D395" s="1016">
        <v>296.83999999999997</v>
      </c>
      <c r="E395" s="1016">
        <v>944</v>
      </c>
      <c r="F395" s="1014" t="s">
        <v>401</v>
      </c>
      <c r="G395" s="1014" t="s">
        <v>2586</v>
      </c>
      <c r="H395" s="972"/>
      <c r="I395" s="975"/>
      <c r="J395" s="975"/>
      <c r="K395" s="975"/>
      <c r="L395" s="153" t="str">
        <f t="shared" si="18"/>
        <v>6531</v>
      </c>
      <c r="M395" s="154" t="str">
        <f t="shared" si="19"/>
        <v>CSST</v>
      </c>
      <c r="N395" s="155">
        <f>+IF(OR($Q395=Parametres!$G$2,$Q395=Parametres!$G$3),I395,C395)</f>
        <v>647.16</v>
      </c>
      <c r="O395" s="155">
        <f>+IF(OR($Q395=Parametres!$G$2,$Q395=Parametres!$G$3),J395,D395)</f>
        <v>296.83999999999997</v>
      </c>
      <c r="P395" s="155">
        <f>+IF(OR($Q395=Parametres!$G$2,$Q395=Parametres!$G$3),K395,E395)</f>
        <v>944</v>
      </c>
      <c r="Q395" s="154" t="str">
        <f t="shared" si="28"/>
        <v>7-Dépenses</v>
      </c>
      <c r="R395" s="153" t="str">
        <f t="shared" si="28"/>
        <v>6131</v>
      </c>
      <c r="S395" s="154">
        <f t="shared" si="28"/>
        <v>0</v>
      </c>
      <c r="T395" s="156" t="str">
        <f>+VLOOKUP($L395,Data_Validation!$A:$D,1,0)</f>
        <v>6531</v>
      </c>
      <c r="U395" s="156" t="str">
        <f>+VLOOKUP($L395,Data_Validation!$A:$D,3,0)</f>
        <v>Carrosserie</v>
      </c>
      <c r="V395" s="156" t="str">
        <f>+VLOOKUP($L395,Data_Validation!$A:$D,4,0)</f>
        <v>Csst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4" t="s">
        <v>1283</v>
      </c>
      <c r="B396" s="1014" t="s">
        <v>2684</v>
      </c>
      <c r="C396" s="1016">
        <v>2405.35</v>
      </c>
      <c r="D396" s="1016">
        <v>1214.3699999999999</v>
      </c>
      <c r="E396" s="1016">
        <v>3619.72</v>
      </c>
      <c r="F396" s="1014" t="s">
        <v>401</v>
      </c>
      <c r="G396" s="1014" t="s">
        <v>2685</v>
      </c>
      <c r="H396" s="972"/>
      <c r="I396" s="975"/>
      <c r="J396" s="975"/>
      <c r="K396" s="975"/>
      <c r="L396" s="153" t="str">
        <f t="shared" si="18"/>
        <v>6532</v>
      </c>
      <c r="M396" s="154" t="str">
        <f t="shared" si="19"/>
        <v>RRQ RAMQ AC</v>
      </c>
      <c r="N396" s="155">
        <f>+IF(OR($Q396=Parametres!$G$2,$Q396=Parametres!$G$3),I396,C396)</f>
        <v>2405.35</v>
      </c>
      <c r="O396" s="155">
        <f>+IF(OR($Q396=Parametres!$G$2,$Q396=Parametres!$G$3),J396,D396)</f>
        <v>1214.3699999999999</v>
      </c>
      <c r="P396" s="155">
        <f>+IF(OR($Q396=Parametres!$G$2,$Q396=Parametres!$G$3),K396,E396)</f>
        <v>3619.72</v>
      </c>
      <c r="Q396" s="154" t="str">
        <f t="shared" si="28"/>
        <v>7-Dépenses</v>
      </c>
      <c r="R396" s="153" t="str">
        <f t="shared" si="28"/>
        <v>6132</v>
      </c>
      <c r="S396" s="154">
        <f t="shared" si="28"/>
        <v>0</v>
      </c>
      <c r="T396" s="156" t="str">
        <f>+VLOOKUP($L396,Data_Validation!$A:$D,1,0)</f>
        <v>6532</v>
      </c>
      <c r="U396" s="156" t="str">
        <f>+VLOOKUP($L396,Data_Validation!$A:$D,3,0)</f>
        <v>Carrosserie</v>
      </c>
      <c r="V396" s="156" t="str">
        <f>+VLOOKUP($L396,Data_Validation!$A:$D,4,0)</f>
        <v>Déduction à la source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4" t="s">
        <v>1305</v>
      </c>
      <c r="B397" s="1014" t="s">
        <v>2693</v>
      </c>
      <c r="C397" s="1016">
        <v>1064.6600000000001</v>
      </c>
      <c r="D397" s="1016">
        <v>532.33000000000004</v>
      </c>
      <c r="E397" s="1016">
        <v>1596.99</v>
      </c>
      <c r="F397" s="1014" t="s">
        <v>401</v>
      </c>
      <c r="G397" s="1014" t="s">
        <v>2694</v>
      </c>
      <c r="H397" s="972"/>
      <c r="I397" s="975"/>
      <c r="J397" s="975"/>
      <c r="K397" s="975"/>
      <c r="L397" s="153" t="str">
        <f t="shared" si="18"/>
        <v>6539</v>
      </c>
      <c r="M397" s="154" t="str">
        <f t="shared" si="19"/>
        <v>ASSURANCE GROUPE</v>
      </c>
      <c r="N397" s="155">
        <f>+IF(OR($Q397=Parametres!$G$2,$Q397=Parametres!$G$3),I397,C397)</f>
        <v>1064.6600000000001</v>
      </c>
      <c r="O397" s="155">
        <f>+IF(OR($Q397=Parametres!$G$2,$Q397=Parametres!$G$3),J397,D397)</f>
        <v>532.33000000000004</v>
      </c>
      <c r="P397" s="155">
        <f>+IF(OR($Q397=Parametres!$G$2,$Q397=Parametres!$G$3),K397,E397)</f>
        <v>1596.99</v>
      </c>
      <c r="Q397" s="154" t="str">
        <f t="shared" si="28"/>
        <v>7-Dépenses</v>
      </c>
      <c r="R397" s="153" t="str">
        <f t="shared" si="28"/>
        <v>6139</v>
      </c>
      <c r="S397" s="154">
        <f t="shared" si="28"/>
        <v>0</v>
      </c>
      <c r="T397" s="156" t="str">
        <f>+VLOOKUP($L397,Data_Validation!$A:$D,1,0)</f>
        <v>6539</v>
      </c>
      <c r="U397" s="156" t="str">
        <f>+VLOOKUP($L397,Data_Validation!$A:$D,3,0)</f>
        <v>Carrosserie</v>
      </c>
      <c r="V397" s="156" t="str">
        <f>+VLOOKUP($L397,Data_Validation!$A:$D,4,0)</f>
        <v>Bénéfices marginaux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4" t="s">
        <v>934</v>
      </c>
      <c r="B398" s="1014" t="s">
        <v>2560</v>
      </c>
      <c r="C398" s="1016">
        <v>70</v>
      </c>
      <c r="D398" s="1016">
        <v>35</v>
      </c>
      <c r="E398" s="1016">
        <v>105</v>
      </c>
      <c r="F398" s="1014" t="s">
        <v>401</v>
      </c>
      <c r="G398" s="1014" t="s">
        <v>2561</v>
      </c>
      <c r="H398" s="972"/>
      <c r="I398" s="975"/>
      <c r="J398" s="975"/>
      <c r="K398" s="975"/>
      <c r="L398" s="153" t="str">
        <f t="shared" si="18"/>
        <v>6544</v>
      </c>
      <c r="M398" s="154" t="str">
        <f t="shared" si="19"/>
        <v>FORMATION</v>
      </c>
      <c r="N398" s="155">
        <f>+IF(OR($Q398=Parametres!$G$2,$Q398=Parametres!$G$3),I398,C398)</f>
        <v>70</v>
      </c>
      <c r="O398" s="155">
        <f>+IF(OR($Q398=Parametres!$G$2,$Q398=Parametres!$G$3),J398,D398)</f>
        <v>35</v>
      </c>
      <c r="P398" s="155">
        <f>+IF(OR($Q398=Parametres!$G$2,$Q398=Parametres!$G$3),K398,E398)</f>
        <v>105</v>
      </c>
      <c r="Q398" s="154" t="str">
        <f t="shared" si="28"/>
        <v>7-Dépenses</v>
      </c>
      <c r="R398" s="153" t="str">
        <f t="shared" si="28"/>
        <v>6144</v>
      </c>
      <c r="S398" s="154">
        <f t="shared" si="28"/>
        <v>0</v>
      </c>
      <c r="T398" s="156" t="str">
        <f>+VLOOKUP($L398,Data_Validation!$A:$D,1,0)</f>
        <v>6544</v>
      </c>
      <c r="U398" s="156" t="str">
        <f>+VLOOKUP($L398,Data_Validation!$A:$D,3,0)</f>
        <v>Carrosserie</v>
      </c>
      <c r="V398" s="156" t="str">
        <f>+VLOOKUP($L398,Data_Validation!$A:$D,4,0)</f>
        <v>Formation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4" t="s">
        <v>1186</v>
      </c>
      <c r="B399" s="1014" t="s">
        <v>2654</v>
      </c>
      <c r="C399" s="1016">
        <v>3681.17</v>
      </c>
      <c r="D399" s="1016">
        <v>1572.8</v>
      </c>
      <c r="E399" s="1016">
        <v>5253.97</v>
      </c>
      <c r="F399" s="1014" t="s">
        <v>401</v>
      </c>
      <c r="G399" s="1014" t="s">
        <v>2632</v>
      </c>
      <c r="H399" s="972"/>
      <c r="I399" s="975"/>
      <c r="J399" s="975"/>
      <c r="K399" s="975"/>
      <c r="L399" s="153" t="str">
        <f t="shared" si="18"/>
        <v>6545</v>
      </c>
      <c r="M399" s="154" t="str">
        <f t="shared" si="19"/>
        <v>VEHICULE DE COMPAGNIE - DEPENS</v>
      </c>
      <c r="N399" s="155">
        <f>+IF(OR($Q399=Parametres!$G$2,$Q399=Parametres!$G$3),I399,C399)</f>
        <v>3681.17</v>
      </c>
      <c r="O399" s="155">
        <f>+IF(OR($Q399=Parametres!$G$2,$Q399=Parametres!$G$3),J399,D399)</f>
        <v>1572.8</v>
      </c>
      <c r="P399" s="155">
        <f>+IF(OR($Q399=Parametres!$G$2,$Q399=Parametres!$G$3),K399,E399)</f>
        <v>5253.97</v>
      </c>
      <c r="Q399" s="154" t="str">
        <f t="shared" si="28"/>
        <v>7-Dépenses</v>
      </c>
      <c r="R399" s="153" t="str">
        <f t="shared" si="28"/>
        <v>6145</v>
      </c>
      <c r="S399" s="154">
        <f t="shared" si="28"/>
        <v>0</v>
      </c>
      <c r="T399" s="156" t="str">
        <f>+VLOOKUP($L399,Data_Validation!$A:$D,1,0)</f>
        <v>6545</v>
      </c>
      <c r="U399" s="156" t="str">
        <f>+VLOOKUP($L399,Data_Validation!$A:$D,3,0)</f>
        <v>Carrosserie</v>
      </c>
      <c r="V399" s="156" t="str">
        <f>+VLOOKUP($L399,Data_Validation!$A:$D,4,0)</f>
        <v>Frais véhicules de cie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4" t="s">
        <v>1180</v>
      </c>
      <c r="B400" s="1014" t="s">
        <v>2580</v>
      </c>
      <c r="C400" s="1016">
        <v>63.75</v>
      </c>
      <c r="D400" s="1016">
        <v>15.39</v>
      </c>
      <c r="E400" s="1016">
        <v>79.14</v>
      </c>
      <c r="F400" s="1014" t="s">
        <v>401</v>
      </c>
      <c r="G400" s="1014" t="s">
        <v>2581</v>
      </c>
      <c r="H400" s="972"/>
      <c r="I400" s="975"/>
      <c r="J400" s="975"/>
      <c r="K400" s="975"/>
      <c r="L400" s="153" t="str">
        <f t="shared" si="18"/>
        <v>6547</v>
      </c>
      <c r="M400" s="154" t="str">
        <f t="shared" si="19"/>
        <v>FRET/EXPRESS/TRANS. PAR CAMION</v>
      </c>
      <c r="N400" s="155">
        <f>+IF(OR($Q400=Parametres!$G$2,$Q400=Parametres!$G$3),I400,C400)</f>
        <v>63.75</v>
      </c>
      <c r="O400" s="155">
        <f>+IF(OR($Q400=Parametres!$G$2,$Q400=Parametres!$G$3),J400,D400)</f>
        <v>15.39</v>
      </c>
      <c r="P400" s="155">
        <f>+IF(OR($Q400=Parametres!$G$2,$Q400=Parametres!$G$3),K400,E400)</f>
        <v>79.14</v>
      </c>
      <c r="Q400" s="154" t="str">
        <f t="shared" si="28"/>
        <v>7-Dépenses</v>
      </c>
      <c r="R400" s="153" t="str">
        <f t="shared" si="28"/>
        <v>6147</v>
      </c>
      <c r="S400" s="154">
        <f t="shared" si="28"/>
        <v>0</v>
      </c>
      <c r="T400" s="156" t="str">
        <f>+VLOOKUP($L400,Data_Validation!$A:$D,1,0)</f>
        <v>6547</v>
      </c>
      <c r="U400" s="156" t="str">
        <f>+VLOOKUP($L400,Data_Validation!$A:$D,3,0)</f>
        <v>Carrosserie</v>
      </c>
      <c r="V400" s="156" t="str">
        <f>+VLOOKUP($L400,Data_Validation!$A:$D,4,0)</f>
        <v>Frais postaux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4" t="s">
        <v>1286</v>
      </c>
      <c r="B401" s="1014" t="s">
        <v>2701</v>
      </c>
      <c r="C401" s="1016">
        <v>2527.9</v>
      </c>
      <c r="D401" s="1016">
        <v>1449.62</v>
      </c>
      <c r="E401" s="1016">
        <v>3977.52</v>
      </c>
      <c r="F401" s="1014" t="s">
        <v>401</v>
      </c>
      <c r="G401" s="1014" t="s">
        <v>2702</v>
      </c>
      <c r="H401" s="972"/>
      <c r="I401" s="975"/>
      <c r="J401" s="975"/>
      <c r="K401" s="975"/>
      <c r="L401" s="153" t="str">
        <f t="shared" si="18"/>
        <v>6551</v>
      </c>
      <c r="M401" s="154" t="str">
        <f t="shared" si="19"/>
        <v>DEP. DU TRAITEMENT DES DONNEES</v>
      </c>
      <c r="N401" s="155">
        <f>+IF(OR($Q401=Parametres!$G$2,$Q401=Parametres!$G$3),I401,C401)</f>
        <v>2527.9</v>
      </c>
      <c r="O401" s="155">
        <f>+IF(OR($Q401=Parametres!$G$2,$Q401=Parametres!$G$3),J401,D401)</f>
        <v>1449.62</v>
      </c>
      <c r="P401" s="155">
        <f>+IF(OR($Q401=Parametres!$G$2,$Q401=Parametres!$G$3),K401,E401)</f>
        <v>3977.52</v>
      </c>
      <c r="Q401" s="154" t="str">
        <f t="shared" si="28"/>
        <v>7-Dépenses</v>
      </c>
      <c r="R401" s="153" t="str">
        <f t="shared" si="28"/>
        <v>6151</v>
      </c>
      <c r="S401" s="154">
        <f t="shared" si="28"/>
        <v>0</v>
      </c>
      <c r="T401" s="156" t="str">
        <f>+VLOOKUP($L401,Data_Validation!$A:$D,1,0)</f>
        <v>6551</v>
      </c>
      <c r="U401" s="156" t="str">
        <f>+VLOOKUP($L401,Data_Validation!$A:$D,3,0)</f>
        <v>Carrosserie</v>
      </c>
      <c r="V401" s="156" t="str">
        <f>+VLOOKUP($L401,Data_Validation!$A:$D,4,0)</f>
        <v>Informatique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4" t="s">
        <v>1206</v>
      </c>
      <c r="B402" s="1014" t="s">
        <v>2587</v>
      </c>
      <c r="C402" s="1016">
        <v>259</v>
      </c>
      <c r="D402" s="1016">
        <v>129.5</v>
      </c>
      <c r="E402" s="1016">
        <v>388.5</v>
      </c>
      <c r="F402" s="1014" t="s">
        <v>401</v>
      </c>
      <c r="G402" s="1014" t="s">
        <v>2588</v>
      </c>
      <c r="H402" s="972"/>
      <c r="I402" s="975"/>
      <c r="J402" s="975"/>
      <c r="K402" s="975"/>
      <c r="L402" s="153" t="str">
        <f t="shared" si="18"/>
        <v>6552</v>
      </c>
      <c r="M402" s="154" t="str">
        <f t="shared" si="19"/>
        <v>PAPETERIE</v>
      </c>
      <c r="N402" s="155">
        <f>+IF(OR($Q402=Parametres!$G$2,$Q402=Parametres!$G$3),I402,C402)</f>
        <v>259</v>
      </c>
      <c r="O402" s="155">
        <f>+IF(OR($Q402=Parametres!$G$2,$Q402=Parametres!$G$3),J402,D402)</f>
        <v>129.5</v>
      </c>
      <c r="P402" s="155">
        <f>+IF(OR($Q402=Parametres!$G$2,$Q402=Parametres!$G$3),K402,E402)</f>
        <v>388.5</v>
      </c>
      <c r="Q402" s="154" t="str">
        <f t="shared" ref="Q402:S417" si="29">+F402</f>
        <v>7-Dépenses</v>
      </c>
      <c r="R402" s="153" t="str">
        <f t="shared" si="29"/>
        <v>6152</v>
      </c>
      <c r="S402" s="154">
        <f t="shared" si="29"/>
        <v>0</v>
      </c>
      <c r="T402" s="156" t="str">
        <f>+VLOOKUP($L402,Data_Validation!$A:$D,1,0)</f>
        <v>6552</v>
      </c>
      <c r="U402" s="156" t="str">
        <f>+VLOOKUP($L402,Data_Validation!$A:$D,3,0)</f>
        <v>Carrosserie</v>
      </c>
      <c r="V402" s="156" t="str">
        <f>+VLOOKUP($L402,Data_Validation!$A:$D,4,0)</f>
        <v>Papeterie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4" t="s">
        <v>1154</v>
      </c>
      <c r="B403" s="1014" t="s">
        <v>2591</v>
      </c>
      <c r="C403" s="1016">
        <v>199.02</v>
      </c>
      <c r="D403" s="1016">
        <v>144.68</v>
      </c>
      <c r="E403" s="1016">
        <v>343.7</v>
      </c>
      <c r="F403" s="1014" t="s">
        <v>401</v>
      </c>
      <c r="G403" s="1014" t="s">
        <v>2592</v>
      </c>
      <c r="H403" s="972"/>
      <c r="I403" s="975"/>
      <c r="J403" s="975"/>
      <c r="K403" s="975"/>
      <c r="L403" s="153" t="str">
        <f t="shared" si="18"/>
        <v>6553</v>
      </c>
      <c r="M403" s="154" t="str">
        <f t="shared" si="19"/>
        <v>TELEPHONE ET TELEX</v>
      </c>
      <c r="N403" s="155">
        <f>+IF(OR($Q403=Parametres!$G$2,$Q403=Parametres!$G$3),I403,C403)</f>
        <v>199.02</v>
      </c>
      <c r="O403" s="155">
        <f>+IF(OR($Q403=Parametres!$G$2,$Q403=Parametres!$G$3),J403,D403)</f>
        <v>144.68</v>
      </c>
      <c r="P403" s="155">
        <f>+IF(OR($Q403=Parametres!$G$2,$Q403=Parametres!$G$3),K403,E403)</f>
        <v>343.7</v>
      </c>
      <c r="Q403" s="154" t="str">
        <f t="shared" si="29"/>
        <v>7-Dépenses</v>
      </c>
      <c r="R403" s="153" t="str">
        <f t="shared" si="29"/>
        <v>6153</v>
      </c>
      <c r="S403" s="154">
        <f t="shared" si="29"/>
        <v>0</v>
      </c>
      <c r="T403" s="156" t="str">
        <f>+VLOOKUP($L403,Data_Validation!$A:$D,1,0)</f>
        <v>6553</v>
      </c>
      <c r="U403" s="156" t="str">
        <f>+VLOOKUP($L403,Data_Validation!$A:$D,3,0)</f>
        <v>Carrosserie</v>
      </c>
      <c r="V403" s="156" t="str">
        <f>+VLOOKUP($L403,Data_Validation!$A:$D,4,0)</f>
        <v>Téléphone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4" t="s">
        <v>1237</v>
      </c>
      <c r="B404" s="1014" t="s">
        <v>2636</v>
      </c>
      <c r="C404" s="1016">
        <v>786.27</v>
      </c>
      <c r="D404" s="1016">
        <v>328.88</v>
      </c>
      <c r="E404" s="1016">
        <v>1115.1500000000001</v>
      </c>
      <c r="F404" s="1014" t="s">
        <v>401</v>
      </c>
      <c r="G404" s="1014" t="s">
        <v>2637</v>
      </c>
      <c r="H404" s="972"/>
      <c r="I404" s="975"/>
      <c r="J404" s="975"/>
      <c r="K404" s="975"/>
      <c r="L404" s="153" t="str">
        <f t="shared" si="18"/>
        <v>6555</v>
      </c>
      <c r="M404" s="154" t="str">
        <f t="shared" si="19"/>
        <v>DEPENSES DIVERS</v>
      </c>
      <c r="N404" s="155">
        <f>+IF(OR($Q404=Parametres!$G$2,$Q404=Parametres!$G$3),I404,C404)</f>
        <v>786.27</v>
      </c>
      <c r="O404" s="155">
        <f>+IF(OR($Q404=Parametres!$G$2,$Q404=Parametres!$G$3),J404,D404)</f>
        <v>328.88</v>
      </c>
      <c r="P404" s="155">
        <f>+IF(OR($Q404=Parametres!$G$2,$Q404=Parametres!$G$3),K404,E404)</f>
        <v>1115.1500000000001</v>
      </c>
      <c r="Q404" s="154" t="str">
        <f t="shared" si="29"/>
        <v>7-Dépenses</v>
      </c>
      <c r="R404" s="153" t="str">
        <f t="shared" si="29"/>
        <v>6155</v>
      </c>
      <c r="S404" s="154">
        <f t="shared" si="29"/>
        <v>0</v>
      </c>
      <c r="T404" s="156" t="str">
        <f>+VLOOKUP($L404,Data_Validation!$A:$D,1,0)</f>
        <v>6555</v>
      </c>
      <c r="U404" s="156" t="str">
        <f>+VLOOKUP($L404,Data_Validation!$A:$D,3,0)</f>
        <v>Carrosserie</v>
      </c>
      <c r="V404" s="156" t="str">
        <f>+VLOOKUP($L404,Data_Validation!$A:$D,4,0)</f>
        <v>Divers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4" t="s">
        <v>1217</v>
      </c>
      <c r="B405" s="1014" t="s">
        <v>2469</v>
      </c>
      <c r="C405" s="1016">
        <v>850.78</v>
      </c>
      <c r="D405" s="1016">
        <v>425.39</v>
      </c>
      <c r="E405" s="1016">
        <v>1276.17</v>
      </c>
      <c r="F405" s="1014" t="s">
        <v>401</v>
      </c>
      <c r="G405" s="1014" t="s">
        <v>2470</v>
      </c>
      <c r="H405" s="972"/>
      <c r="I405" s="975"/>
      <c r="J405" s="975"/>
      <c r="K405" s="975"/>
      <c r="L405" s="153" t="str">
        <f t="shared" si="18"/>
        <v>6556</v>
      </c>
      <c r="M405" s="154" t="str">
        <f t="shared" si="19"/>
        <v>FRAIS REPRESENTATION</v>
      </c>
      <c r="N405" s="155">
        <f>+IF(OR($Q405=Parametres!$G$2,$Q405=Parametres!$G$3),I405,C405)</f>
        <v>850.78</v>
      </c>
      <c r="O405" s="155">
        <f>+IF(OR($Q405=Parametres!$G$2,$Q405=Parametres!$G$3),J405,D405)</f>
        <v>425.39</v>
      </c>
      <c r="P405" s="155">
        <f>+IF(OR($Q405=Parametres!$G$2,$Q405=Parametres!$G$3),K405,E405)</f>
        <v>1276.17</v>
      </c>
      <c r="Q405" s="154" t="str">
        <f t="shared" si="29"/>
        <v>7-Dépenses</v>
      </c>
      <c r="R405" s="153" t="str">
        <f t="shared" si="29"/>
        <v>6156</v>
      </c>
      <c r="S405" s="154">
        <f t="shared" si="29"/>
        <v>0</v>
      </c>
      <c r="T405" s="156" t="str">
        <f>+VLOOKUP($L405,Data_Validation!$A:$D,1,0)</f>
        <v>6556</v>
      </c>
      <c r="U405" s="156" t="str">
        <f>+VLOOKUP($L405,Data_Validation!$A:$D,3,0)</f>
        <v>Carrosserie</v>
      </c>
      <c r="V405" s="156" t="str">
        <f>+VLOOKUP($L405,Data_Validation!$A:$D,4,0)</f>
        <v>Frais de déplacement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014" t="s">
        <v>1308</v>
      </c>
      <c r="B406" s="1014" t="s">
        <v>2661</v>
      </c>
      <c r="C406" s="1016">
        <v>2233.85</v>
      </c>
      <c r="D406" s="1016">
        <v>1227.5999999999999</v>
      </c>
      <c r="E406" s="1016">
        <v>3461.45</v>
      </c>
      <c r="F406" s="1014" t="s">
        <v>401</v>
      </c>
      <c r="G406" s="1014" t="s">
        <v>2662</v>
      </c>
      <c r="H406" s="972"/>
      <c r="I406" s="975"/>
      <c r="J406" s="975"/>
      <c r="K406" s="975"/>
      <c r="L406" s="153" t="str">
        <f t="shared" si="18"/>
        <v>6559</v>
      </c>
      <c r="M406" s="154" t="str">
        <f t="shared" si="19"/>
        <v>SERVICE EXTERIEUR</v>
      </c>
      <c r="N406" s="155">
        <f>+IF(OR($Q406=Parametres!$G$2,$Q406=Parametres!$G$3),I406,C406)</f>
        <v>2233.85</v>
      </c>
      <c r="O406" s="155">
        <f>+IF(OR($Q406=Parametres!$G$2,$Q406=Parametres!$G$3),J406,D406)</f>
        <v>1227.5999999999999</v>
      </c>
      <c r="P406" s="155">
        <f>+IF(OR($Q406=Parametres!$G$2,$Q406=Parametres!$G$3),K406,E406)</f>
        <v>3461.45</v>
      </c>
      <c r="Q406" s="154" t="str">
        <f t="shared" si="29"/>
        <v>7-Dépenses</v>
      </c>
      <c r="R406" s="153" t="str">
        <f t="shared" si="29"/>
        <v>6159</v>
      </c>
      <c r="S406" s="154">
        <f t="shared" si="29"/>
        <v>0</v>
      </c>
      <c r="T406" s="156" t="str">
        <f>+VLOOKUP($L406,Data_Validation!$A:$D,1,0)</f>
        <v>6559</v>
      </c>
      <c r="U406" s="156" t="str">
        <f>+VLOOKUP($L406,Data_Validation!$A:$D,3,0)</f>
        <v>Carrosserie</v>
      </c>
      <c r="V406" s="156" t="str">
        <f>+VLOOKUP($L406,Data_Validation!$A:$D,4,0)</f>
        <v>Services extérieurs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014" t="s">
        <v>1333</v>
      </c>
      <c r="B407" s="1014" t="s">
        <v>2652</v>
      </c>
      <c r="C407" s="1016">
        <v>1260</v>
      </c>
      <c r="D407" s="1016">
        <v>630</v>
      </c>
      <c r="E407" s="1016">
        <v>1890</v>
      </c>
      <c r="F407" s="1014" t="s">
        <v>401</v>
      </c>
      <c r="G407" s="1014" t="s">
        <v>2653</v>
      </c>
      <c r="H407" s="972"/>
      <c r="I407" s="975"/>
      <c r="J407" s="975"/>
      <c r="K407" s="975"/>
      <c r="L407" s="153" t="str">
        <f t="shared" si="18"/>
        <v>6561</v>
      </c>
      <c r="M407" s="154" t="str">
        <f t="shared" si="19"/>
        <v>DEPRECIATION EQUIP. &amp; FIXTURES</v>
      </c>
      <c r="N407" s="155">
        <f>+IF(OR($Q407=Parametres!$G$2,$Q407=Parametres!$G$3),I407,C407)</f>
        <v>1260</v>
      </c>
      <c r="O407" s="155">
        <f>+IF(OR($Q407=Parametres!$G$2,$Q407=Parametres!$G$3),J407,D407)</f>
        <v>630</v>
      </c>
      <c r="P407" s="155">
        <f>+IF(OR($Q407=Parametres!$G$2,$Q407=Parametres!$G$3),K407,E407)</f>
        <v>1890</v>
      </c>
      <c r="Q407" s="154" t="str">
        <f t="shared" si="29"/>
        <v>7-Dépenses</v>
      </c>
      <c r="R407" s="153" t="str">
        <f t="shared" si="29"/>
        <v>6161</v>
      </c>
      <c r="S407" s="154">
        <f t="shared" si="29"/>
        <v>0</v>
      </c>
      <c r="T407" s="156" t="str">
        <f>+VLOOKUP($L407,Data_Validation!$A:$D,1,0)</f>
        <v>6561</v>
      </c>
      <c r="U407" s="156" t="str">
        <f>+VLOOKUP($L407,Data_Validation!$A:$D,3,0)</f>
        <v>Carrosserie</v>
      </c>
      <c r="V407" s="156" t="str">
        <f>+VLOOKUP($L407,Data_Validation!$A:$D,4,0)</f>
        <v>Amortissement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014" t="s">
        <v>936</v>
      </c>
      <c r="B408" s="1014" t="s">
        <v>2471</v>
      </c>
      <c r="C408" s="1016">
        <v>56</v>
      </c>
      <c r="D408" s="1016">
        <v>28</v>
      </c>
      <c r="E408" s="1016">
        <v>84</v>
      </c>
      <c r="F408" s="1014" t="s">
        <v>401</v>
      </c>
      <c r="G408" s="1014" t="s">
        <v>2463</v>
      </c>
      <c r="H408" s="972"/>
      <c r="I408" s="975"/>
      <c r="J408" s="975"/>
      <c r="K408" s="975"/>
      <c r="L408" s="153" t="str">
        <f t="shared" si="18"/>
        <v>6562</v>
      </c>
      <c r="M408" s="154" t="str">
        <f t="shared" si="19"/>
        <v>LOCATION D'EQUIPEMENTS</v>
      </c>
      <c r="N408" s="155">
        <f>+IF(OR($Q408=Parametres!$G$2,$Q408=Parametres!$G$3),I408,C408)</f>
        <v>56</v>
      </c>
      <c r="O408" s="155">
        <f>+IF(OR($Q408=Parametres!$G$2,$Q408=Parametres!$G$3),J408,D408)</f>
        <v>28</v>
      </c>
      <c r="P408" s="155">
        <f>+IF(OR($Q408=Parametres!$G$2,$Q408=Parametres!$G$3),K408,E408)</f>
        <v>84</v>
      </c>
      <c r="Q408" s="154" t="str">
        <f t="shared" si="29"/>
        <v>7-Dépenses</v>
      </c>
      <c r="R408" s="153" t="str">
        <f t="shared" si="29"/>
        <v>6162</v>
      </c>
      <c r="S408" s="154">
        <f t="shared" si="29"/>
        <v>0</v>
      </c>
      <c r="T408" s="156" t="str">
        <f>+VLOOKUP($L408,Data_Validation!$A:$D,1,0)</f>
        <v>6562</v>
      </c>
      <c r="U408" s="156" t="str">
        <f>+VLOOKUP($L408,Data_Validation!$A:$D,3,0)</f>
        <v>Carrosserie</v>
      </c>
      <c r="V408" s="156" t="str">
        <f>+VLOOKUP($L408,Data_Validation!$A:$D,4,0)</f>
        <v>Location équipement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014" t="s">
        <v>1244</v>
      </c>
      <c r="B409" s="1014" t="s">
        <v>2603</v>
      </c>
      <c r="C409" s="1016">
        <v>513.79999999999995</v>
      </c>
      <c r="D409" s="1016">
        <v>256.89999999999998</v>
      </c>
      <c r="E409" s="1016">
        <v>770.7</v>
      </c>
      <c r="F409" s="1014" t="s">
        <v>401</v>
      </c>
      <c r="G409" s="1014" t="s">
        <v>2604</v>
      </c>
      <c r="H409" s="972"/>
      <c r="I409" s="975"/>
      <c r="J409" s="975"/>
      <c r="K409" s="975"/>
      <c r="L409" s="153" t="str">
        <f t="shared" si="18"/>
        <v>6581</v>
      </c>
      <c r="M409" s="154" t="str">
        <f t="shared" si="19"/>
        <v>CHAUFFAGE,ELECTRICITE,EAU-CARROS.</v>
      </c>
      <c r="N409" s="155">
        <f>+IF(OR($Q409=Parametres!$G$2,$Q409=Parametres!$G$3),I409,C409)</f>
        <v>513.79999999999995</v>
      </c>
      <c r="O409" s="155">
        <f>+IF(OR($Q409=Parametres!$G$2,$Q409=Parametres!$G$3),J409,D409)</f>
        <v>256.89999999999998</v>
      </c>
      <c r="P409" s="155">
        <f>+IF(OR($Q409=Parametres!$G$2,$Q409=Parametres!$G$3),K409,E409)</f>
        <v>770.7</v>
      </c>
      <c r="Q409" s="154" t="str">
        <f t="shared" si="29"/>
        <v>7-Dépenses</v>
      </c>
      <c r="R409" s="153" t="str">
        <f t="shared" si="29"/>
        <v>6181</v>
      </c>
      <c r="S409" s="154">
        <f t="shared" si="29"/>
        <v>0</v>
      </c>
      <c r="T409" s="156" t="str">
        <f>+VLOOKUP($L409,Data_Validation!$A:$D,1,0)</f>
        <v>6581</v>
      </c>
      <c r="U409" s="156" t="str">
        <f>+VLOOKUP($L409,Data_Validation!$A:$D,3,0)</f>
        <v>Carrosserie</v>
      </c>
      <c r="V409" s="156" t="str">
        <f>+VLOOKUP($L409,Data_Validation!$A:$D,4,0)</f>
        <v>Chauffage, éclairage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014" t="s">
        <v>1398</v>
      </c>
      <c r="B410" s="1014" t="s">
        <v>2708</v>
      </c>
      <c r="C410" s="1016">
        <v>3640.01</v>
      </c>
      <c r="D410" s="1016">
        <v>1820.02</v>
      </c>
      <c r="E410" s="1016">
        <v>5460.03</v>
      </c>
      <c r="F410" s="1014" t="s">
        <v>401</v>
      </c>
      <c r="G410" s="1014" t="s">
        <v>2709</v>
      </c>
      <c r="H410" s="972"/>
      <c r="I410" s="975"/>
      <c r="J410" s="975"/>
      <c r="K410" s="975"/>
      <c r="L410" s="153" t="str">
        <f t="shared" si="18"/>
        <v>6582</v>
      </c>
      <c r="M410" s="154" t="str">
        <f t="shared" si="19"/>
        <v>LOYER - CARROSSERIE</v>
      </c>
      <c r="N410" s="155">
        <f>+IF(OR($Q410=Parametres!$G$2,$Q410=Parametres!$G$3),I410,C410)</f>
        <v>3640.01</v>
      </c>
      <c r="O410" s="155">
        <f>+IF(OR($Q410=Parametres!$G$2,$Q410=Parametres!$G$3),J410,D410)</f>
        <v>1820.02</v>
      </c>
      <c r="P410" s="155">
        <f>+IF(OR($Q410=Parametres!$G$2,$Q410=Parametres!$G$3),K410,E410)</f>
        <v>5460.03</v>
      </c>
      <c r="Q410" s="154" t="str">
        <f t="shared" si="29"/>
        <v>7-Dépenses</v>
      </c>
      <c r="R410" s="153" t="str">
        <f t="shared" si="29"/>
        <v>6182</v>
      </c>
      <c r="S410" s="154">
        <f t="shared" si="29"/>
        <v>0</v>
      </c>
      <c r="T410" s="156" t="str">
        <f>+VLOOKUP($L410,Data_Validation!$A:$D,1,0)</f>
        <v>6582</v>
      </c>
      <c r="U410" s="156" t="str">
        <f>+VLOOKUP($L410,Data_Validation!$A:$D,3,0)</f>
        <v>Carrosserie</v>
      </c>
      <c r="V410" s="156" t="str">
        <f>+VLOOKUP($L410,Data_Validation!$A:$D,4,0)</f>
        <v>Loyer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014" t="s">
        <v>1255</v>
      </c>
      <c r="B411" s="1014" t="s">
        <v>2593</v>
      </c>
      <c r="C411" s="1016">
        <v>210</v>
      </c>
      <c r="D411" s="1016">
        <v>105</v>
      </c>
      <c r="E411" s="1016">
        <v>315</v>
      </c>
      <c r="F411" s="1014" t="s">
        <v>401</v>
      </c>
      <c r="G411" s="1014" t="s">
        <v>2594</v>
      </c>
      <c r="H411" s="972"/>
      <c r="I411" s="975"/>
      <c r="J411" s="975"/>
      <c r="K411" s="975"/>
      <c r="L411" s="153" t="str">
        <f t="shared" si="18"/>
        <v>6586</v>
      </c>
      <c r="M411" s="154" t="str">
        <f t="shared" si="19"/>
        <v>ASSURANCE BATISSE &amp; AMEL.-CARROS.</v>
      </c>
      <c r="N411" s="155">
        <f>+IF(OR($Q411=Parametres!$G$2,$Q411=Parametres!$G$3),I411,C411)</f>
        <v>210</v>
      </c>
      <c r="O411" s="155">
        <f>+IF(OR($Q411=Parametres!$G$2,$Q411=Parametres!$G$3),J411,D411)</f>
        <v>105</v>
      </c>
      <c r="P411" s="155">
        <f>+IF(OR($Q411=Parametres!$G$2,$Q411=Parametres!$G$3),K411,E411)</f>
        <v>315</v>
      </c>
      <c r="Q411" s="154" t="str">
        <f t="shared" si="29"/>
        <v>7-Dépenses</v>
      </c>
      <c r="R411" s="153" t="str">
        <f t="shared" si="29"/>
        <v>6186</v>
      </c>
      <c r="S411" s="154">
        <f t="shared" si="29"/>
        <v>0</v>
      </c>
      <c r="T411" s="156" t="str">
        <f>+VLOOKUP($L411,Data_Validation!$A:$D,1,0)</f>
        <v>6586</v>
      </c>
      <c r="U411" s="156" t="str">
        <f>+VLOOKUP($L411,Data_Validation!$A:$D,3,0)</f>
        <v>Carrosserie</v>
      </c>
      <c r="V411" s="156" t="str">
        <f>+VLOOKUP($L411,Data_Validation!$A:$D,4,0)</f>
        <v>Assurances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014" t="s">
        <v>1264</v>
      </c>
      <c r="B412" s="1014" t="s">
        <v>2613</v>
      </c>
      <c r="C412" s="1016">
        <v>658</v>
      </c>
      <c r="D412" s="1016">
        <v>329</v>
      </c>
      <c r="E412" s="1016">
        <v>987</v>
      </c>
      <c r="F412" s="1014" t="s">
        <v>401</v>
      </c>
      <c r="G412" s="1014" t="s">
        <v>2614</v>
      </c>
      <c r="H412" s="972"/>
      <c r="I412" s="975"/>
      <c r="J412" s="975"/>
      <c r="K412" s="975"/>
      <c r="L412" s="153" t="str">
        <f t="shared" si="18"/>
        <v>6587</v>
      </c>
      <c r="M412" s="154" t="str">
        <f t="shared" si="19"/>
        <v>TAXES FONCIERES - CAROSSERIE</v>
      </c>
      <c r="N412" s="155">
        <f>+IF(OR($Q412=Parametres!$G$2,$Q412=Parametres!$G$3),I412,C412)</f>
        <v>658</v>
      </c>
      <c r="O412" s="155">
        <f>+IF(OR($Q412=Parametres!$G$2,$Q412=Parametres!$G$3),J412,D412)</f>
        <v>329</v>
      </c>
      <c r="P412" s="155">
        <f>+IF(OR($Q412=Parametres!$G$2,$Q412=Parametres!$G$3),K412,E412)</f>
        <v>987</v>
      </c>
      <c r="Q412" s="154" t="str">
        <f t="shared" si="29"/>
        <v>7-Dépenses</v>
      </c>
      <c r="R412" s="153" t="str">
        <f t="shared" si="29"/>
        <v>6187</v>
      </c>
      <c r="S412" s="154">
        <f t="shared" si="29"/>
        <v>0</v>
      </c>
      <c r="T412" s="156" t="str">
        <f>+VLOOKUP($L412,Data_Validation!$A:$D,1,0)</f>
        <v>6587</v>
      </c>
      <c r="U412" s="156" t="str">
        <f>+VLOOKUP($L412,Data_Validation!$A:$D,3,0)</f>
        <v>Carrosserie</v>
      </c>
      <c r="V412" s="156" t="str">
        <f>+VLOOKUP($L412,Data_Validation!$A:$D,4,0)</f>
        <v>Taxes foncières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014" t="s">
        <v>1225</v>
      </c>
      <c r="B413" s="1014" t="s">
        <v>2596</v>
      </c>
      <c r="C413" s="1016">
        <v>441</v>
      </c>
      <c r="D413" s="1016">
        <v>220.5</v>
      </c>
      <c r="E413" s="1016">
        <v>661.5</v>
      </c>
      <c r="F413" s="1014" t="s">
        <v>401</v>
      </c>
      <c r="G413" s="1014" t="s">
        <v>2597</v>
      </c>
      <c r="H413" s="972"/>
      <c r="I413" s="975"/>
      <c r="J413" s="975"/>
      <c r="K413" s="975"/>
      <c r="L413" s="153" t="str">
        <f t="shared" si="18"/>
        <v>6593</v>
      </c>
      <c r="M413" s="154" t="str">
        <f t="shared" si="19"/>
        <v>AUTRES TAXES -CARROSSERIE</v>
      </c>
      <c r="N413" s="155">
        <f>+IF(OR($Q413=Parametres!$G$2,$Q413=Parametres!$G$3),I413,C413)</f>
        <v>441</v>
      </c>
      <c r="O413" s="155">
        <f>+IF(OR($Q413=Parametres!$G$2,$Q413=Parametres!$G$3),J413,D413)</f>
        <v>220.5</v>
      </c>
      <c r="P413" s="155">
        <f>+IF(OR($Q413=Parametres!$G$2,$Q413=Parametres!$G$3),K413,E413)</f>
        <v>661.5</v>
      </c>
      <c r="Q413" s="154" t="str">
        <f t="shared" si="29"/>
        <v>7-Dépenses</v>
      </c>
      <c r="R413" s="153" t="str">
        <f t="shared" si="29"/>
        <v>6193</v>
      </c>
      <c r="S413" s="154">
        <f t="shared" si="29"/>
        <v>0</v>
      </c>
      <c r="T413" s="156" t="str">
        <f>+VLOOKUP($L413,Data_Validation!$A:$D,1,0)</f>
        <v>6593</v>
      </c>
      <c r="U413" s="156" t="str">
        <f>+VLOOKUP($L413,Data_Validation!$A:$D,3,0)</f>
        <v>Carrosserie</v>
      </c>
      <c r="V413" s="156" t="str">
        <f>+VLOOKUP($L413,Data_Validation!$A:$D,4,0)</f>
        <v>Taxes d`affaires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014" t="s">
        <v>1271</v>
      </c>
      <c r="B414" s="1014" t="s">
        <v>2634</v>
      </c>
      <c r="C414" s="1016">
        <v>1123.5</v>
      </c>
      <c r="D414" s="1016">
        <v>561.75</v>
      </c>
      <c r="E414" s="1016">
        <v>1685.25</v>
      </c>
      <c r="F414" s="1014" t="s">
        <v>401</v>
      </c>
      <c r="G414" s="1014" t="s">
        <v>2635</v>
      </c>
      <c r="H414" s="972"/>
      <c r="I414" s="975"/>
      <c r="J414" s="975"/>
      <c r="K414" s="975"/>
      <c r="L414" s="153" t="str">
        <f t="shared" si="18"/>
        <v>6594</v>
      </c>
      <c r="M414" s="154" t="str">
        <f t="shared" si="19"/>
        <v>FRAIS PROFESSIONNEL-CARROS.</v>
      </c>
      <c r="N414" s="155">
        <f>+IF(OR($Q414=Parametres!$G$2,$Q414=Parametres!$G$3),I414,C414)</f>
        <v>1123.5</v>
      </c>
      <c r="O414" s="155">
        <f>+IF(OR($Q414=Parametres!$G$2,$Q414=Parametres!$G$3),J414,D414)</f>
        <v>561.75</v>
      </c>
      <c r="P414" s="155">
        <f>+IF(OR($Q414=Parametres!$G$2,$Q414=Parametres!$G$3),K414,E414)</f>
        <v>1685.25</v>
      </c>
      <c r="Q414" s="154" t="str">
        <f t="shared" si="29"/>
        <v>7-Dépenses</v>
      </c>
      <c r="R414" s="153" t="str">
        <f t="shared" si="29"/>
        <v>6194</v>
      </c>
      <c r="S414" s="154">
        <f t="shared" si="29"/>
        <v>0</v>
      </c>
      <c r="T414" s="156" t="str">
        <f>+VLOOKUP($L414,Data_Validation!$A:$D,1,0)</f>
        <v>6594</v>
      </c>
      <c r="U414" s="156" t="str">
        <f>+VLOOKUP($L414,Data_Validation!$A:$D,3,0)</f>
        <v>Carrosserie</v>
      </c>
      <c r="V414" s="156" t="str">
        <f>+VLOOKUP($L414,Data_Validation!$A:$D,4,0)</f>
        <v>Honoraires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014" t="s">
        <v>399</v>
      </c>
      <c r="B415" s="1014" t="s">
        <v>2472</v>
      </c>
      <c r="C415" s="1016">
        <v>2091.9299999999998</v>
      </c>
      <c r="D415" s="1016">
        <v>57.07</v>
      </c>
      <c r="E415" s="1016">
        <v>2149</v>
      </c>
      <c r="F415" s="1014" t="s">
        <v>401</v>
      </c>
      <c r="G415" s="1014" t="s">
        <v>2467</v>
      </c>
      <c r="H415" s="972"/>
      <c r="I415" s="975"/>
      <c r="J415" s="975"/>
      <c r="K415" s="975"/>
      <c r="L415" s="153" t="str">
        <f t="shared" si="18"/>
        <v>6703</v>
      </c>
      <c r="M415" s="154" t="str">
        <f t="shared" si="19"/>
        <v>RELAT. A LA CLIENTELE &amp; AJUST.</v>
      </c>
      <c r="N415" s="155">
        <f>+IF(OR($Q415=Parametres!$G$2,$Q415=Parametres!$G$3),I415,C415)</f>
        <v>2091.9299999999998</v>
      </c>
      <c r="O415" s="155">
        <f>+IF(OR($Q415=Parametres!$G$2,$Q415=Parametres!$G$3),J415,D415)</f>
        <v>57.07</v>
      </c>
      <c r="P415" s="155">
        <f>+IF(OR($Q415=Parametres!$G$2,$Q415=Parametres!$G$3),K415,E415)</f>
        <v>2149</v>
      </c>
      <c r="Q415" s="154" t="str">
        <f t="shared" si="29"/>
        <v>7-Dépenses</v>
      </c>
      <c r="R415" s="153" t="str">
        <f t="shared" si="29"/>
        <v>6112</v>
      </c>
      <c r="S415" s="154">
        <f t="shared" si="29"/>
        <v>0</v>
      </c>
      <c r="T415" s="156" t="str">
        <f>+VLOOKUP($L415,Data_Validation!$A:$D,1,0)</f>
        <v>6703</v>
      </c>
      <c r="U415" s="156" t="str">
        <f>+VLOOKUP($L415,Data_Validation!$A:$D,3,0)</f>
        <v>Pièces</v>
      </c>
      <c r="V415" s="156" t="str">
        <f>+VLOOKUP($L415,Data_Validation!$A:$D,4,0)</f>
        <v>Service gratuit 2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014" t="s">
        <v>1374</v>
      </c>
      <c r="B416" s="1014" t="s">
        <v>2675</v>
      </c>
      <c r="C416" s="1016">
        <v>12305.14</v>
      </c>
      <c r="D416" s="1016">
        <v>7480.84</v>
      </c>
      <c r="E416" s="1016">
        <v>19785.98</v>
      </c>
      <c r="F416" s="1014" t="s">
        <v>401</v>
      </c>
      <c r="G416" s="1014" t="s">
        <v>2113</v>
      </c>
      <c r="H416" s="972"/>
      <c r="I416" s="975"/>
      <c r="J416" s="975"/>
      <c r="K416" s="975"/>
      <c r="L416" s="153" t="str">
        <f t="shared" si="18"/>
        <v>6714</v>
      </c>
      <c r="M416" s="154" t="str">
        <f t="shared" si="19"/>
        <v>PUBLICITE</v>
      </c>
      <c r="N416" s="155">
        <f>+IF(OR($Q416=Parametres!$G$2,$Q416=Parametres!$G$3),I416,C416)</f>
        <v>12305.14</v>
      </c>
      <c r="O416" s="155">
        <f>+IF(OR($Q416=Parametres!$G$2,$Q416=Parametres!$G$3),J416,D416)</f>
        <v>7480.84</v>
      </c>
      <c r="P416" s="155">
        <f>+IF(OR($Q416=Parametres!$G$2,$Q416=Parametres!$G$3),K416,E416)</f>
        <v>19785.98</v>
      </c>
      <c r="Q416" s="154" t="str">
        <f t="shared" si="29"/>
        <v>7-Dépenses</v>
      </c>
      <c r="R416" s="153" t="str">
        <f t="shared" si="29"/>
        <v>6114</v>
      </c>
      <c r="S416" s="154">
        <f t="shared" si="29"/>
        <v>0</v>
      </c>
      <c r="T416" s="156" t="str">
        <f>+VLOOKUP($L416,Data_Validation!$A:$D,1,0)</f>
        <v>6714</v>
      </c>
      <c r="U416" s="156" t="str">
        <f>+VLOOKUP($L416,Data_Validation!$A:$D,3,0)</f>
        <v>Pièces</v>
      </c>
      <c r="V416" s="156" t="str">
        <f>+VLOOKUP($L416,Data_Validation!$A:$D,4,0)</f>
        <v>Publicité 2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014" t="s">
        <v>1357</v>
      </c>
      <c r="B417" s="1014" t="s">
        <v>2715</v>
      </c>
      <c r="C417" s="1016">
        <v>8608.86</v>
      </c>
      <c r="D417" s="1016">
        <v>1800.66</v>
      </c>
      <c r="E417" s="1016">
        <v>10409.52</v>
      </c>
      <c r="F417" s="1014" t="s">
        <v>401</v>
      </c>
      <c r="G417" s="1014" t="s">
        <v>2648</v>
      </c>
      <c r="H417" s="972"/>
      <c r="I417" s="975"/>
      <c r="J417" s="975"/>
      <c r="K417" s="975"/>
      <c r="L417" s="153" t="str">
        <f t="shared" si="18"/>
        <v>6721</v>
      </c>
      <c r="M417" s="154" t="str">
        <f t="shared" si="19"/>
        <v>SALAIRES - PROPRIEATIRES</v>
      </c>
      <c r="N417" s="155">
        <f>+IF(OR($Q417=Parametres!$G$2,$Q417=Parametres!$G$3),I417,C417)</f>
        <v>8608.86</v>
      </c>
      <c r="O417" s="155">
        <f>+IF(OR($Q417=Parametres!$G$2,$Q417=Parametres!$G$3),J417,D417)</f>
        <v>1800.66</v>
      </c>
      <c r="P417" s="155">
        <f>+IF(OR($Q417=Parametres!$G$2,$Q417=Parametres!$G$3),K417,E417)</f>
        <v>10409.52</v>
      </c>
      <c r="Q417" s="154" t="str">
        <f t="shared" si="29"/>
        <v>7-Dépenses</v>
      </c>
      <c r="R417" s="153" t="str">
        <f t="shared" si="29"/>
        <v>6121</v>
      </c>
      <c r="S417" s="154">
        <f t="shared" si="29"/>
        <v>0</v>
      </c>
      <c r="T417" s="156" t="str">
        <f>+VLOOKUP($L417,Data_Validation!$A:$D,1,0)</f>
        <v>6721</v>
      </c>
      <c r="U417" s="156" t="str">
        <f>+VLOOKUP($L417,Data_Validation!$A:$D,3,0)</f>
        <v>Pièces</v>
      </c>
      <c r="V417" s="156" t="str">
        <f>+VLOOKUP($L417,Data_Validation!$A:$D,4,0)</f>
        <v>Salaires propriétaire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014" t="s">
        <v>2624</v>
      </c>
      <c r="B418" s="1014" t="s">
        <v>2765</v>
      </c>
      <c r="C418" s="1016">
        <v>19590.23</v>
      </c>
      <c r="D418" s="1016">
        <v>11077.66</v>
      </c>
      <c r="E418" s="1016">
        <v>30667.89</v>
      </c>
      <c r="F418" s="1014" t="s">
        <v>401</v>
      </c>
      <c r="G418" s="1014" t="s">
        <v>2626</v>
      </c>
      <c r="H418" s="972"/>
      <c r="I418" s="975"/>
      <c r="J418" s="975"/>
      <c r="K418" s="975"/>
      <c r="L418" s="153" t="str">
        <f t="shared" si="18"/>
        <v>6722</v>
      </c>
      <c r="M418" s="154" t="str">
        <f t="shared" si="19"/>
        <v>SAL SUPERVISION / GERANT</v>
      </c>
      <c r="N418" s="155">
        <f>+IF(OR($Q418=Parametres!$G$2,$Q418=Parametres!$G$3),I418,C418)</f>
        <v>19590.23</v>
      </c>
      <c r="O418" s="155">
        <f>+IF(OR($Q418=Parametres!$G$2,$Q418=Parametres!$G$3),J418,D418)</f>
        <v>11077.66</v>
      </c>
      <c r="P418" s="155">
        <f>+IF(OR($Q418=Parametres!$G$2,$Q418=Parametres!$G$3),K418,E418)</f>
        <v>30667.89</v>
      </c>
      <c r="Q418" s="154" t="str">
        <f t="shared" ref="Q418:S433" si="30">+F418</f>
        <v>7-Dépenses</v>
      </c>
      <c r="R418" s="153" t="str">
        <f t="shared" si="30"/>
        <v>6122</v>
      </c>
      <c r="S418" s="154">
        <f t="shared" si="30"/>
        <v>0</v>
      </c>
      <c r="T418" s="156" t="str">
        <f>+VLOOKUP($L418,Data_Validation!$A:$D,1,0)</f>
        <v>6722</v>
      </c>
      <c r="U418" s="156" t="str">
        <f>+VLOOKUP($L418,Data_Validation!$A:$D,3,0)</f>
        <v>Pièces</v>
      </c>
      <c r="V418" s="156" t="str">
        <f>+VLOOKUP($L418,Data_Validation!$A:$D,4,0)</f>
        <v>Salaires cadres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014" t="s">
        <v>1342</v>
      </c>
      <c r="B419" s="1014" t="s">
        <v>2731</v>
      </c>
      <c r="C419" s="1016">
        <v>7916.66</v>
      </c>
      <c r="D419" s="1016">
        <v>3271.87</v>
      </c>
      <c r="E419" s="1016">
        <v>11188.53</v>
      </c>
      <c r="F419" s="1014" t="s">
        <v>401</v>
      </c>
      <c r="G419" s="1014" t="s">
        <v>2679</v>
      </c>
      <c r="H419" s="972"/>
      <c r="I419" s="975"/>
      <c r="J419" s="975"/>
      <c r="K419" s="975"/>
      <c r="L419" s="153" t="str">
        <f t="shared" si="18"/>
        <v>6723</v>
      </c>
      <c r="M419" s="154" t="str">
        <f t="shared" si="19"/>
        <v>SAL. &amp; RENUM. - CLERICAL</v>
      </c>
      <c r="N419" s="155">
        <f>+IF(OR($Q419=Parametres!$G$2,$Q419=Parametres!$G$3),I419,C419)</f>
        <v>7916.66</v>
      </c>
      <c r="O419" s="155">
        <f>+IF(OR($Q419=Parametres!$G$2,$Q419=Parametres!$G$3),J419,D419)</f>
        <v>3271.87</v>
      </c>
      <c r="P419" s="155">
        <f>+IF(OR($Q419=Parametres!$G$2,$Q419=Parametres!$G$3),K419,E419)</f>
        <v>11188.53</v>
      </c>
      <c r="Q419" s="154" t="str">
        <f t="shared" si="30"/>
        <v>7-Dépenses</v>
      </c>
      <c r="R419" s="153" t="str">
        <f t="shared" si="30"/>
        <v>6123</v>
      </c>
      <c r="S419" s="154">
        <f t="shared" si="30"/>
        <v>0</v>
      </c>
      <c r="T419" s="156" t="str">
        <f>+VLOOKUP($L419,Data_Validation!$A:$D,1,0)</f>
        <v>6723</v>
      </c>
      <c r="U419" s="156" t="str">
        <f>+VLOOKUP($L419,Data_Validation!$A:$D,3,0)</f>
        <v>Pièces</v>
      </c>
      <c r="V419" s="156" t="str">
        <f>+VLOOKUP($L419,Data_Validation!$A:$D,4,0)</f>
        <v>Salaires commis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014" t="s">
        <v>1249</v>
      </c>
      <c r="B420" s="1014" t="s">
        <v>2800</v>
      </c>
      <c r="C420" s="1016">
        <v>30739.31</v>
      </c>
      <c r="D420" s="1016">
        <v>14497.42</v>
      </c>
      <c r="E420" s="1016">
        <v>45236.73</v>
      </c>
      <c r="F420" s="1014" t="s">
        <v>401</v>
      </c>
      <c r="G420" s="1014" t="s">
        <v>2735</v>
      </c>
      <c r="H420" s="972"/>
      <c r="I420" s="975"/>
      <c r="J420" s="975"/>
      <c r="K420" s="975"/>
      <c r="L420" s="153" t="str">
        <f t="shared" si="18"/>
        <v>6724</v>
      </c>
      <c r="M420" s="154" t="str">
        <f t="shared" si="19"/>
        <v>SALAIRES &amp; RENUM. - AUTRES</v>
      </c>
      <c r="N420" s="155">
        <f>+IF(OR($Q420=Parametres!$G$2,$Q420=Parametres!$G$3),I420,C420)</f>
        <v>30739.31</v>
      </c>
      <c r="O420" s="155">
        <f>+IF(OR($Q420=Parametres!$G$2,$Q420=Parametres!$G$3),J420,D420)</f>
        <v>14497.42</v>
      </c>
      <c r="P420" s="155">
        <f>+IF(OR($Q420=Parametres!$G$2,$Q420=Parametres!$G$3),K420,E420)</f>
        <v>45236.73</v>
      </c>
      <c r="Q420" s="154" t="str">
        <f t="shared" si="30"/>
        <v>7-Dépenses</v>
      </c>
      <c r="R420" s="153" t="str">
        <f t="shared" si="30"/>
        <v>6124</v>
      </c>
      <c r="S420" s="154">
        <f t="shared" si="30"/>
        <v>0</v>
      </c>
      <c r="T420" s="156" t="str">
        <f>+VLOOKUP($L420,Data_Validation!$A:$D,1,0)</f>
        <v>6724</v>
      </c>
      <c r="U420" s="156" t="str">
        <f>+VLOOKUP($L420,Data_Validation!$A:$D,3,0)</f>
        <v>Pièces</v>
      </c>
      <c r="V420" s="156" t="str">
        <f>+VLOOKUP($L420,Data_Validation!$A:$D,4,0)</f>
        <v>Salaires autres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014" t="s">
        <v>1328</v>
      </c>
      <c r="B421" s="1014" t="s">
        <v>2722</v>
      </c>
      <c r="C421" s="1016">
        <v>7352.91</v>
      </c>
      <c r="D421" s="1016">
        <v>3820.96</v>
      </c>
      <c r="E421" s="1016">
        <v>11173.87</v>
      </c>
      <c r="F421" s="1014" t="s">
        <v>401</v>
      </c>
      <c r="G421" s="1014" t="s">
        <v>2641</v>
      </c>
      <c r="H421" s="972"/>
      <c r="I421" s="975"/>
      <c r="J421" s="975"/>
      <c r="K421" s="975"/>
      <c r="L421" s="153" t="str">
        <f t="shared" si="18"/>
        <v>6729</v>
      </c>
      <c r="M421" s="154" t="str">
        <f t="shared" si="19"/>
        <v>ABSENCES, VACANCES, ETC</v>
      </c>
      <c r="N421" s="155">
        <f>+IF(OR($Q421=Parametres!$G$2,$Q421=Parametres!$G$3),I421,C421)</f>
        <v>7352.91</v>
      </c>
      <c r="O421" s="155">
        <f>+IF(OR($Q421=Parametres!$G$2,$Q421=Parametres!$G$3),J421,D421)</f>
        <v>3820.96</v>
      </c>
      <c r="P421" s="155">
        <f>+IF(OR($Q421=Parametres!$G$2,$Q421=Parametres!$G$3),K421,E421)</f>
        <v>11173.87</v>
      </c>
      <c r="Q421" s="154" t="str">
        <f t="shared" si="30"/>
        <v>7-Dépenses</v>
      </c>
      <c r="R421" s="153" t="str">
        <f t="shared" si="30"/>
        <v>6129</v>
      </c>
      <c r="S421" s="154">
        <f t="shared" si="30"/>
        <v>0</v>
      </c>
      <c r="T421" s="156" t="str">
        <f>+VLOOKUP($L421,Data_Validation!$A:$D,1,0)</f>
        <v>6729</v>
      </c>
      <c r="U421" s="156" t="str">
        <f>+VLOOKUP($L421,Data_Validation!$A:$D,3,0)</f>
        <v>Pièces</v>
      </c>
      <c r="V421" s="156" t="str">
        <f>+VLOOKUP($L421,Data_Validation!$A:$D,4,0)</f>
        <v>Salaires en absences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014" t="s">
        <v>1252</v>
      </c>
      <c r="B422" s="1014" t="s">
        <v>2667</v>
      </c>
      <c r="C422" s="1016">
        <v>1955.63</v>
      </c>
      <c r="D422" s="1016">
        <v>923.01</v>
      </c>
      <c r="E422" s="1016">
        <v>2878.64</v>
      </c>
      <c r="F422" s="1014" t="s">
        <v>401</v>
      </c>
      <c r="G422" s="1014" t="s">
        <v>2586</v>
      </c>
      <c r="H422" s="972"/>
      <c r="I422" s="975"/>
      <c r="J422" s="975"/>
      <c r="K422" s="975"/>
      <c r="L422" s="153" t="str">
        <f t="shared" si="18"/>
        <v>6731</v>
      </c>
      <c r="M422" s="154" t="str">
        <f t="shared" si="19"/>
        <v>CSST</v>
      </c>
      <c r="N422" s="155">
        <f>+IF(OR($Q422=Parametres!$G$2,$Q422=Parametres!$G$3),I422,C422)</f>
        <v>1955.63</v>
      </c>
      <c r="O422" s="155">
        <f>+IF(OR($Q422=Parametres!$G$2,$Q422=Parametres!$G$3),J422,D422)</f>
        <v>923.01</v>
      </c>
      <c r="P422" s="155">
        <f>+IF(OR($Q422=Parametres!$G$2,$Q422=Parametres!$G$3),K422,E422)</f>
        <v>2878.64</v>
      </c>
      <c r="Q422" s="154" t="str">
        <f t="shared" si="30"/>
        <v>7-Dépenses</v>
      </c>
      <c r="R422" s="153" t="str">
        <f t="shared" si="30"/>
        <v>6131</v>
      </c>
      <c r="S422" s="154">
        <f t="shared" si="30"/>
        <v>0</v>
      </c>
      <c r="T422" s="156" t="str">
        <f>+VLOOKUP($L422,Data_Validation!$A:$D,1,0)</f>
        <v>6731</v>
      </c>
      <c r="U422" s="156" t="str">
        <f>+VLOOKUP($L422,Data_Validation!$A:$D,3,0)</f>
        <v>Pièces</v>
      </c>
      <c r="V422" s="156" t="str">
        <f>+VLOOKUP($L422,Data_Validation!$A:$D,4,0)</f>
        <v>Salaires en absences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014" t="s">
        <v>1283</v>
      </c>
      <c r="B423" s="1014" t="s">
        <v>2733</v>
      </c>
      <c r="C423" s="1016">
        <v>7314.5</v>
      </c>
      <c r="D423" s="1016">
        <v>3795.48</v>
      </c>
      <c r="E423" s="1016">
        <v>11109.98</v>
      </c>
      <c r="F423" s="1014" t="s">
        <v>401</v>
      </c>
      <c r="G423" s="1014" t="s">
        <v>2685</v>
      </c>
      <c r="H423" s="972"/>
      <c r="I423" s="975"/>
      <c r="J423" s="975"/>
      <c r="K423" s="975"/>
      <c r="L423" s="153" t="str">
        <f t="shared" si="18"/>
        <v>6732</v>
      </c>
      <c r="M423" s="154" t="str">
        <f t="shared" si="19"/>
        <v>RRQ RAMQ AC</v>
      </c>
      <c r="N423" s="155">
        <f>+IF(OR($Q423=Parametres!$G$2,$Q423=Parametres!$G$3),I423,C423)</f>
        <v>7314.5</v>
      </c>
      <c r="O423" s="155">
        <f>+IF(OR($Q423=Parametres!$G$2,$Q423=Parametres!$G$3),J423,D423)</f>
        <v>3795.48</v>
      </c>
      <c r="P423" s="155">
        <f>+IF(OR($Q423=Parametres!$G$2,$Q423=Parametres!$G$3),K423,E423)</f>
        <v>11109.98</v>
      </c>
      <c r="Q423" s="154" t="str">
        <f t="shared" si="30"/>
        <v>7-Dépenses</v>
      </c>
      <c r="R423" s="153" t="str">
        <f t="shared" si="30"/>
        <v>6132</v>
      </c>
      <c r="S423" s="154">
        <f t="shared" si="30"/>
        <v>0</v>
      </c>
      <c r="T423" s="156" t="str">
        <f>+VLOOKUP($L423,Data_Validation!$A:$D,1,0)</f>
        <v>6732</v>
      </c>
      <c r="U423" s="156" t="str">
        <f>+VLOOKUP($L423,Data_Validation!$A:$D,3,0)</f>
        <v>Pièces</v>
      </c>
      <c r="V423" s="156" t="str">
        <f>+VLOOKUP($L423,Data_Validation!$A:$D,4,0)</f>
        <v>Csst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014" t="s">
        <v>1305</v>
      </c>
      <c r="B424" s="1014" t="s">
        <v>2744</v>
      </c>
      <c r="C424" s="1016">
        <v>8309.25</v>
      </c>
      <c r="D424" s="1016">
        <v>4236.63</v>
      </c>
      <c r="E424" s="1016">
        <v>12545.88</v>
      </c>
      <c r="F424" s="1014" t="s">
        <v>401</v>
      </c>
      <c r="G424" s="1014" t="s">
        <v>2694</v>
      </c>
      <c r="H424" s="972"/>
      <c r="I424" s="975"/>
      <c r="J424" s="975"/>
      <c r="K424" s="975"/>
      <c r="L424" s="153" t="str">
        <f t="shared" si="18"/>
        <v>6739</v>
      </c>
      <c r="M424" s="154" t="str">
        <f t="shared" si="19"/>
        <v>ASSURANCE GROUPE</v>
      </c>
      <c r="N424" s="155">
        <f>+IF(OR($Q424=Parametres!$G$2,$Q424=Parametres!$G$3),I424,C424)</f>
        <v>8309.25</v>
      </c>
      <c r="O424" s="155">
        <f>+IF(OR($Q424=Parametres!$G$2,$Q424=Parametres!$G$3),J424,D424)</f>
        <v>4236.63</v>
      </c>
      <c r="P424" s="155">
        <f>+IF(OR($Q424=Parametres!$G$2,$Q424=Parametres!$G$3),K424,E424)</f>
        <v>12545.88</v>
      </c>
      <c r="Q424" s="154" t="str">
        <f t="shared" si="30"/>
        <v>7-Dépenses</v>
      </c>
      <c r="R424" s="153" t="str">
        <f t="shared" si="30"/>
        <v>6139</v>
      </c>
      <c r="S424" s="154">
        <f t="shared" si="30"/>
        <v>0</v>
      </c>
      <c r="T424" s="156" t="str">
        <f>+VLOOKUP($L424,Data_Validation!$A:$D,1,0)</f>
        <v>6739</v>
      </c>
      <c r="U424" s="156" t="str">
        <f>+VLOOKUP($L424,Data_Validation!$A:$D,3,0)</f>
        <v>Pièces</v>
      </c>
      <c r="V424" s="156" t="str">
        <f>+VLOOKUP($L424,Data_Validation!$A:$D,4,0)</f>
        <v>Bénéfices marginaux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014" t="s">
        <v>1157</v>
      </c>
      <c r="B425" s="1014" t="s">
        <v>2598</v>
      </c>
      <c r="C425" s="1016">
        <v>205</v>
      </c>
      <c r="D425" s="1016">
        <v>105</v>
      </c>
      <c r="E425" s="1016">
        <v>310</v>
      </c>
      <c r="F425" s="1014" t="s">
        <v>401</v>
      </c>
      <c r="G425" s="1014" t="s">
        <v>2563</v>
      </c>
      <c r="H425" s="972"/>
      <c r="I425" s="975"/>
      <c r="J425" s="975"/>
      <c r="K425" s="975"/>
      <c r="L425" s="153" t="str">
        <f t="shared" si="18"/>
        <v>6742</v>
      </c>
      <c r="M425" s="154" t="str">
        <f t="shared" si="19"/>
        <v>FOURNITURES &amp; PETITS OUTILS</v>
      </c>
      <c r="N425" s="155">
        <f>+IF(OR($Q425=Parametres!$G$2,$Q425=Parametres!$G$3),I425,C425)</f>
        <v>205</v>
      </c>
      <c r="O425" s="155">
        <f>+IF(OR($Q425=Parametres!$G$2,$Q425=Parametres!$G$3),J425,D425)</f>
        <v>105</v>
      </c>
      <c r="P425" s="155">
        <f>+IF(OR($Q425=Parametres!$G$2,$Q425=Parametres!$G$3),K425,E425)</f>
        <v>310</v>
      </c>
      <c r="Q425" s="154" t="str">
        <f t="shared" si="30"/>
        <v>7-Dépenses</v>
      </c>
      <c r="R425" s="153" t="str">
        <f t="shared" si="30"/>
        <v>6142</v>
      </c>
      <c r="S425" s="154">
        <f t="shared" si="30"/>
        <v>0</v>
      </c>
      <c r="T425" s="156" t="str">
        <f>+VLOOKUP($L425,Data_Validation!$A:$D,1,0)</f>
        <v>6742</v>
      </c>
      <c r="U425" s="156" t="str">
        <f>+VLOOKUP($L425,Data_Validation!$A:$D,3,0)</f>
        <v>Pièces</v>
      </c>
      <c r="V425" s="156" t="str">
        <f>+VLOOKUP($L425,Data_Validation!$A:$D,4,0)</f>
        <v>Fournitures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014" t="s">
        <v>932</v>
      </c>
      <c r="B426" s="1014" t="s">
        <v>2474</v>
      </c>
      <c r="C426" s="1016">
        <v>340</v>
      </c>
      <c r="D426" s="1016">
        <v>170</v>
      </c>
      <c r="E426" s="1016">
        <v>510</v>
      </c>
      <c r="F426" s="1014" t="s">
        <v>401</v>
      </c>
      <c r="G426" s="1014" t="s">
        <v>2159</v>
      </c>
      <c r="H426" s="972"/>
      <c r="I426" s="975"/>
      <c r="J426" s="975"/>
      <c r="K426" s="975"/>
      <c r="L426" s="153" t="str">
        <f t="shared" si="18"/>
        <v>6743</v>
      </c>
      <c r="M426" s="154" t="str">
        <f t="shared" si="19"/>
        <v>UNIFORMES &amp; LESSIVE</v>
      </c>
      <c r="N426" s="155">
        <f>+IF(OR($Q426=Parametres!$G$2,$Q426=Parametres!$G$3),I426,C426)</f>
        <v>340</v>
      </c>
      <c r="O426" s="155">
        <f>+IF(OR($Q426=Parametres!$G$2,$Q426=Parametres!$G$3),J426,D426)</f>
        <v>170</v>
      </c>
      <c r="P426" s="155">
        <f>+IF(OR($Q426=Parametres!$G$2,$Q426=Parametres!$G$3),K426,E426)</f>
        <v>510</v>
      </c>
      <c r="Q426" s="154" t="str">
        <f t="shared" si="30"/>
        <v>7-Dépenses</v>
      </c>
      <c r="R426" s="153" t="str">
        <f t="shared" si="30"/>
        <v>6143</v>
      </c>
      <c r="S426" s="154">
        <f t="shared" si="30"/>
        <v>0</v>
      </c>
      <c r="T426" s="156" t="str">
        <f>+VLOOKUP($L426,Data_Validation!$A:$D,1,0)</f>
        <v>6743</v>
      </c>
      <c r="U426" s="156" t="str">
        <f>+VLOOKUP($L426,Data_Validation!$A:$D,3,0)</f>
        <v>Pièces</v>
      </c>
      <c r="V426" s="156" t="str">
        <f>+VLOOKUP($L426,Data_Validation!$A:$D,4,0)</f>
        <v>Uniformes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014" t="s">
        <v>934</v>
      </c>
      <c r="B427" s="1014" t="s">
        <v>2573</v>
      </c>
      <c r="C427" s="1016">
        <v>650</v>
      </c>
      <c r="D427" s="1016">
        <v>325</v>
      </c>
      <c r="E427" s="1016">
        <v>975</v>
      </c>
      <c r="F427" s="1014" t="s">
        <v>401</v>
      </c>
      <c r="G427" s="1014" t="s">
        <v>2561</v>
      </c>
      <c r="H427" s="972"/>
      <c r="I427" s="975"/>
      <c r="J427" s="975"/>
      <c r="K427" s="975"/>
      <c r="L427" s="153" t="str">
        <f t="shared" si="18"/>
        <v>6744</v>
      </c>
      <c r="M427" s="154" t="str">
        <f t="shared" si="19"/>
        <v>FORMATION</v>
      </c>
      <c r="N427" s="155">
        <f>+IF(OR($Q427=Parametres!$G$2,$Q427=Parametres!$G$3),I427,C427)</f>
        <v>650</v>
      </c>
      <c r="O427" s="155">
        <f>+IF(OR($Q427=Parametres!$G$2,$Q427=Parametres!$G$3),J427,D427)</f>
        <v>325</v>
      </c>
      <c r="P427" s="155">
        <f>+IF(OR($Q427=Parametres!$G$2,$Q427=Parametres!$G$3),K427,E427)</f>
        <v>975</v>
      </c>
      <c r="Q427" s="154" t="str">
        <f t="shared" si="30"/>
        <v>7-Dépenses</v>
      </c>
      <c r="R427" s="153" t="str">
        <f t="shared" si="30"/>
        <v>6144</v>
      </c>
      <c r="S427" s="154">
        <f t="shared" si="30"/>
        <v>0</v>
      </c>
      <c r="T427" s="156" t="str">
        <f>+VLOOKUP($L427,Data_Validation!$A:$D,1,0)</f>
        <v>6744</v>
      </c>
      <c r="U427" s="156" t="str">
        <f>+VLOOKUP($L427,Data_Validation!$A:$D,3,0)</f>
        <v>Pièces</v>
      </c>
      <c r="V427" s="156" t="str">
        <f>+VLOOKUP($L427,Data_Validation!$A:$D,4,0)</f>
        <v>Formation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014" t="s">
        <v>1186</v>
      </c>
      <c r="B428" s="1014" t="s">
        <v>2631</v>
      </c>
      <c r="C428" s="1016">
        <v>3468.89</v>
      </c>
      <c r="D428" s="1016">
        <v>380.8</v>
      </c>
      <c r="E428" s="1016">
        <v>3849.69</v>
      </c>
      <c r="F428" s="1014" t="s">
        <v>401</v>
      </c>
      <c r="G428" s="1014" t="s">
        <v>2632</v>
      </c>
      <c r="H428" s="972"/>
      <c r="I428" s="975"/>
      <c r="J428" s="975"/>
      <c r="K428" s="975"/>
      <c r="L428" s="153" t="str">
        <f t="shared" si="18"/>
        <v>6745</v>
      </c>
      <c r="M428" s="154" t="str">
        <f t="shared" si="19"/>
        <v>VEHICULE DE COMPAGNIE - DEPENS</v>
      </c>
      <c r="N428" s="155">
        <f>+IF(OR($Q428=Parametres!$G$2,$Q428=Parametres!$G$3),I428,C428)</f>
        <v>3468.89</v>
      </c>
      <c r="O428" s="155">
        <f>+IF(OR($Q428=Parametres!$G$2,$Q428=Parametres!$G$3),J428,D428)</f>
        <v>380.8</v>
      </c>
      <c r="P428" s="155">
        <f>+IF(OR($Q428=Parametres!$G$2,$Q428=Parametres!$G$3),K428,E428)</f>
        <v>3849.69</v>
      </c>
      <c r="Q428" s="154" t="str">
        <f t="shared" si="30"/>
        <v>7-Dépenses</v>
      </c>
      <c r="R428" s="153" t="str">
        <f t="shared" si="30"/>
        <v>6145</v>
      </c>
      <c r="S428" s="154">
        <f t="shared" si="30"/>
        <v>0</v>
      </c>
      <c r="T428" s="156" t="str">
        <f>+VLOOKUP($L428,Data_Validation!$A:$D,1,0)</f>
        <v>6745</v>
      </c>
      <c r="U428" s="156" t="str">
        <f>+VLOOKUP($L428,Data_Validation!$A:$D,3,0)</f>
        <v>Pièces</v>
      </c>
      <c r="V428" s="156" t="str">
        <f>+VLOOKUP($L428,Data_Validation!$A:$D,4,0)</f>
        <v>Frais véhicules de cie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014" t="s">
        <v>1180</v>
      </c>
      <c r="B429" s="1014" t="s">
        <v>2610</v>
      </c>
      <c r="C429" s="1016">
        <v>233.6</v>
      </c>
      <c r="D429" s="1016">
        <v>55.5</v>
      </c>
      <c r="E429" s="1016">
        <v>289.10000000000002</v>
      </c>
      <c r="F429" s="1014" t="s">
        <v>401</v>
      </c>
      <c r="G429" s="1014" t="s">
        <v>2581</v>
      </c>
      <c r="H429" s="972"/>
      <c r="I429" s="975"/>
      <c r="J429" s="975"/>
      <c r="K429" s="975"/>
      <c r="L429" s="153" t="str">
        <f t="shared" si="18"/>
        <v>6747</v>
      </c>
      <c r="M429" s="154" t="str">
        <f t="shared" si="19"/>
        <v>FRET/EXPRESS/TRANS. PAR CAMION</v>
      </c>
      <c r="N429" s="155">
        <f>+IF(OR($Q429=Parametres!$G$2,$Q429=Parametres!$G$3),I429,C429)</f>
        <v>233.6</v>
      </c>
      <c r="O429" s="155">
        <f>+IF(OR($Q429=Parametres!$G$2,$Q429=Parametres!$G$3),J429,D429)</f>
        <v>55.5</v>
      </c>
      <c r="P429" s="155">
        <f>+IF(OR($Q429=Parametres!$G$2,$Q429=Parametres!$G$3),K429,E429)</f>
        <v>289.10000000000002</v>
      </c>
      <c r="Q429" s="154" t="str">
        <f t="shared" si="30"/>
        <v>7-Dépenses</v>
      </c>
      <c r="R429" s="153" t="str">
        <f t="shared" si="30"/>
        <v>6147</v>
      </c>
      <c r="S429" s="154">
        <f t="shared" si="30"/>
        <v>0</v>
      </c>
      <c r="T429" s="156" t="str">
        <f>+VLOOKUP($L429,Data_Validation!$A:$D,1,0)</f>
        <v>6747</v>
      </c>
      <c r="U429" s="156" t="str">
        <f>+VLOOKUP($L429,Data_Validation!$A:$D,3,0)</f>
        <v>Pièces</v>
      </c>
      <c r="V429" s="156" t="str">
        <f>+VLOOKUP($L429,Data_Validation!$A:$D,4,0)</f>
        <v>Frais postaux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014" t="s">
        <v>1286</v>
      </c>
      <c r="B430" s="1014" t="s">
        <v>2739</v>
      </c>
      <c r="C430" s="1016">
        <v>6339.34</v>
      </c>
      <c r="D430" s="1016">
        <v>4236.79</v>
      </c>
      <c r="E430" s="1016">
        <v>10576.13</v>
      </c>
      <c r="F430" s="1014" t="s">
        <v>401</v>
      </c>
      <c r="G430" s="1014" t="s">
        <v>2702</v>
      </c>
      <c r="H430" s="972"/>
      <c r="I430" s="975"/>
      <c r="J430" s="975"/>
      <c r="K430" s="975"/>
      <c r="L430" s="153" t="str">
        <f t="shared" si="18"/>
        <v>6751</v>
      </c>
      <c r="M430" s="154" t="str">
        <f t="shared" si="19"/>
        <v>DEP. DU TRAITEMENT DES DONNEES</v>
      </c>
      <c r="N430" s="155">
        <f>+IF(OR($Q430=Parametres!$G$2,$Q430=Parametres!$G$3),I430,C430)</f>
        <v>6339.34</v>
      </c>
      <c r="O430" s="155">
        <f>+IF(OR($Q430=Parametres!$G$2,$Q430=Parametres!$G$3),J430,D430)</f>
        <v>4236.79</v>
      </c>
      <c r="P430" s="155">
        <f>+IF(OR($Q430=Parametres!$G$2,$Q430=Parametres!$G$3),K430,E430)</f>
        <v>10576.13</v>
      </c>
      <c r="Q430" s="154" t="str">
        <f t="shared" si="30"/>
        <v>7-Dépenses</v>
      </c>
      <c r="R430" s="153" t="str">
        <f t="shared" si="30"/>
        <v>6151</v>
      </c>
      <c r="S430" s="154">
        <f t="shared" si="30"/>
        <v>0</v>
      </c>
      <c r="T430" s="156" t="str">
        <f>+VLOOKUP($L430,Data_Validation!$A:$D,1,0)</f>
        <v>6751</v>
      </c>
      <c r="U430" s="156" t="str">
        <f>+VLOOKUP($L430,Data_Validation!$A:$D,3,0)</f>
        <v>Pièces</v>
      </c>
      <c r="V430" s="156" t="str">
        <f>+VLOOKUP($L430,Data_Validation!$A:$D,4,0)</f>
        <v>Informatique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014" t="s">
        <v>1206</v>
      </c>
      <c r="B431" s="1014" t="s">
        <v>2646</v>
      </c>
      <c r="C431" s="1016">
        <v>925</v>
      </c>
      <c r="D431" s="1016">
        <v>462.5</v>
      </c>
      <c r="E431" s="1016">
        <v>1387.5</v>
      </c>
      <c r="F431" s="1014" t="s">
        <v>401</v>
      </c>
      <c r="G431" s="1014" t="s">
        <v>2588</v>
      </c>
      <c r="H431" s="972"/>
      <c r="I431" s="975"/>
      <c r="J431" s="975"/>
      <c r="K431" s="975"/>
      <c r="L431" s="153" t="str">
        <f t="shared" si="18"/>
        <v>6752</v>
      </c>
      <c r="M431" s="154" t="str">
        <f t="shared" si="19"/>
        <v>PAPETERIE</v>
      </c>
      <c r="N431" s="155">
        <f>+IF(OR($Q431=Parametres!$G$2,$Q431=Parametres!$G$3),I431,C431)</f>
        <v>925</v>
      </c>
      <c r="O431" s="155">
        <f>+IF(OR($Q431=Parametres!$G$2,$Q431=Parametres!$G$3),J431,D431)</f>
        <v>462.5</v>
      </c>
      <c r="P431" s="155">
        <f>+IF(OR($Q431=Parametres!$G$2,$Q431=Parametres!$G$3),K431,E431)</f>
        <v>1387.5</v>
      </c>
      <c r="Q431" s="154" t="str">
        <f t="shared" si="30"/>
        <v>7-Dépenses</v>
      </c>
      <c r="R431" s="153" t="str">
        <f t="shared" si="30"/>
        <v>6152</v>
      </c>
      <c r="S431" s="154">
        <f t="shared" si="30"/>
        <v>0</v>
      </c>
      <c r="T431" s="156" t="str">
        <f>+VLOOKUP($L431,Data_Validation!$A:$D,1,0)</f>
        <v>6752</v>
      </c>
      <c r="U431" s="156" t="str">
        <f>+VLOOKUP($L431,Data_Validation!$A:$D,3,0)</f>
        <v>Pièces</v>
      </c>
      <c r="V431" s="156" t="str">
        <f>+VLOOKUP($L431,Data_Validation!$A:$D,4,0)</f>
        <v>Papeterie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014" t="s">
        <v>1154</v>
      </c>
      <c r="B432" s="1014" t="s">
        <v>2630</v>
      </c>
      <c r="C432" s="1016">
        <v>612.88</v>
      </c>
      <c r="D432" s="1016">
        <v>418.82</v>
      </c>
      <c r="E432" s="1016">
        <v>1031.7</v>
      </c>
      <c r="F432" s="1014" t="s">
        <v>401</v>
      </c>
      <c r="G432" s="1014" t="s">
        <v>2592</v>
      </c>
      <c r="H432" s="972"/>
      <c r="I432" s="975"/>
      <c r="J432" s="975"/>
      <c r="K432" s="975"/>
      <c r="L432" s="153" t="str">
        <f t="shared" si="18"/>
        <v>6753</v>
      </c>
      <c r="M432" s="154" t="str">
        <f t="shared" si="19"/>
        <v>TELEPHONE ET TELEX</v>
      </c>
      <c r="N432" s="155">
        <f>+IF(OR($Q432=Parametres!$G$2,$Q432=Parametres!$G$3),I432,C432)</f>
        <v>612.88</v>
      </c>
      <c r="O432" s="155">
        <f>+IF(OR($Q432=Parametres!$G$2,$Q432=Parametres!$G$3),J432,D432)</f>
        <v>418.82</v>
      </c>
      <c r="P432" s="155">
        <f>+IF(OR($Q432=Parametres!$G$2,$Q432=Parametres!$G$3),K432,E432)</f>
        <v>1031.7</v>
      </c>
      <c r="Q432" s="154" t="str">
        <f t="shared" si="30"/>
        <v>7-Dépenses</v>
      </c>
      <c r="R432" s="153" t="str">
        <f t="shared" si="30"/>
        <v>6153</v>
      </c>
      <c r="S432" s="154">
        <f t="shared" si="30"/>
        <v>0</v>
      </c>
      <c r="T432" s="156" t="str">
        <f>+VLOOKUP($L432,Data_Validation!$A:$D,1,0)</f>
        <v>6753</v>
      </c>
      <c r="U432" s="156" t="str">
        <f>+VLOOKUP($L432,Data_Validation!$A:$D,3,0)</f>
        <v>Pièces</v>
      </c>
      <c r="V432" s="156" t="str">
        <f>+VLOOKUP($L432,Data_Validation!$A:$D,4,0)</f>
        <v>Téléphone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1014" t="s">
        <v>1237</v>
      </c>
      <c r="B433" s="1014" t="s">
        <v>2704</v>
      </c>
      <c r="C433" s="1016">
        <v>2808.11</v>
      </c>
      <c r="D433" s="1016">
        <v>1174.57</v>
      </c>
      <c r="E433" s="1016">
        <v>3982.68</v>
      </c>
      <c r="F433" s="1014" t="s">
        <v>401</v>
      </c>
      <c r="G433" s="1014" t="s">
        <v>2637</v>
      </c>
      <c r="H433" s="972"/>
      <c r="I433" s="975"/>
      <c r="J433" s="975"/>
      <c r="K433" s="975"/>
      <c r="L433" s="153" t="str">
        <f t="shared" si="18"/>
        <v>6755</v>
      </c>
      <c r="M433" s="154" t="str">
        <f t="shared" si="19"/>
        <v>DEPENSES DIVERS</v>
      </c>
      <c r="N433" s="155">
        <f>+IF(OR($Q433=Parametres!$G$2,$Q433=Parametres!$G$3),I433,C433)</f>
        <v>2808.11</v>
      </c>
      <c r="O433" s="155">
        <f>+IF(OR($Q433=Parametres!$G$2,$Q433=Parametres!$G$3),J433,D433)</f>
        <v>1174.57</v>
      </c>
      <c r="P433" s="155">
        <f>+IF(OR($Q433=Parametres!$G$2,$Q433=Parametres!$G$3),K433,E433)</f>
        <v>3982.68</v>
      </c>
      <c r="Q433" s="154" t="str">
        <f t="shared" si="30"/>
        <v>7-Dépenses</v>
      </c>
      <c r="R433" s="153" t="str">
        <f t="shared" si="30"/>
        <v>6155</v>
      </c>
      <c r="S433" s="154">
        <f t="shared" si="30"/>
        <v>0</v>
      </c>
      <c r="T433" s="156" t="str">
        <f>+VLOOKUP($L433,Data_Validation!$A:$D,1,0)</f>
        <v>6755</v>
      </c>
      <c r="U433" s="156" t="str">
        <f>+VLOOKUP($L433,Data_Validation!$A:$D,3,0)</f>
        <v>Pièces</v>
      </c>
      <c r="V433" s="156" t="str">
        <f>+VLOOKUP($L433,Data_Validation!$A:$D,4,0)</f>
        <v>Divers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014" t="s">
        <v>1294</v>
      </c>
      <c r="B434" s="1014" t="s">
        <v>2475</v>
      </c>
      <c r="C434" s="1016">
        <v>3038.5</v>
      </c>
      <c r="D434" s="1016">
        <v>1519.25</v>
      </c>
      <c r="E434" s="1016">
        <v>4557.75</v>
      </c>
      <c r="F434" s="1014" t="s">
        <v>401</v>
      </c>
      <c r="G434" s="1014" t="s">
        <v>2470</v>
      </c>
      <c r="H434" s="150"/>
      <c r="I434" s="152"/>
      <c r="J434" s="152"/>
      <c r="K434" s="152"/>
      <c r="L434" s="153" t="str">
        <f t="shared" si="18"/>
        <v>6756</v>
      </c>
      <c r="M434" s="154" t="str">
        <f t="shared" si="19"/>
        <v>FRAIS REPRESENTATION - PIECES</v>
      </c>
      <c r="N434" s="155">
        <f>+IF(OR($Q434=Parametres!$G$2,$Q434=Parametres!$G$3),I434,C434)</f>
        <v>3038.5</v>
      </c>
      <c r="O434" s="155">
        <f>+IF(OR($Q434=Parametres!$G$2,$Q434=Parametres!$G$3),J434,D434)</f>
        <v>1519.25</v>
      </c>
      <c r="P434" s="155">
        <f>+IF(OR($Q434=Parametres!$G$2,$Q434=Parametres!$G$3),K434,E434)</f>
        <v>4557.75</v>
      </c>
      <c r="Q434" s="154" t="str">
        <f t="shared" ref="Q434:S449" si="31">+F434</f>
        <v>7-Dépenses</v>
      </c>
      <c r="R434" s="153" t="str">
        <f t="shared" si="31"/>
        <v>6156</v>
      </c>
      <c r="S434" s="154">
        <f t="shared" si="31"/>
        <v>0</v>
      </c>
      <c r="T434" s="156" t="str">
        <f>+VLOOKUP($L434,Data_Validation!$A:$D,1,0)</f>
        <v>6756</v>
      </c>
      <c r="U434" s="156" t="str">
        <f>+VLOOKUP($L434,Data_Validation!$A:$D,3,0)</f>
        <v>Pièces</v>
      </c>
      <c r="V434" s="156" t="str">
        <f>+VLOOKUP($L434,Data_Validation!$A:$D,4,0)</f>
        <v>Frais de déplacement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014" t="s">
        <v>1308</v>
      </c>
      <c r="B435" s="1014" t="s">
        <v>2775</v>
      </c>
      <c r="C435" s="1016">
        <v>20462.16</v>
      </c>
      <c r="D435" s="1016">
        <v>11643.14</v>
      </c>
      <c r="E435" s="1016">
        <v>32105.3</v>
      </c>
      <c r="F435" s="1014" t="s">
        <v>401</v>
      </c>
      <c r="G435" s="1014" t="s">
        <v>2662</v>
      </c>
      <c r="H435" s="150"/>
      <c r="I435" s="152"/>
      <c r="J435" s="152"/>
      <c r="K435" s="152"/>
      <c r="L435" s="153" t="str">
        <f t="shared" si="18"/>
        <v>6759</v>
      </c>
      <c r="M435" s="154" t="str">
        <f t="shared" si="19"/>
        <v>SERVICE EXTERIEUR</v>
      </c>
      <c r="N435" s="155">
        <f>+IF(OR($Q435=Parametres!$G$2,$Q435=Parametres!$G$3),I435,C435)</f>
        <v>20462.16</v>
      </c>
      <c r="O435" s="155">
        <f>+IF(OR($Q435=Parametres!$G$2,$Q435=Parametres!$G$3),J435,D435)</f>
        <v>11643.14</v>
      </c>
      <c r="P435" s="155">
        <f>+IF(OR($Q435=Parametres!$G$2,$Q435=Parametres!$G$3),K435,E435)</f>
        <v>32105.3</v>
      </c>
      <c r="Q435" s="154" t="str">
        <f t="shared" si="31"/>
        <v>7-Dépenses</v>
      </c>
      <c r="R435" s="153" t="str">
        <f t="shared" si="31"/>
        <v>6159</v>
      </c>
      <c r="S435" s="154">
        <f t="shared" si="31"/>
        <v>0</v>
      </c>
      <c r="T435" s="156" t="str">
        <f>+VLOOKUP($L435,Data_Validation!$A:$D,1,0)</f>
        <v>6759</v>
      </c>
      <c r="U435" s="156" t="str">
        <f>+VLOOKUP($L435,Data_Validation!$A:$D,3,0)</f>
        <v>Pièces</v>
      </c>
      <c r="V435" s="156" t="str">
        <f>+VLOOKUP($L435,Data_Validation!$A:$D,4,0)</f>
        <v>Services extérieurs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customHeight="1">
      <c r="A436" s="1014" t="s">
        <v>1333</v>
      </c>
      <c r="B436" s="1014" t="s">
        <v>2718</v>
      </c>
      <c r="C436" s="1016">
        <v>4500</v>
      </c>
      <c r="D436" s="1016">
        <v>2250</v>
      </c>
      <c r="E436" s="1016">
        <v>6750</v>
      </c>
      <c r="F436" s="1014" t="s">
        <v>401</v>
      </c>
      <c r="G436" s="1014" t="s">
        <v>2653</v>
      </c>
      <c r="H436" s="150"/>
      <c r="I436" s="152"/>
      <c r="J436" s="152"/>
      <c r="K436" s="152"/>
      <c r="L436" s="153" t="str">
        <f t="shared" si="18"/>
        <v>6761</v>
      </c>
      <c r="M436" s="154" t="str">
        <f t="shared" si="19"/>
        <v>DEPRECIATION EQUIP. &amp; FIXTURES</v>
      </c>
      <c r="N436" s="155">
        <f>+IF(OR($Q436=Parametres!$G$2,$Q436=Parametres!$G$3),I436,C436)</f>
        <v>4500</v>
      </c>
      <c r="O436" s="155">
        <f>+IF(OR($Q436=Parametres!$G$2,$Q436=Parametres!$G$3),J436,D436)</f>
        <v>2250</v>
      </c>
      <c r="P436" s="155">
        <f>+IF(OR($Q436=Parametres!$G$2,$Q436=Parametres!$G$3),K436,E436)</f>
        <v>6750</v>
      </c>
      <c r="Q436" s="154" t="str">
        <f t="shared" si="31"/>
        <v>7-Dépenses</v>
      </c>
      <c r="R436" s="153" t="str">
        <f t="shared" si="31"/>
        <v>6161</v>
      </c>
      <c r="S436" s="154">
        <f t="shared" si="31"/>
        <v>0</v>
      </c>
      <c r="T436" s="156" t="str">
        <f>+VLOOKUP($L436,Data_Validation!$A:$D,1,0)</f>
        <v>6761</v>
      </c>
      <c r="U436" s="156" t="str">
        <f>+VLOOKUP($L436,Data_Validation!$A:$D,3,0)</f>
        <v>Pièces</v>
      </c>
      <c r="V436" s="156" t="str">
        <f>+VLOOKUP($L436,Data_Validation!$A:$D,4,0)</f>
        <v>Amortissement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customHeight="1">
      <c r="A437" s="1014" t="s">
        <v>936</v>
      </c>
      <c r="B437" s="1014" t="s">
        <v>2476</v>
      </c>
      <c r="C437" s="1016">
        <v>800</v>
      </c>
      <c r="D437" s="1016">
        <v>400</v>
      </c>
      <c r="E437" s="1016">
        <v>1200</v>
      </c>
      <c r="F437" s="1014" t="s">
        <v>401</v>
      </c>
      <c r="G437" s="1014" t="s">
        <v>2463</v>
      </c>
      <c r="H437" s="150"/>
      <c r="I437" s="152"/>
      <c r="J437" s="152"/>
      <c r="K437" s="152"/>
      <c r="L437" s="153" t="str">
        <f t="shared" si="18"/>
        <v>6762</v>
      </c>
      <c r="M437" s="154" t="str">
        <f t="shared" si="19"/>
        <v>LOCATION D'EQUIPEMENTS</v>
      </c>
      <c r="N437" s="155">
        <f>+IF(OR($Q437=Parametres!$G$2,$Q437=Parametres!$G$3),I437,C437)</f>
        <v>800</v>
      </c>
      <c r="O437" s="155">
        <f>+IF(OR($Q437=Parametres!$G$2,$Q437=Parametres!$G$3),J437,D437)</f>
        <v>400</v>
      </c>
      <c r="P437" s="155">
        <f>+IF(OR($Q437=Parametres!$G$2,$Q437=Parametres!$G$3),K437,E437)</f>
        <v>1200</v>
      </c>
      <c r="Q437" s="154" t="str">
        <f t="shared" si="31"/>
        <v>7-Dépenses</v>
      </c>
      <c r="R437" s="153" t="str">
        <f t="shared" si="31"/>
        <v>6162</v>
      </c>
      <c r="S437" s="154">
        <f t="shared" si="31"/>
        <v>0</v>
      </c>
      <c r="T437" s="156" t="str">
        <f>+VLOOKUP($L437,Data_Validation!$A:$D,1,0)</f>
        <v>6762</v>
      </c>
      <c r="U437" s="156" t="str">
        <f>+VLOOKUP($L437,Data_Validation!$A:$D,3,0)</f>
        <v>Pièces</v>
      </c>
      <c r="V437" s="156" t="str">
        <f>+VLOOKUP($L437,Data_Validation!$A:$D,4,0)</f>
        <v>Location équipement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customHeight="1">
      <c r="A438" s="1014" t="s">
        <v>1316</v>
      </c>
      <c r="B438" s="1014" t="s">
        <v>2671</v>
      </c>
      <c r="C438" s="1016">
        <v>1835</v>
      </c>
      <c r="D438" s="1016">
        <v>917.5</v>
      </c>
      <c r="E438" s="1016">
        <v>2752.5</v>
      </c>
      <c r="F438" s="1014" t="s">
        <v>401</v>
      </c>
      <c r="G438" s="1014" t="s">
        <v>2604</v>
      </c>
      <c r="H438" s="150"/>
      <c r="I438" s="152"/>
      <c r="J438" s="152"/>
      <c r="K438" s="152"/>
      <c r="L438" s="153" t="str">
        <f t="shared" si="18"/>
        <v>6781</v>
      </c>
      <c r="M438" s="154" t="str">
        <f t="shared" si="19"/>
        <v>CHAUFFAGE,ELECTRICITE,EAU-PIECES</v>
      </c>
      <c r="N438" s="155">
        <f>+IF(OR($Q438=Parametres!$G$2,$Q438=Parametres!$G$3),I438,C438)</f>
        <v>1835</v>
      </c>
      <c r="O438" s="577">
        <f>+IF(OR($Q438=Parametres!$G$2,$Q438=Parametres!$G$3),J438,D438)</f>
        <v>917.5</v>
      </c>
      <c r="P438" s="155">
        <f>+IF(OR($Q438=Parametres!$G$2,$Q438=Parametres!$G$3),K438,E438)</f>
        <v>2752.5</v>
      </c>
      <c r="Q438" s="154" t="str">
        <f t="shared" si="31"/>
        <v>7-Dépenses</v>
      </c>
      <c r="R438" s="153" t="str">
        <f t="shared" si="31"/>
        <v>6181</v>
      </c>
      <c r="S438" s="154">
        <f t="shared" si="31"/>
        <v>0</v>
      </c>
      <c r="T438" s="156" t="str">
        <f>+VLOOKUP($L438,Data_Validation!$A:$D,1,0)</f>
        <v>6781</v>
      </c>
      <c r="U438" s="156" t="str">
        <f>+VLOOKUP($L438,Data_Validation!$A:$D,3,0)</f>
        <v>Pièces</v>
      </c>
      <c r="V438" s="156" t="str">
        <f>+VLOOKUP($L438,Data_Validation!$A:$D,4,0)</f>
        <v>Chauffage, éclairage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014" t="s">
        <v>1457</v>
      </c>
      <c r="B439" s="1014" t="s">
        <v>2760</v>
      </c>
      <c r="C439" s="1016">
        <v>13000.03</v>
      </c>
      <c r="D439" s="1016">
        <v>6500</v>
      </c>
      <c r="E439" s="1016">
        <v>19500.03</v>
      </c>
      <c r="F439" s="1014" t="s">
        <v>401</v>
      </c>
      <c r="G439" s="1014" t="s">
        <v>2709</v>
      </c>
      <c r="H439" s="150"/>
      <c r="I439" s="152"/>
      <c r="J439" s="152"/>
      <c r="K439" s="152"/>
      <c r="L439" s="153" t="str">
        <f t="shared" si="18"/>
        <v>6782</v>
      </c>
      <c r="M439" s="154" t="str">
        <f t="shared" si="19"/>
        <v>LOYER - PIECES</v>
      </c>
      <c r="N439" s="155">
        <f>+IF(OR($Q439=Parametres!$G$2,$Q439=Parametres!$G$3),I439,C439)</f>
        <v>13000.03</v>
      </c>
      <c r="O439" s="155">
        <f>+IF(OR($Q439=Parametres!$G$2,$Q439=Parametres!$G$3),J439,D439)</f>
        <v>6500</v>
      </c>
      <c r="P439" s="155">
        <f>+IF(OR($Q439=Parametres!$G$2,$Q439=Parametres!$G$3),K439,E439)</f>
        <v>19500.03</v>
      </c>
      <c r="Q439" s="154" t="str">
        <f t="shared" si="31"/>
        <v>7-Dépenses</v>
      </c>
      <c r="R439" s="153" t="str">
        <f t="shared" si="31"/>
        <v>6182</v>
      </c>
      <c r="S439" s="154">
        <f t="shared" si="31"/>
        <v>0</v>
      </c>
      <c r="T439" s="156" t="str">
        <f>+VLOOKUP($L439,Data_Validation!$A:$D,1,0)</f>
        <v>6782</v>
      </c>
      <c r="U439" s="156" t="str">
        <f>+VLOOKUP($L439,Data_Validation!$A:$D,3,0)</f>
        <v>Pièces</v>
      </c>
      <c r="V439" s="156" t="str">
        <f>+VLOOKUP($L439,Data_Validation!$A:$D,4,0)</f>
        <v>Loyer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customHeight="1">
      <c r="A440" s="1014" t="s">
        <v>1352</v>
      </c>
      <c r="B440" s="1014" t="s">
        <v>2660</v>
      </c>
      <c r="C440" s="1016">
        <v>750</v>
      </c>
      <c r="D440" s="1016">
        <v>375</v>
      </c>
      <c r="E440" s="1016">
        <v>1125</v>
      </c>
      <c r="F440" s="1014" t="s">
        <v>401</v>
      </c>
      <c r="G440" s="1014" t="s">
        <v>2594</v>
      </c>
      <c r="H440" s="150"/>
      <c r="I440" s="152"/>
      <c r="J440" s="152"/>
      <c r="K440" s="152"/>
      <c r="L440" s="153" t="str">
        <f t="shared" si="18"/>
        <v>6786</v>
      </c>
      <c r="M440" s="154" t="str">
        <f t="shared" si="19"/>
        <v>ASSURANCE BATISSE &amp; AMEL.-PIECES</v>
      </c>
      <c r="N440" s="155">
        <f>+IF(OR($Q440=Parametres!$G$2,$Q440=Parametres!$G$3),I440,C440)</f>
        <v>750</v>
      </c>
      <c r="O440" s="572">
        <f>+IF(OR($Q440=Parametres!$G$2,$Q440=Parametres!$G$3),J440,D440)</f>
        <v>375</v>
      </c>
      <c r="P440" s="155">
        <f>+IF(OR($Q440=Parametres!$G$2,$Q440=Parametres!$G$3),K440,E440)</f>
        <v>1125</v>
      </c>
      <c r="Q440" s="154" t="str">
        <f t="shared" si="31"/>
        <v>7-Dépenses</v>
      </c>
      <c r="R440" s="153" t="str">
        <f t="shared" si="31"/>
        <v>6186</v>
      </c>
      <c r="S440" s="154">
        <f t="shared" si="31"/>
        <v>0</v>
      </c>
      <c r="T440" s="156" t="str">
        <f>+VLOOKUP($L440,Data_Validation!$A:$D,1,0)</f>
        <v>6786</v>
      </c>
      <c r="U440" s="156" t="str">
        <f>+VLOOKUP($L440,Data_Validation!$A:$D,3,0)</f>
        <v>Pièces</v>
      </c>
      <c r="V440" s="156" t="str">
        <f>+VLOOKUP($L440,Data_Validation!$A:$D,4,0)</f>
        <v>Assurances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customHeight="1">
      <c r="A441" s="1014" t="s">
        <v>1344</v>
      </c>
      <c r="B441" s="1014" t="s">
        <v>2686</v>
      </c>
      <c r="C441" s="1016">
        <v>2350</v>
      </c>
      <c r="D441" s="1016">
        <v>1175</v>
      </c>
      <c r="E441" s="1016">
        <v>3525</v>
      </c>
      <c r="F441" s="1014" t="s">
        <v>401</v>
      </c>
      <c r="G441" s="1014" t="s">
        <v>2614</v>
      </c>
      <c r="H441" s="150"/>
      <c r="I441" s="152"/>
      <c r="J441" s="152"/>
      <c r="K441" s="152"/>
      <c r="L441" s="153" t="str">
        <f t="shared" si="18"/>
        <v>6787</v>
      </c>
      <c r="M441" s="154" t="str">
        <f t="shared" si="19"/>
        <v>TAXES FONCIERES - PIECES</v>
      </c>
      <c r="N441" s="155">
        <f>+IF(OR($Q441=Parametres!$G$2,$Q441=Parametres!$G$3),I441,C441)</f>
        <v>2350</v>
      </c>
      <c r="O441" s="155">
        <f>+IF(OR($Q441=Parametres!$G$2,$Q441=Parametres!$G$3),J441,D441)</f>
        <v>1175</v>
      </c>
      <c r="P441" s="155">
        <f>+IF(OR($Q441=Parametres!$G$2,$Q441=Parametres!$G$3),K441,E441)</f>
        <v>3525</v>
      </c>
      <c r="Q441" s="154" t="str">
        <f t="shared" si="31"/>
        <v>7-Dépenses</v>
      </c>
      <c r="R441" s="153" t="str">
        <f t="shared" si="31"/>
        <v>6187</v>
      </c>
      <c r="S441" s="154">
        <f t="shared" si="31"/>
        <v>0</v>
      </c>
      <c r="T441" s="156" t="str">
        <f>+VLOOKUP($L441,Data_Validation!$A:$D,1,0)</f>
        <v>6787</v>
      </c>
      <c r="U441" s="156" t="str">
        <f>+VLOOKUP($L441,Data_Validation!$A:$D,3,0)</f>
        <v>Pièces</v>
      </c>
      <c r="V441" s="156" t="str">
        <f>+VLOOKUP($L441,Data_Validation!$A:$D,4,0)</f>
        <v>Taxes foncières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014" t="s">
        <v>1278</v>
      </c>
      <c r="B442" s="1014" t="s">
        <v>2665</v>
      </c>
      <c r="C442" s="1016">
        <v>1575</v>
      </c>
      <c r="D442" s="1016">
        <v>787.5</v>
      </c>
      <c r="E442" s="1016">
        <v>2362.5</v>
      </c>
      <c r="F442" s="1014" t="s">
        <v>401</v>
      </c>
      <c r="G442" s="1014" t="s">
        <v>2597</v>
      </c>
      <c r="H442" s="150"/>
      <c r="I442" s="152"/>
      <c r="J442" s="152"/>
      <c r="K442" s="152"/>
      <c r="L442" s="153" t="str">
        <f t="shared" si="18"/>
        <v>6793</v>
      </c>
      <c r="M442" s="154" t="str">
        <f t="shared" si="19"/>
        <v>AUTRES TAXES - PIECES</v>
      </c>
      <c r="N442" s="155">
        <f>+IF(OR($Q442=Parametres!$G$2,$Q442=Parametres!$G$3),I442,C442)</f>
        <v>1575</v>
      </c>
      <c r="O442" s="155">
        <f>+IF(OR($Q442=Parametres!$G$2,$Q442=Parametres!$G$3),J442,D442)</f>
        <v>787.5</v>
      </c>
      <c r="P442" s="155">
        <f>+IF(OR($Q442=Parametres!$G$2,$Q442=Parametres!$G$3),K442,E442)</f>
        <v>2362.5</v>
      </c>
      <c r="Q442" s="154" t="str">
        <f t="shared" si="31"/>
        <v>7-Dépenses</v>
      </c>
      <c r="R442" s="153" t="str">
        <f t="shared" si="31"/>
        <v>6193</v>
      </c>
      <c r="S442" s="154">
        <f t="shared" si="31"/>
        <v>0</v>
      </c>
      <c r="T442" s="156" t="str">
        <f>+VLOOKUP($L442,Data_Validation!$A:$D,1,0)</f>
        <v>6793</v>
      </c>
      <c r="U442" s="156" t="str">
        <f>+VLOOKUP($L442,Data_Validation!$A:$D,3,0)</f>
        <v>Pièces</v>
      </c>
      <c r="V442" s="156" t="str">
        <f>+VLOOKUP($L442,Data_Validation!$A:$D,4,0)</f>
        <v>Taxes d`affaires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014" t="s">
        <v>1371</v>
      </c>
      <c r="B443" s="1014" t="s">
        <v>2703</v>
      </c>
      <c r="C443" s="1016">
        <v>4012.5</v>
      </c>
      <c r="D443" s="1016">
        <v>2006.25</v>
      </c>
      <c r="E443" s="1016">
        <v>6018.75</v>
      </c>
      <c r="F443" s="1014" t="s">
        <v>401</v>
      </c>
      <c r="G443" s="1014" t="s">
        <v>2635</v>
      </c>
      <c r="H443" s="150"/>
      <c r="I443" s="152"/>
      <c r="J443" s="152"/>
      <c r="K443" s="152"/>
      <c r="L443" s="153" t="str">
        <f t="shared" si="18"/>
        <v>6794</v>
      </c>
      <c r="M443" s="154" t="str">
        <f t="shared" si="19"/>
        <v>FRAIS PROFESSIONNEL-PIECES</v>
      </c>
      <c r="N443" s="155">
        <f>+IF(OR($Q443=Parametres!$G$2,$Q443=Parametres!$G$3),I443,C443)</f>
        <v>4012.5</v>
      </c>
      <c r="O443" s="155">
        <f>+IF(OR($Q443=Parametres!$G$2,$Q443=Parametres!$G$3),J443,D443)</f>
        <v>2006.25</v>
      </c>
      <c r="P443" s="155">
        <f>+IF(OR($Q443=Parametres!$G$2,$Q443=Parametres!$G$3),K443,E443)</f>
        <v>6018.75</v>
      </c>
      <c r="Q443" s="154" t="str">
        <f t="shared" si="31"/>
        <v>7-Dépenses</v>
      </c>
      <c r="R443" s="153" t="str">
        <f t="shared" si="31"/>
        <v>6194</v>
      </c>
      <c r="S443" s="154">
        <f t="shared" si="31"/>
        <v>0</v>
      </c>
      <c r="T443" s="156" t="str">
        <f>+VLOOKUP($L443,Data_Validation!$A:$D,1,0)</f>
        <v>6794</v>
      </c>
      <c r="U443" s="156" t="str">
        <f>+VLOOKUP($L443,Data_Validation!$A:$D,3,0)</f>
        <v>Pièces</v>
      </c>
      <c r="V443" s="156" t="str">
        <f>+VLOOKUP($L443,Data_Validation!$A:$D,4,0)</f>
        <v>Honoraires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014" t="s">
        <v>2053</v>
      </c>
      <c r="B444" s="1014" t="s">
        <v>2054</v>
      </c>
      <c r="C444" s="1016">
        <v>-180107.1</v>
      </c>
      <c r="D444" s="1016">
        <v>-60872</v>
      </c>
      <c r="E444" s="1016">
        <v>-240979.1</v>
      </c>
      <c r="F444" s="1014" t="s">
        <v>304</v>
      </c>
      <c r="G444" s="1014" t="s">
        <v>2055</v>
      </c>
      <c r="H444" s="150"/>
      <c r="I444" s="152"/>
      <c r="J444" s="152"/>
      <c r="K444" s="152"/>
      <c r="L444" s="153" t="str">
        <f t="shared" si="18"/>
        <v>9149</v>
      </c>
      <c r="M444" s="154" t="str">
        <f t="shared" si="19"/>
        <v>REVENU RESERVE VOLKS</v>
      </c>
      <c r="N444" s="155">
        <f>+IF(OR($Q444=Parametres!$G$2,$Q444=Parametres!$G$3),I444,C444)</f>
        <v>-180107.1</v>
      </c>
      <c r="O444" s="155">
        <f>+IF(OR($Q444=Parametres!$G$2,$Q444=Parametres!$G$3),J444,D444)</f>
        <v>-60872</v>
      </c>
      <c r="P444" s="155">
        <f>+IF(OR($Q444=Parametres!$G$2,$Q444=Parametres!$G$3),K444,E444)</f>
        <v>-240979.1</v>
      </c>
      <c r="Q444" s="154" t="str">
        <f t="shared" si="31"/>
        <v>8-Autres revenus</v>
      </c>
      <c r="R444" s="153" t="str">
        <f t="shared" si="31"/>
        <v>9101</v>
      </c>
      <c r="S444" s="154">
        <f t="shared" si="31"/>
        <v>0</v>
      </c>
      <c r="T444" s="156" t="str">
        <f>+VLOOKUP($L444,Data_Validation!$A:$D,1,0)</f>
        <v>9149</v>
      </c>
      <c r="U444" s="156" t="str">
        <f>+VLOOKUP($L444,Data_Validation!$A:$D,3,0)</f>
        <v>Véhicules neufs</v>
      </c>
      <c r="V444" s="156" t="str">
        <f>+VLOOKUP($L444,Data_Validation!$A:$D,4,0)</f>
        <v>Holdbacks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014" t="s">
        <v>2138</v>
      </c>
      <c r="B445" s="1014" t="s">
        <v>2139</v>
      </c>
      <c r="C445" s="1016">
        <v>-9883.07</v>
      </c>
      <c r="D445" s="1016">
        <v>-6262.24</v>
      </c>
      <c r="E445" s="1016">
        <v>-16145.31</v>
      </c>
      <c r="F445" s="1014" t="s">
        <v>304</v>
      </c>
      <c r="G445" s="1014" t="s">
        <v>2139</v>
      </c>
      <c r="H445" s="150"/>
      <c r="I445" s="152"/>
      <c r="J445" s="152"/>
      <c r="K445" s="152"/>
      <c r="L445" s="153" t="str">
        <f t="shared" si="18"/>
        <v>9152</v>
      </c>
      <c r="M445" s="154" t="str">
        <f t="shared" si="19"/>
        <v>ESCOMPTES SUR ACHAT PIECES</v>
      </c>
      <c r="N445" s="155">
        <f>+IF(OR($Q445=Parametres!$G$2,$Q445=Parametres!$G$3),I445,C445)</f>
        <v>-9883.07</v>
      </c>
      <c r="O445" s="155">
        <f>+IF(OR($Q445=Parametres!$G$2,$Q445=Parametres!$G$3),J445,D445)</f>
        <v>-6262.24</v>
      </c>
      <c r="P445" s="155">
        <f>+IF(OR($Q445=Parametres!$G$2,$Q445=Parametres!$G$3),K445,E445)</f>
        <v>-16145.31</v>
      </c>
      <c r="Q445" s="154" t="str">
        <f t="shared" si="31"/>
        <v>8-Autres revenus</v>
      </c>
      <c r="R445" s="153" t="str">
        <f t="shared" si="31"/>
        <v>9152</v>
      </c>
      <c r="S445" s="154">
        <f t="shared" si="31"/>
        <v>0</v>
      </c>
      <c r="T445" s="156" t="str">
        <f>+VLOOKUP($L445,Data_Validation!$A:$D,1,0)</f>
        <v>9152</v>
      </c>
      <c r="U445" s="156" t="str">
        <f>+VLOOKUP($L445,Data_Validation!$A:$D,3,0)</f>
        <v>Pièces</v>
      </c>
      <c r="V445" s="156" t="str">
        <f>+VLOOKUP($L445,Data_Validation!$A:$D,4,0)</f>
        <v>Escomptes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014" t="s">
        <v>2077</v>
      </c>
      <c r="B446" s="1014" t="s">
        <v>2078</v>
      </c>
      <c r="C446" s="1016">
        <v>-15230</v>
      </c>
      <c r="D446" s="1016">
        <v>-10850</v>
      </c>
      <c r="E446" s="1016">
        <v>-26080</v>
      </c>
      <c r="F446" s="1014" t="s">
        <v>304</v>
      </c>
      <c r="G446" s="1014" t="s">
        <v>2079</v>
      </c>
      <c r="H446" s="150"/>
      <c r="I446" s="152"/>
      <c r="J446" s="152"/>
      <c r="K446" s="152"/>
      <c r="L446" s="153" t="str">
        <f t="shared" si="18"/>
        <v>9157</v>
      </c>
      <c r="M446" s="154" t="str">
        <f t="shared" si="19"/>
        <v>PRIMES DE RENDEMENT (ToT)- BONUS EXPERIENCE +</v>
      </c>
      <c r="N446" s="155">
        <f>+IF(OR($Q446=Parametres!$G$2,$Q446=Parametres!$G$3),I446,C446)</f>
        <v>-15230</v>
      </c>
      <c r="O446" s="155">
        <f>+IF(OR($Q446=Parametres!$G$2,$Q446=Parametres!$G$3),J446,D446)</f>
        <v>-10850</v>
      </c>
      <c r="P446" s="155">
        <f>+IF(OR($Q446=Parametres!$G$2,$Q446=Parametres!$G$3),K446,E446)</f>
        <v>-26080</v>
      </c>
      <c r="Q446" s="154" t="str">
        <f t="shared" si="31"/>
        <v>8-Autres revenus</v>
      </c>
      <c r="R446" s="153" t="str">
        <f t="shared" si="31"/>
        <v>915</v>
      </c>
      <c r="S446" s="154">
        <f t="shared" si="31"/>
        <v>0</v>
      </c>
      <c r="T446" s="156" t="str">
        <f>+VLOOKUP($L446,Data_Validation!$A:$D,1,0)</f>
        <v>9157</v>
      </c>
      <c r="U446" s="156" t="str">
        <f>+VLOOKUP($L446,Data_Validation!$A:$D,3,0)</f>
        <v>Véhicules neufs</v>
      </c>
      <c r="V446" s="156" t="str">
        <f>+VLOOKUP($L446,Data_Validation!$A:$D,4,0)</f>
        <v>Programme neuf 1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014" t="s">
        <v>2170</v>
      </c>
      <c r="B447" s="1014" t="s">
        <v>2076</v>
      </c>
      <c r="C447" s="1016">
        <v>-18479.689999999999</v>
      </c>
      <c r="D447" s="1016">
        <v>-6664.51</v>
      </c>
      <c r="E447" s="1016">
        <v>-25144.2</v>
      </c>
      <c r="F447" s="1014" t="s">
        <v>304</v>
      </c>
      <c r="G447" s="1014" t="s">
        <v>2076</v>
      </c>
      <c r="H447" s="150"/>
      <c r="I447" s="152"/>
      <c r="J447" s="152"/>
      <c r="K447" s="152"/>
      <c r="L447" s="153" t="str">
        <f t="shared" si="18"/>
        <v>9161</v>
      </c>
      <c r="M447" s="154" t="str">
        <f t="shared" si="19"/>
        <v>REVENU FIN ET ASS NEUF</v>
      </c>
      <c r="N447" s="155">
        <f>+IF(OR($Q447=Parametres!$G$2,$Q447=Parametres!$G$3),I447,C447)</f>
        <v>-18479.689999999999</v>
      </c>
      <c r="O447" s="155">
        <f>+IF(OR($Q447=Parametres!$G$2,$Q447=Parametres!$G$3),J447,D447)</f>
        <v>-6664.51</v>
      </c>
      <c r="P447" s="155">
        <f>+IF(OR($Q447=Parametres!$G$2,$Q447=Parametres!$G$3),K447,E447)</f>
        <v>-25144.2</v>
      </c>
      <c r="Q447" s="154" t="str">
        <f t="shared" si="31"/>
        <v>8-Autres revenus</v>
      </c>
      <c r="R447" s="153" t="str">
        <f t="shared" si="31"/>
        <v>9161</v>
      </c>
      <c r="S447" s="154">
        <f t="shared" si="31"/>
        <v>0</v>
      </c>
      <c r="T447" s="156" t="str">
        <f>+VLOOKUP($L447,Data_Validation!$A:$D,1,0)</f>
        <v>9161</v>
      </c>
      <c r="U447" s="156" t="str">
        <f>+VLOOKUP($L447,Data_Validation!$A:$D,3,0)</f>
        <v>Véhicules neufs</v>
      </c>
      <c r="V447" s="156" t="str">
        <f>+VLOOKUP($L447,Data_Validation!$A:$D,4,0)</f>
        <v>Rev. Finances</v>
      </c>
      <c r="W447" s="156" t="str">
        <f>+VLOOKUP($L447,Data_Validation!$A:$E,5,0)</f>
        <v>$</v>
      </c>
      <c r="X447" s="156" t="str">
        <f>+VLOOKUP($L447,Data_Validation!$A:$F,6,0)</f>
        <v>oui</v>
      </c>
    </row>
    <row r="448" spans="1:24" ht="15" customHeight="1">
      <c r="A448" s="1014" t="s">
        <v>2084</v>
      </c>
      <c r="B448" s="1014" t="s">
        <v>2085</v>
      </c>
      <c r="C448" s="1016">
        <v>-17854.86</v>
      </c>
      <c r="D448" s="1016">
        <v>-19741.900000000001</v>
      </c>
      <c r="E448" s="1016">
        <v>-37596.76</v>
      </c>
      <c r="F448" s="1014" t="s">
        <v>304</v>
      </c>
      <c r="G448" s="1014" t="s">
        <v>2085</v>
      </c>
      <c r="H448" s="150"/>
      <c r="I448" s="152"/>
      <c r="J448" s="152"/>
      <c r="K448" s="152"/>
      <c r="L448" s="153" t="str">
        <f t="shared" si="18"/>
        <v>9163</v>
      </c>
      <c r="M448" s="154" t="str">
        <f t="shared" si="19"/>
        <v>RESERVE FIN ET ASS VEH OCCASION</v>
      </c>
      <c r="N448" s="155">
        <f>+IF(OR($Q448=Parametres!$G$2,$Q448=Parametres!$G$3),I448,C448)</f>
        <v>-17854.86</v>
      </c>
      <c r="O448" s="155">
        <f>+IF(OR($Q448=Parametres!$G$2,$Q448=Parametres!$G$3),J448,D448)</f>
        <v>-19741.900000000001</v>
      </c>
      <c r="P448" s="155">
        <f>+IF(OR($Q448=Parametres!$G$2,$Q448=Parametres!$G$3),K448,E448)</f>
        <v>-37596.76</v>
      </c>
      <c r="Q448" s="154" t="str">
        <f t="shared" si="31"/>
        <v>8-Autres revenus</v>
      </c>
      <c r="R448" s="153" t="str">
        <f t="shared" si="31"/>
        <v>9163</v>
      </c>
      <c r="S448" s="154">
        <f t="shared" si="31"/>
        <v>0</v>
      </c>
      <c r="T448" s="156" t="str">
        <f>+VLOOKUP($L448,Data_Validation!$A:$D,1,0)</f>
        <v>9163</v>
      </c>
      <c r="U448" s="156" t="str">
        <f>+VLOOKUP($L448,Data_Validation!$A:$D,3,0)</f>
        <v>Véhicules usagés</v>
      </c>
      <c r="V448" s="156" t="str">
        <f>+VLOOKUP($L448,Data_Validation!$A:$D,4,0)</f>
        <v>Rev. Finances</v>
      </c>
      <c r="W448" s="156" t="str">
        <f>+VLOOKUP($L448,Data_Validation!$A:$E,5,0)</f>
        <v>$</v>
      </c>
      <c r="X448" s="156" t="str">
        <f>+VLOOKUP($L448,Data_Validation!$A:$F,6,0)</f>
        <v>oui</v>
      </c>
    </row>
    <row r="449" spans="1:24" ht="15" customHeight="1">
      <c r="A449" s="1014" t="s">
        <v>2171</v>
      </c>
      <c r="B449" s="1014" t="s">
        <v>2172</v>
      </c>
      <c r="C449" s="1016">
        <v>-5769.45</v>
      </c>
      <c r="D449" s="1016">
        <v>-1863.83</v>
      </c>
      <c r="E449" s="1016">
        <v>-7633.28</v>
      </c>
      <c r="F449" s="1014" t="s">
        <v>304</v>
      </c>
      <c r="G449" s="1014" t="s">
        <v>2076</v>
      </c>
      <c r="H449" s="150"/>
      <c r="I449" s="157"/>
      <c r="J449" s="157"/>
      <c r="K449" s="157"/>
      <c r="L449" s="153" t="str">
        <f t="shared" si="18"/>
        <v>9165</v>
      </c>
      <c r="M449" s="154" t="str">
        <f t="shared" si="19"/>
        <v>REV. ASSURANCES NEUF</v>
      </c>
      <c r="N449" s="155">
        <f>+IF(OR($Q449=Parametres!$G$2,$Q449=Parametres!$G$3),I449,C449)</f>
        <v>-5769.45</v>
      </c>
      <c r="O449" s="155">
        <f>+IF(OR($Q449=Parametres!$G$2,$Q449=Parametres!$G$3),J449,D449)</f>
        <v>-1863.83</v>
      </c>
      <c r="P449" s="155">
        <f>+IF(OR($Q449=Parametres!$G$2,$Q449=Parametres!$G$3),K449,E449)</f>
        <v>-7633.28</v>
      </c>
      <c r="Q449" s="154" t="str">
        <f t="shared" si="31"/>
        <v>8-Autres revenus</v>
      </c>
      <c r="R449" s="153" t="str">
        <f t="shared" si="31"/>
        <v>9161</v>
      </c>
      <c r="S449" s="154">
        <f t="shared" si="31"/>
        <v>0</v>
      </c>
      <c r="T449" s="156" t="str">
        <f>+VLOOKUP($L449,Data_Validation!$A:$D,1,0)</f>
        <v>9165</v>
      </c>
      <c r="U449" s="156" t="str">
        <f>+VLOOKUP($L449,Data_Validation!$A:$D,3,0)</f>
        <v>Véhicules neufs</v>
      </c>
      <c r="V449" s="156" t="str">
        <f>+VLOOKUP($L449,Data_Validation!$A:$D,4,0)</f>
        <v>Rev. Autres</v>
      </c>
      <c r="W449" s="156" t="str">
        <f>+VLOOKUP($L449,Data_Validation!$A:$E,5,0)</f>
        <v>$</v>
      </c>
      <c r="X449" s="156" t="str">
        <f>+VLOOKUP($L449,Data_Validation!$A:$F,6,0)</f>
        <v>oui</v>
      </c>
    </row>
    <row r="450" spans="1:24" ht="15" customHeight="1">
      <c r="A450" s="1014" t="s">
        <v>2179</v>
      </c>
      <c r="B450" s="1014" t="s">
        <v>2180</v>
      </c>
      <c r="C450" s="1016">
        <v>-828.44</v>
      </c>
      <c r="D450" s="1016">
        <v>0</v>
      </c>
      <c r="E450" s="1016">
        <v>-828.44</v>
      </c>
      <c r="F450" s="1014" t="s">
        <v>304</v>
      </c>
      <c r="G450" s="1014" t="s">
        <v>2085</v>
      </c>
      <c r="H450" s="150"/>
      <c r="I450" s="157"/>
      <c r="J450" s="157"/>
      <c r="K450" s="157"/>
      <c r="L450" s="153" t="str">
        <f t="shared" si="18"/>
        <v>9167</v>
      </c>
      <c r="M450" s="154" t="str">
        <f t="shared" si="19"/>
        <v>REV ASSURANCE USAGE</v>
      </c>
      <c r="N450" s="155">
        <f>+IF(OR($Q450=Parametres!$G$2,$Q450=Parametres!$G$3),I450,C450)</f>
        <v>-828.44</v>
      </c>
      <c r="O450" s="155">
        <f>+IF(OR($Q450=Parametres!$G$2,$Q450=Parametres!$G$3),J450,D450)</f>
        <v>0</v>
      </c>
      <c r="P450" s="155">
        <f>+IF(OR($Q450=Parametres!$G$2,$Q450=Parametres!$G$3),K450,E450)</f>
        <v>-828.44</v>
      </c>
      <c r="Q450" s="154" t="str">
        <f t="shared" ref="Q450:S465" si="32">+F450</f>
        <v>8-Autres revenus</v>
      </c>
      <c r="R450" s="153" t="str">
        <f t="shared" si="32"/>
        <v>9163</v>
      </c>
      <c r="S450" s="154">
        <f t="shared" si="32"/>
        <v>0</v>
      </c>
      <c r="T450" s="156" t="str">
        <f>+VLOOKUP($L450,Data_Validation!$A:$D,1,0)</f>
        <v>9167</v>
      </c>
      <c r="U450" s="156" t="str">
        <f>+VLOOKUP($L450,Data_Validation!$A:$D,3,0)</f>
        <v>Véhicules usagés</v>
      </c>
      <c r="V450" s="156" t="str">
        <f>+VLOOKUP($L450,Data_Validation!$A:$D,4,0)</f>
        <v>Rev. Autres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" customHeight="1">
      <c r="A451" s="1014" t="s">
        <v>2092</v>
      </c>
      <c r="B451" s="1014" t="s">
        <v>2093</v>
      </c>
      <c r="C451" s="1016">
        <v>-32000.95</v>
      </c>
      <c r="D451" s="1016">
        <v>-16224</v>
      </c>
      <c r="E451" s="1016">
        <v>-48224.95</v>
      </c>
      <c r="F451" s="1014" t="s">
        <v>304</v>
      </c>
      <c r="G451" s="1014" t="s">
        <v>2076</v>
      </c>
      <c r="H451" s="150"/>
      <c r="I451" s="157"/>
      <c r="J451" s="157"/>
      <c r="K451" s="157"/>
      <c r="L451" s="153" t="str">
        <f t="shared" si="18"/>
        <v>9169</v>
      </c>
      <c r="M451" s="154" t="str">
        <f t="shared" si="19"/>
        <v>REV GARANTIE PROLONGEE NEUF</v>
      </c>
      <c r="N451" s="155">
        <f>+IF(OR($Q451=Parametres!$G$2,$Q451=Parametres!$G$3),I451,C451)</f>
        <v>-32000.95</v>
      </c>
      <c r="O451" s="155">
        <f>+IF(OR($Q451=Parametres!$G$2,$Q451=Parametres!$G$3),J451,D451)</f>
        <v>-16224</v>
      </c>
      <c r="P451" s="155">
        <f>+IF(OR($Q451=Parametres!$G$2,$Q451=Parametres!$G$3),K451,E451)</f>
        <v>-48224.95</v>
      </c>
      <c r="Q451" s="154" t="str">
        <f t="shared" si="32"/>
        <v>8-Autres revenus</v>
      </c>
      <c r="R451" s="153" t="str">
        <f t="shared" si="32"/>
        <v>9161</v>
      </c>
      <c r="S451" s="154">
        <f t="shared" si="32"/>
        <v>0</v>
      </c>
      <c r="T451" s="156" t="str">
        <f>+VLOOKUP($L451,Data_Validation!$A:$D,1,0)</f>
        <v>9169</v>
      </c>
      <c r="U451" s="156" t="str">
        <f>+VLOOKUP($L451,Data_Validation!$A:$D,3,0)</f>
        <v>Véhicules neufs</v>
      </c>
      <c r="V451" s="156" t="str">
        <f>+VLOOKUP($L451,Data_Validation!$A:$D,4,0)</f>
        <v>Rev. Protections</v>
      </c>
      <c r="W451" s="156" t="str">
        <f>+VLOOKUP($L451,Data_Validation!$A:$E,5,0)</f>
        <v>$</v>
      </c>
      <c r="X451" s="156" t="str">
        <f>+VLOOKUP($L451,Data_Validation!$A:$F,6,0)</f>
        <v>oui</v>
      </c>
    </row>
    <row r="452" spans="1:24" ht="15.75" customHeight="1">
      <c r="A452" s="1014" t="s">
        <v>2074</v>
      </c>
      <c r="B452" s="1014" t="s">
        <v>2075</v>
      </c>
      <c r="C452" s="1016">
        <v>-31529.48</v>
      </c>
      <c r="D452" s="1016">
        <v>-21499.25</v>
      </c>
      <c r="E452" s="1016">
        <v>-53028.73</v>
      </c>
      <c r="F452" s="1014" t="s">
        <v>304</v>
      </c>
      <c r="G452" s="1014" t="s">
        <v>2076</v>
      </c>
      <c r="H452" s="150"/>
      <c r="I452" s="157"/>
      <c r="J452" s="157"/>
      <c r="K452" s="157"/>
      <c r="L452" s="153" t="str">
        <f t="shared" si="18"/>
        <v>9170</v>
      </c>
      <c r="M452" s="154" t="str">
        <f t="shared" si="19"/>
        <v>PROFIT PROTECTIONS - NEUFS</v>
      </c>
      <c r="N452" s="155">
        <f>+IF(OR($Q452=Parametres!$G$2,$Q452=Parametres!$G$3),I452,C452)</f>
        <v>-31529.48</v>
      </c>
      <c r="O452" s="155">
        <f>+IF(OR($Q452=Parametres!$G$2,$Q452=Parametres!$G$3),J452,D452)</f>
        <v>-21499.25</v>
      </c>
      <c r="P452" s="155">
        <f>+IF(OR($Q452=Parametres!$G$2,$Q452=Parametres!$G$3),K452,E452)</f>
        <v>-53028.73</v>
      </c>
      <c r="Q452" s="154" t="str">
        <f t="shared" si="32"/>
        <v>8-Autres revenus</v>
      </c>
      <c r="R452" s="153" t="str">
        <f t="shared" si="32"/>
        <v>9161</v>
      </c>
      <c r="S452" s="154">
        <f t="shared" si="32"/>
        <v>0</v>
      </c>
      <c r="T452" s="156" t="str">
        <f>+VLOOKUP($L452,Data_Validation!$A:$D,1,0)</f>
        <v>9170</v>
      </c>
      <c r="U452" s="156" t="str">
        <f>+VLOOKUP($L452,Data_Validation!$A:$D,3,0)</f>
        <v>Véhicules neufs</v>
      </c>
      <c r="V452" s="156" t="str">
        <f>+VLOOKUP($L452,Data_Validation!$A:$D,4,0)</f>
        <v>Rev. Protections</v>
      </c>
      <c r="W452" s="156" t="str">
        <f>+VLOOKUP($L452,Data_Validation!$A:$E,5,0)</f>
        <v>$</v>
      </c>
      <c r="X452" s="156" t="str">
        <f>+VLOOKUP($L452,Data_Validation!$A:$F,6,0)</f>
        <v>oui</v>
      </c>
    </row>
    <row r="453" spans="1:24" ht="15" customHeight="1">
      <c r="A453" s="1014" t="s">
        <v>2088</v>
      </c>
      <c r="B453" s="1014" t="s">
        <v>2089</v>
      </c>
      <c r="C453" s="1016">
        <v>-15387.78</v>
      </c>
      <c r="D453" s="1016">
        <v>-16187.78</v>
      </c>
      <c r="E453" s="1016">
        <v>-31575.56</v>
      </c>
      <c r="F453" s="1014" t="s">
        <v>304</v>
      </c>
      <c r="G453" s="1014" t="s">
        <v>2085</v>
      </c>
      <c r="H453" s="150"/>
      <c r="I453" s="157"/>
      <c r="J453" s="157"/>
      <c r="K453" s="157"/>
      <c r="L453" s="153" t="str">
        <f t="shared" si="18"/>
        <v>9171</v>
      </c>
      <c r="M453" s="154" t="str">
        <f t="shared" si="19"/>
        <v>REV GARANTIE PROLONGEE USAGE</v>
      </c>
      <c r="N453" s="155">
        <f>+IF(OR($Q453=Parametres!$G$2,$Q453=Parametres!$G$3),I453,C453)</f>
        <v>-15387.78</v>
      </c>
      <c r="O453" s="155">
        <f>+IF(OR($Q453=Parametres!$G$2,$Q453=Parametres!$G$3),J453,D453)</f>
        <v>-16187.78</v>
      </c>
      <c r="P453" s="155">
        <f>+IF(OR($Q453=Parametres!$G$2,$Q453=Parametres!$G$3),K453,E453)</f>
        <v>-31575.56</v>
      </c>
      <c r="Q453" s="154" t="str">
        <f t="shared" si="32"/>
        <v>8-Autres revenus</v>
      </c>
      <c r="R453" s="153" t="str">
        <f t="shared" si="32"/>
        <v>9163</v>
      </c>
      <c r="S453" s="154">
        <f t="shared" si="32"/>
        <v>0</v>
      </c>
      <c r="T453" s="156" t="str">
        <f>+VLOOKUP($L453,Data_Validation!$A:$D,1,0)</f>
        <v>9171</v>
      </c>
      <c r="U453" s="156" t="str">
        <f>+VLOOKUP($L453,Data_Validation!$A:$D,3,0)</f>
        <v>Véhicules usagés</v>
      </c>
      <c r="V453" s="156" t="str">
        <f>+VLOOKUP($L453,Data_Validation!$A:$D,4,0)</f>
        <v>Rev. Protections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customHeight="1">
      <c r="A454" s="1014" t="s">
        <v>2096</v>
      </c>
      <c r="B454" s="1014" t="s">
        <v>2097</v>
      </c>
      <c r="C454" s="1016">
        <v>-7583.56</v>
      </c>
      <c r="D454" s="1016">
        <v>-6214.26</v>
      </c>
      <c r="E454" s="1016">
        <v>-13797.82</v>
      </c>
      <c r="F454" s="1014" t="s">
        <v>304</v>
      </c>
      <c r="G454" s="1014" t="s">
        <v>2085</v>
      </c>
      <c r="H454" s="150"/>
      <c r="I454" s="157"/>
      <c r="J454" s="157"/>
      <c r="K454" s="157"/>
      <c r="L454" s="153" t="str">
        <f t="shared" si="18"/>
        <v>9172</v>
      </c>
      <c r="M454" s="154" t="str">
        <f t="shared" si="19"/>
        <v>PROFIT PROTECTIONS - USAGES</v>
      </c>
      <c r="N454" s="155">
        <f>+IF(OR($Q454=Parametres!$G$2,$Q454=Parametres!$G$3),I454,C454)</f>
        <v>-7583.56</v>
      </c>
      <c r="O454" s="155">
        <f>+IF(OR($Q454=Parametres!$G$2,$Q454=Parametres!$G$3),J454,D454)</f>
        <v>-6214.26</v>
      </c>
      <c r="P454" s="155">
        <f>+IF(OR($Q454=Parametres!$G$2,$Q454=Parametres!$G$3),K454,E454)</f>
        <v>-13797.82</v>
      </c>
      <c r="Q454" s="154" t="str">
        <f t="shared" si="32"/>
        <v>8-Autres revenus</v>
      </c>
      <c r="R454" s="153" t="str">
        <f t="shared" si="32"/>
        <v>9163</v>
      </c>
      <c r="S454" s="154">
        <f t="shared" si="32"/>
        <v>0</v>
      </c>
      <c r="T454" s="156" t="str">
        <f>+VLOOKUP($L454,Data_Validation!$A:$D,1,0)</f>
        <v>9172</v>
      </c>
      <c r="U454" s="156" t="str">
        <f>+VLOOKUP($L454,Data_Validation!$A:$D,3,0)</f>
        <v>Véhicules usagés</v>
      </c>
      <c r="V454" s="156" t="str">
        <f>+VLOOKUP($L454,Data_Validation!$A:$D,4,0)</f>
        <v>Rev. Protections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" customHeight="1">
      <c r="A455" s="1014" t="s">
        <v>2080</v>
      </c>
      <c r="B455" s="1014" t="s">
        <v>2081</v>
      </c>
      <c r="C455" s="1016">
        <v>-48829.25</v>
      </c>
      <c r="D455" s="1016">
        <v>-33871</v>
      </c>
      <c r="E455" s="1016">
        <v>-82700.25</v>
      </c>
      <c r="F455" s="1014" t="s">
        <v>304</v>
      </c>
      <c r="G455" s="1014" t="s">
        <v>2063</v>
      </c>
      <c r="H455" s="150"/>
      <c r="I455" s="157"/>
      <c r="J455" s="157"/>
      <c r="K455" s="157"/>
      <c r="L455" s="153" t="str">
        <f t="shared" si="18"/>
        <v>9173</v>
      </c>
      <c r="M455" s="154" t="str">
        <f t="shared" si="19"/>
        <v>FRAIS ADMIN. VOLKS</v>
      </c>
      <c r="N455" s="155">
        <f>+IF(OR($Q455=Parametres!$G$2,$Q455=Parametres!$G$3),I455,C455)</f>
        <v>-48829.25</v>
      </c>
      <c r="O455" s="155">
        <f>+IF(OR($Q455=Parametres!$G$2,$Q455=Parametres!$G$3),J455,D455)</f>
        <v>-33871</v>
      </c>
      <c r="P455" s="155">
        <f>+IF(OR($Q455=Parametres!$G$2,$Q455=Parametres!$G$3),K455,E455)</f>
        <v>-82700.25</v>
      </c>
      <c r="Q455" s="154" t="str">
        <f t="shared" si="32"/>
        <v>8-Autres revenus</v>
      </c>
      <c r="R455" s="153" t="str">
        <f t="shared" si="32"/>
        <v>9191</v>
      </c>
      <c r="S455" s="154">
        <f t="shared" si="32"/>
        <v>0</v>
      </c>
      <c r="T455" s="156" t="str">
        <f>+VLOOKUP($L455,Data_Validation!$A:$D,1,0)</f>
        <v>9173</v>
      </c>
      <c r="U455" s="156" t="str">
        <f>+VLOOKUP($L455,Data_Validation!$A:$D,3,0)</f>
        <v>Véhicules neufs</v>
      </c>
      <c r="V455" s="156" t="str">
        <f>+VLOOKUP($L455,Data_Validation!$A:$D,4,0)</f>
        <v>Frais administration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.75" customHeight="1">
      <c r="A456" s="1014" t="s">
        <v>2062</v>
      </c>
      <c r="B456" s="1014" t="s">
        <v>2063</v>
      </c>
      <c r="C456" s="1016">
        <v>-103921.7</v>
      </c>
      <c r="D456" s="1016">
        <v>-37185.800000000003</v>
      </c>
      <c r="E456" s="1016">
        <v>-141107.5</v>
      </c>
      <c r="F456" s="1014" t="s">
        <v>304</v>
      </c>
      <c r="G456" s="1014" t="s">
        <v>2063</v>
      </c>
      <c r="H456" s="150"/>
      <c r="I456" s="157"/>
      <c r="J456" s="157"/>
      <c r="K456" s="157"/>
      <c r="L456" s="153" t="str">
        <f t="shared" si="18"/>
        <v>9191</v>
      </c>
      <c r="M456" s="154" t="str">
        <f t="shared" si="19"/>
        <v>REVENUS DIVERS</v>
      </c>
      <c r="N456" s="155">
        <f>+IF(OR($Q456=Parametres!$G$2,$Q456=Parametres!$G$3),I456,C456)</f>
        <v>-103921.7</v>
      </c>
      <c r="O456" s="155">
        <f>+IF(OR($Q456=Parametres!$G$2,$Q456=Parametres!$G$3),J456,D456)</f>
        <v>-37185.800000000003</v>
      </c>
      <c r="P456" s="155">
        <f>+IF(OR($Q456=Parametres!$G$2,$Q456=Parametres!$G$3),K456,E456)</f>
        <v>-141107.5</v>
      </c>
      <c r="Q456" s="154" t="str">
        <f t="shared" si="32"/>
        <v>8-Autres revenus</v>
      </c>
      <c r="R456" s="153" t="str">
        <f t="shared" si="32"/>
        <v>9191</v>
      </c>
      <c r="S456" s="154">
        <f t="shared" si="32"/>
        <v>0</v>
      </c>
      <c r="T456" s="156" t="str">
        <f>+VLOOKUP($L456,Data_Validation!$A:$D,1,0)</f>
        <v>9191</v>
      </c>
      <c r="U456" s="156" t="str">
        <f>+VLOOKUP($L456,Data_Validation!$A:$D,3,0)</f>
        <v>TOTAL  DES  REVENUS  ET  DÉPENSES</v>
      </c>
      <c r="V456" s="156" t="str">
        <f>+VLOOKUP($L456,Data_Validation!$A:$D,4,0)</f>
        <v>Revenus autres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customHeight="1">
      <c r="A457" s="1014" t="s">
        <v>2650</v>
      </c>
      <c r="B457" s="1014" t="s">
        <v>2176</v>
      </c>
      <c r="C457" s="1016">
        <v>7730.01</v>
      </c>
      <c r="D457" s="1016">
        <v>5219.41</v>
      </c>
      <c r="E457" s="1016">
        <v>12949.42</v>
      </c>
      <c r="F457" s="1014" t="s">
        <v>1235</v>
      </c>
      <c r="G457" s="1014" t="s">
        <v>2176</v>
      </c>
      <c r="H457" s="150"/>
      <c r="I457" s="157"/>
      <c r="J457" s="157"/>
      <c r="K457" s="157"/>
      <c r="L457" s="153" t="str">
        <f t="shared" si="18"/>
        <v>9402</v>
      </c>
      <c r="M457" s="154" t="str">
        <f t="shared" si="19"/>
        <v>DEPENSE D'INTERETS</v>
      </c>
      <c r="N457" s="155">
        <f>+IF(OR($Q457=Parametres!$G$2,$Q457=Parametres!$G$3),I457,C457)</f>
        <v>7730.01</v>
      </c>
      <c r="O457" s="155">
        <f>+IF(OR($Q457=Parametres!$G$2,$Q457=Parametres!$G$3),J457,D457)</f>
        <v>5219.41</v>
      </c>
      <c r="P457" s="155">
        <f>+IF(OR($Q457=Parametres!$G$2,$Q457=Parametres!$G$3),K457,E457)</f>
        <v>12949.42</v>
      </c>
      <c r="Q457" s="154" t="str">
        <f t="shared" si="32"/>
        <v>9-Autres déductions</v>
      </c>
      <c r="R457" s="153" t="str">
        <f t="shared" si="32"/>
        <v>9402</v>
      </c>
      <c r="S457" s="154">
        <f t="shared" si="32"/>
        <v>0</v>
      </c>
      <c r="T457" s="156" t="str">
        <f>+VLOOKUP($L457,Data_Validation!$A:$D,1,0)</f>
        <v>9402</v>
      </c>
      <c r="U457" s="156" t="str">
        <f>+VLOOKUP($L457,Data_Validation!$A:$D,3,0)</f>
        <v>TOTAL  DES  REVENUS  ET  DÉPENSES</v>
      </c>
      <c r="V457" s="156" t="str">
        <f>+VLOOKUP($L457,Data_Validation!$A:$D,4,0)</f>
        <v>Intérêts sur prêt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customHeight="1">
      <c r="A458" s="947" t="s">
        <v>1385</v>
      </c>
      <c r="B458" s="947" t="s">
        <v>2782</v>
      </c>
      <c r="C458" s="948">
        <v>9461.69</v>
      </c>
      <c r="D458" s="948">
        <v>5960.74</v>
      </c>
      <c r="E458" s="948">
        <v>15422.43</v>
      </c>
      <c r="F458" s="947" t="s">
        <v>1235</v>
      </c>
      <c r="G458" s="947" t="s">
        <v>2176</v>
      </c>
      <c r="H458" s="150"/>
      <c r="I458" s="157"/>
      <c r="J458" s="157"/>
      <c r="K458" s="157"/>
      <c r="L458" s="153" t="str">
        <f t="shared" si="18"/>
        <v>9406</v>
      </c>
      <c r="M458" s="154" t="str">
        <f t="shared" si="19"/>
        <v>FRAIS BANCAIRES</v>
      </c>
      <c r="N458" s="155">
        <f>+IF(OR($Q458=Parametres!$G$2,$Q458=Parametres!$G$3),I458,C458)</f>
        <v>9461.69</v>
      </c>
      <c r="O458" s="155">
        <f>+IF(OR($Q458=Parametres!$G$2,$Q458=Parametres!$G$3),J458,D458)</f>
        <v>5960.74</v>
      </c>
      <c r="P458" s="155">
        <f>+IF(OR($Q458=Parametres!$G$2,$Q458=Parametres!$G$3),K458,E458)</f>
        <v>15422.43</v>
      </c>
      <c r="Q458" s="154" t="str">
        <f t="shared" si="32"/>
        <v>9-Autres déductions</v>
      </c>
      <c r="R458" s="153" t="str">
        <f t="shared" si="32"/>
        <v>9402</v>
      </c>
      <c r="S458" s="154">
        <f t="shared" si="32"/>
        <v>0</v>
      </c>
      <c r="T458" s="156" t="str">
        <f>+VLOOKUP($L458,Data_Validation!$A:$D,1,0)</f>
        <v>9406</v>
      </c>
      <c r="U458" s="156" t="str">
        <f>+VLOOKUP($L458,Data_Validation!$A:$D,3,0)</f>
        <v>Véhicules neufs</v>
      </c>
      <c r="V458" s="156" t="str">
        <f>+VLOOKUP($L458,Data_Validation!$A:$D,4,0)</f>
        <v>Frais bancaires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57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/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7"/>
  <sheetViews>
    <sheetView workbookViewId="0">
      <selection activeCell="D493" sqref="D49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3" t="s">
        <v>279</v>
      </c>
      <c r="F1" s="1013" t="s">
        <v>1919</v>
      </c>
      <c r="G1" s="1013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09"/>
      <c r="F2" s="1010"/>
      <c r="G2" s="1009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09"/>
      <c r="F3" s="1010"/>
      <c r="G3" s="1009" t="str">
        <f>+VLOOKUP(Data_Validation!$A3,BV_Data_An_Cour!$L:$Q,6,0)</f>
        <v>1-Mémo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09"/>
      <c r="F4" s="1010"/>
      <c r="G4" s="1009" t="e">
        <f>+VLOOKUP(Data_Validation!$A4,BV_Data_An_Cour!$L:$Q,6,0)</f>
        <v>#N/A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09"/>
      <c r="F5" s="1010"/>
      <c r="G5" s="1009" t="e">
        <f>+VLOOKUP(Data_Validation!$A5,BV_Data_An_Cour!$L:$Q,6,0)</f>
        <v>#N/A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2"/>
      <c r="F6" s="1010"/>
      <c r="G6" s="1009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2"/>
      <c r="F7" s="1009"/>
      <c r="G7" s="1009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09"/>
      <c r="F8" s="1010"/>
      <c r="G8" s="1009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09"/>
      <c r="F9" s="1010"/>
      <c r="G9" s="1009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09"/>
      <c r="F10" s="1010"/>
      <c r="G10" s="1009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09"/>
      <c r="F11" s="1010"/>
      <c r="G11" s="1009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09"/>
      <c r="F12" s="1010"/>
      <c r="G12" s="1009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09"/>
      <c r="F13" s="1010"/>
      <c r="G13" s="1009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09" t="s">
        <v>1917</v>
      </c>
      <c r="F14" s="1010"/>
      <c r="G14" s="1009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09"/>
      <c r="F15" s="1010"/>
      <c r="G15" s="1009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09"/>
      <c r="F16" s="1010"/>
      <c r="G16" s="1009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09"/>
      <c r="F17" s="1010"/>
      <c r="G17" s="1009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09"/>
      <c r="F18" s="1010"/>
      <c r="G18" s="1009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09"/>
      <c r="F19" s="1010"/>
      <c r="G19" s="1009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09"/>
      <c r="F20" s="1010"/>
      <c r="G20" s="1009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09"/>
      <c r="F21" s="1010"/>
      <c r="G21" s="1009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09"/>
      <c r="F22" s="1010"/>
      <c r="G22" s="1009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09"/>
      <c r="F23" s="1010"/>
      <c r="G23" s="1009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09"/>
      <c r="F24" s="1010"/>
      <c r="G24" s="1009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09"/>
      <c r="F25" s="1010"/>
      <c r="G25" s="1009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09"/>
      <c r="F26" s="1010"/>
      <c r="G26" s="1009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09"/>
      <c r="F27" s="1010"/>
      <c r="G27" s="1009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09"/>
      <c r="F28" s="1010"/>
      <c r="G28" s="1009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09"/>
      <c r="F29" s="1010"/>
      <c r="G29" s="1009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09"/>
      <c r="F30" s="1010"/>
      <c r="G30" s="1009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09"/>
      <c r="F31" s="1010"/>
      <c r="G31" s="1009" t="str">
        <f>+VLOOKUP(Data_Validation!$A31,BV_Data_An_Cour!$L:$Q,6,0)</f>
        <v>1-Mémo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09"/>
      <c r="F32" s="1010"/>
      <c r="G32" s="1009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09"/>
      <c r="F33" s="1010"/>
      <c r="G33" s="1009" t="str">
        <f>+VLOOKUP(Data_Validation!$A33,BV_Data_An_Cour!$L:$Q,6,0)</f>
        <v>1-Mémo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09"/>
      <c r="F34" s="1010"/>
      <c r="G34" s="1009" t="str">
        <f>+VLOOKUP(Data_Validation!$A34,BV_Data_An_Cour!$L:$Q,6,0)</f>
        <v>1-Mémo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09"/>
      <c r="F35" s="1010"/>
      <c r="G35" s="1009" t="str">
        <f>+VLOOKUP(Data_Validation!$A35,BV_Data_An_Cour!$L:$Q,6,0)</f>
        <v>1-Mémo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09"/>
      <c r="F36" s="1010"/>
      <c r="G36" s="1009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09"/>
      <c r="F37" s="1010"/>
      <c r="G37" s="1009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09"/>
      <c r="F38" s="1010"/>
      <c r="G38" s="1009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09"/>
      <c r="F39" s="1010"/>
      <c r="G39" s="1009" t="str">
        <f>+VLOOKUP(Data_Validation!$A39,BV_Data_An_Cour!$L:$Q,6,0)</f>
        <v>1-Mémo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09"/>
      <c r="F40" s="1010"/>
      <c r="G40" s="1009" t="e">
        <f>+VLOOKUP(Data_Validation!$A40,BV_Data_An_Cour!$L:$Q,6,0)</f>
        <v>#N/A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2"/>
      <c r="F41" s="1012"/>
      <c r="G41" s="1012" t="e">
        <f>+VLOOKUP(Data_Validation!$A41,BV_Data_An_Cour!$L:$Q,6,0)</f>
        <v>#N/A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09"/>
      <c r="F42" s="1010"/>
      <c r="G42" s="1009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09"/>
      <c r="F43" s="1010"/>
      <c r="G43" s="1009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09"/>
      <c r="F44" s="1010"/>
      <c r="G44" s="1009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2"/>
      <c r="F45" s="1012"/>
      <c r="G45" s="1012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09"/>
      <c r="F46" s="1010"/>
      <c r="G46" s="1009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2"/>
      <c r="F47" s="1012"/>
      <c r="G47" s="1012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09"/>
      <c r="F48" s="1010"/>
      <c r="G48" s="1009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09"/>
      <c r="F49" s="1010"/>
      <c r="G49" s="1009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09"/>
      <c r="F50" s="1010"/>
      <c r="G50" s="1009" t="str">
        <f>+VLOOKUP(Data_Validation!$A50,BV_Data_An_Cour!$L:$Q,6,0)</f>
        <v>1-Mémo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09"/>
      <c r="F51" s="1010"/>
      <c r="G51" s="1009" t="e">
        <f>+VLOOKUP(Data_Validation!$A51,BV_Data_An_Cour!$L:$Q,6,0)</f>
        <v>#N/A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09"/>
      <c r="F52" s="1010"/>
      <c r="G52" s="1009" t="e">
        <f>+VLOOKUP(Data_Validation!$A52,BV_Data_An_Cour!$L:$Q,6,0)</f>
        <v>#N/A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09"/>
      <c r="F53" s="1010"/>
      <c r="G53" s="1009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09"/>
      <c r="F54" s="1010"/>
      <c r="G54" s="1009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09"/>
      <c r="F55" s="1010"/>
      <c r="G55" s="1009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09"/>
      <c r="F56" s="1010"/>
      <c r="G56" s="1009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09"/>
      <c r="F57" s="1010"/>
      <c r="G57" s="1009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09"/>
      <c r="F58" s="1010"/>
      <c r="G58" s="1009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09"/>
      <c r="F59" s="1010"/>
      <c r="G59" s="1009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09" t="s">
        <v>1917</v>
      </c>
      <c r="F60" s="1009"/>
      <c r="G60" s="1009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09" t="s">
        <v>1917</v>
      </c>
      <c r="F61" s="1009"/>
      <c r="G61" s="1009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09" t="s">
        <v>1917</v>
      </c>
      <c r="F62" s="1009"/>
      <c r="G62" s="1009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09" t="s">
        <v>1917</v>
      </c>
      <c r="F63" s="1009"/>
      <c r="G63" s="1009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09" t="s">
        <v>1917</v>
      </c>
      <c r="F64" s="1009"/>
      <c r="G64" s="1009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09" t="s">
        <v>1917</v>
      </c>
      <c r="F65" s="1009"/>
      <c r="G65" s="1009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09" t="s">
        <v>1917</v>
      </c>
      <c r="F66" s="1009"/>
      <c r="G66" s="1009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09" t="s">
        <v>1917</v>
      </c>
      <c r="F67" s="1009"/>
      <c r="G67" s="1009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09" t="s">
        <v>1917</v>
      </c>
      <c r="F68" s="1009"/>
      <c r="G68" s="1009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09" t="s">
        <v>1917</v>
      </c>
      <c r="F69" s="1009"/>
      <c r="G69" s="1009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09" t="s">
        <v>1917</v>
      </c>
      <c r="F70" s="1009"/>
      <c r="G70" s="1009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09" t="s">
        <v>1917</v>
      </c>
      <c r="F71" s="1009"/>
      <c r="G71" s="1009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09" t="s">
        <v>1917</v>
      </c>
      <c r="F72" s="1009"/>
      <c r="G72" s="1009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09" t="s">
        <v>1917</v>
      </c>
      <c r="F73" s="1009"/>
      <c r="G73" s="1009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7" t="s">
        <v>2865</v>
      </c>
      <c r="B74" s="1017" t="s">
        <v>2864</v>
      </c>
      <c r="C74" s="956"/>
      <c r="D74" s="956"/>
      <c r="E74" s="1009" t="s">
        <v>1917</v>
      </c>
      <c r="F74" s="1010"/>
      <c r="G74" s="1009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09" t="s">
        <v>1917</v>
      </c>
      <c r="F75" s="1009"/>
      <c r="G75" s="1009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09" t="s">
        <v>1917</v>
      </c>
      <c r="F76" s="1009"/>
      <c r="G76" s="1009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09" t="s">
        <v>1917</v>
      </c>
      <c r="F77" s="1009"/>
      <c r="G77" s="1009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09" t="s">
        <v>1917</v>
      </c>
      <c r="F78" s="1009"/>
      <c r="G78" s="1009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09" t="s">
        <v>1917</v>
      </c>
      <c r="F79" s="1009"/>
      <c r="G79" s="1009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09" t="s">
        <v>1917</v>
      </c>
      <c r="F80" s="1009"/>
      <c r="G80" s="1009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09" t="s">
        <v>1917</v>
      </c>
      <c r="F81" s="1009"/>
      <c r="G81" s="1009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09" t="s">
        <v>1917</v>
      </c>
      <c r="F82" s="1009"/>
      <c r="G82" s="1009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09" t="s">
        <v>1917</v>
      </c>
      <c r="F83" s="1009"/>
      <c r="G83" s="1009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09" t="s">
        <v>1917</v>
      </c>
      <c r="F84" s="1012"/>
      <c r="G84" s="1012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09" t="s">
        <v>1917</v>
      </c>
      <c r="F85" s="1009"/>
      <c r="G85" s="1009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09" t="s">
        <v>1917</v>
      </c>
      <c r="F86" s="1009"/>
      <c r="G86" s="1009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09" t="s">
        <v>1917</v>
      </c>
      <c r="F87" s="1012"/>
      <c r="G87" s="1012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09" t="s">
        <v>1917</v>
      </c>
      <c r="F88" s="1009"/>
      <c r="G88" s="1009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09" t="s">
        <v>1917</v>
      </c>
      <c r="F89" s="1009"/>
      <c r="G89" s="1009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09" t="s">
        <v>1917</v>
      </c>
      <c r="F90" s="1010"/>
      <c r="G90" s="1009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09" t="s">
        <v>1917</v>
      </c>
      <c r="F91" s="1010"/>
      <c r="G91" s="1009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7" t="s">
        <v>2900</v>
      </c>
      <c r="B92" s="1017" t="s">
        <v>2899</v>
      </c>
      <c r="C92" s="956" t="s">
        <v>1642</v>
      </c>
      <c r="D92" s="956" t="s">
        <v>8</v>
      </c>
      <c r="E92" s="1009" t="s">
        <v>1917</v>
      </c>
      <c r="F92" s="1010"/>
      <c r="G92" s="1009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7" t="s">
        <v>2902</v>
      </c>
      <c r="B93" s="1017" t="s">
        <v>2901</v>
      </c>
      <c r="C93" s="956" t="s">
        <v>1642</v>
      </c>
      <c r="D93" s="956" t="s">
        <v>8</v>
      </c>
      <c r="E93" s="1009" t="s">
        <v>1917</v>
      </c>
      <c r="F93" s="1010"/>
      <c r="G93" s="1009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7" t="s">
        <v>2904</v>
      </c>
      <c r="B94" s="1017" t="s">
        <v>2903</v>
      </c>
      <c r="C94" s="956" t="s">
        <v>1642</v>
      </c>
      <c r="D94" s="956" t="s">
        <v>8</v>
      </c>
      <c r="E94" s="1009" t="s">
        <v>1917</v>
      </c>
      <c r="F94" s="1010"/>
      <c r="G94" s="1009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09" t="s">
        <v>1917</v>
      </c>
      <c r="F95" s="1010"/>
      <c r="G95" s="1009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09" t="s">
        <v>1917</v>
      </c>
      <c r="F96" s="1010"/>
      <c r="G96" s="1009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09" t="s">
        <v>1917</v>
      </c>
      <c r="F97" s="1010"/>
      <c r="G97" s="1009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09" t="s">
        <v>1917</v>
      </c>
      <c r="F98" s="1010"/>
      <c r="G98" s="1009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09" t="s">
        <v>1917</v>
      </c>
      <c r="F99" s="1010"/>
      <c r="G99" s="1009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09" t="s">
        <v>1917</v>
      </c>
      <c r="F100" s="1010"/>
      <c r="G100" s="1009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09" t="s">
        <v>1917</v>
      </c>
      <c r="F101" s="1010"/>
      <c r="G101" s="1009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09" t="s">
        <v>1917</v>
      </c>
      <c r="F102" s="1010"/>
      <c r="G102" s="1009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09" t="s">
        <v>1917</v>
      </c>
      <c r="F103" s="1010"/>
      <c r="G103" s="1009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09" t="s">
        <v>1917</v>
      </c>
      <c r="F104" s="1010"/>
      <c r="G104" s="1009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09" t="s">
        <v>1917</v>
      </c>
      <c r="F105" s="1010"/>
      <c r="G105" s="1009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7" t="s">
        <v>2906</v>
      </c>
      <c r="B106" s="1017" t="s">
        <v>2905</v>
      </c>
      <c r="C106" s="956" t="s">
        <v>1642</v>
      </c>
      <c r="D106" s="956" t="s">
        <v>25</v>
      </c>
      <c r="E106" s="1009" t="s">
        <v>1917</v>
      </c>
      <c r="F106" s="1010"/>
      <c r="G106" s="1009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09" t="s">
        <v>1917</v>
      </c>
      <c r="F107" s="1010"/>
      <c r="G107" s="1009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09" t="s">
        <v>1917</v>
      </c>
      <c r="F108" s="1010"/>
      <c r="G108" s="1009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09" t="s">
        <v>1917</v>
      </c>
      <c r="F109" s="1010"/>
      <c r="G109" s="1011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09" t="s">
        <v>1917</v>
      </c>
      <c r="F110" s="1010"/>
      <c r="G110" s="1009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09" t="s">
        <v>1917</v>
      </c>
      <c r="F111" s="1010"/>
      <c r="G111" s="1009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09" t="s">
        <v>1917</v>
      </c>
      <c r="F112" s="1010"/>
      <c r="G112" s="1009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09" t="s">
        <v>1917</v>
      </c>
      <c r="F113" s="1010"/>
      <c r="G113" s="1009" t="str">
        <f>+VLOOKUP(Data_Validation!$A113,BV_Data_An_Cour!$L:$Q,6,0)</f>
        <v>2-Actifs</v>
      </c>
      <c r="H113" s="188"/>
      <c r="K113" s="164" t="s">
        <v>184</v>
      </c>
    </row>
    <row r="114" spans="1:11" ht="15" customHeight="1">
      <c r="A114" s="168" t="s">
        <v>2869</v>
      </c>
      <c r="B114" s="169" t="s">
        <v>2868</v>
      </c>
      <c r="C114" s="956" t="s">
        <v>1642</v>
      </c>
      <c r="D114" s="956" t="s">
        <v>29</v>
      </c>
      <c r="E114" s="1009" t="s">
        <v>1917</v>
      </c>
      <c r="F114" s="1010"/>
      <c r="G114" s="1011" t="str">
        <f>+VLOOKUP(Data_Validation!$A114,BV_Data_An_Cour!$L:$Q,6,0)</f>
        <v>2-Actifs</v>
      </c>
      <c r="H114" s="188"/>
      <c r="K114" s="164" t="str">
        <f>Print_Mois!V459</f>
        <v>Réparation équipement</v>
      </c>
    </row>
    <row r="115" spans="1:11" ht="15" customHeight="1">
      <c r="A115" s="168" t="s">
        <v>2871</v>
      </c>
      <c r="B115" s="169" t="s">
        <v>2870</v>
      </c>
      <c r="C115" s="956" t="s">
        <v>1642</v>
      </c>
      <c r="D115" s="956" t="s">
        <v>29</v>
      </c>
      <c r="E115" s="1009" t="s">
        <v>1917</v>
      </c>
      <c r="F115" s="1010"/>
      <c r="G115" s="1011" t="str">
        <f>+VLOOKUP(Data_Validation!$A115,BV_Data_An_Cour!$L:$Q,6,0)</f>
        <v>2-Actifs</v>
      </c>
      <c r="H115" s="188"/>
      <c r="K115" s="164" t="s">
        <v>1712</v>
      </c>
    </row>
    <row r="116" spans="1:11" ht="15" customHeight="1">
      <c r="A116" s="168" t="s">
        <v>2033</v>
      </c>
      <c r="B116" s="169" t="s">
        <v>2032</v>
      </c>
      <c r="C116" s="956" t="s">
        <v>1642</v>
      </c>
      <c r="D116" s="956" t="s">
        <v>33</v>
      </c>
      <c r="E116" s="1009" t="s">
        <v>1917</v>
      </c>
      <c r="F116" s="1010"/>
      <c r="G116" s="1009" t="str">
        <f>+VLOOKUP(Data_Validation!$A116,BV_Data_An_Cour!$L:$Q,6,0)</f>
        <v>2-Actifs</v>
      </c>
      <c r="H116" s="188"/>
      <c r="K116" s="164" t="str">
        <f>Print_Mois!C23</f>
        <v>Rev. Autres</v>
      </c>
    </row>
    <row r="117" spans="1:11" ht="15" customHeight="1">
      <c r="A117" s="168" t="s">
        <v>2874</v>
      </c>
      <c r="B117" s="169" t="s">
        <v>2873</v>
      </c>
      <c r="C117" s="956" t="s">
        <v>1642</v>
      </c>
      <c r="D117" s="956" t="s">
        <v>33</v>
      </c>
      <c r="E117" s="1009" t="s">
        <v>1917</v>
      </c>
      <c r="F117" s="1010"/>
      <c r="G117" s="1011" t="str">
        <f>+VLOOKUP(Data_Validation!$A117,BV_Data_An_Cour!$L:$Q,6,0)</f>
        <v>2-Actifs</v>
      </c>
      <c r="H117" s="188"/>
      <c r="K117" s="164" t="str">
        <f>Print_Mois!C21</f>
        <v>Rev. Finances</v>
      </c>
    </row>
    <row r="118" spans="1:11" ht="15" customHeight="1">
      <c r="A118" s="168" t="s">
        <v>2825</v>
      </c>
      <c r="B118" s="169" t="s">
        <v>2824</v>
      </c>
      <c r="C118" s="956" t="s">
        <v>1642</v>
      </c>
      <c r="D118" s="956" t="s">
        <v>33</v>
      </c>
      <c r="E118" s="1009" t="s">
        <v>1917</v>
      </c>
      <c r="F118" s="1010"/>
      <c r="G118" s="1009" t="str">
        <f>+VLOOKUP(Data_Validation!$A118,BV_Data_An_Cour!$L:$Q,6,0)</f>
        <v>2-Actifs</v>
      </c>
      <c r="H118" s="188"/>
      <c r="K118" s="164" t="str">
        <f>Print_Mois!C22</f>
        <v>Rev. Protections</v>
      </c>
    </row>
    <row r="119" spans="1:11" ht="15" customHeight="1">
      <c r="A119" s="168" t="s">
        <v>2741</v>
      </c>
      <c r="B119" s="169" t="s">
        <v>2740</v>
      </c>
      <c r="C119" s="956" t="s">
        <v>1642</v>
      </c>
      <c r="D119" s="956" t="s">
        <v>33</v>
      </c>
      <c r="E119" s="1009" t="s">
        <v>1917</v>
      </c>
      <c r="F119" s="1010"/>
      <c r="G119" s="1009" t="str">
        <f>+VLOOKUP(Data_Validation!$A119,BV_Data_An_Cour!$L:$Q,6,0)</f>
        <v>2-Actifs</v>
      </c>
      <c r="H119" s="188"/>
      <c r="K119" s="164" t="str">
        <f>Print_Mois!V468</f>
        <v>Revenus autres</v>
      </c>
    </row>
    <row r="120" spans="1:11" ht="15" customHeight="1">
      <c r="A120" s="168" t="s">
        <v>2590</v>
      </c>
      <c r="B120" s="169" t="s">
        <v>2589</v>
      </c>
      <c r="C120" s="956" t="s">
        <v>1642</v>
      </c>
      <c r="D120" s="956" t="s">
        <v>39</v>
      </c>
      <c r="E120" s="1009" t="s">
        <v>1917</v>
      </c>
      <c r="F120" s="1010"/>
      <c r="G120" s="1009" t="str">
        <f>+VLOOKUP(Data_Validation!$A120,BV_Data_An_Cour!$L:$Q,6,0)</f>
        <v>2-Actifs</v>
      </c>
      <c r="H120" s="188"/>
      <c r="K120" s="164" t="s">
        <v>36</v>
      </c>
    </row>
    <row r="121" spans="1:11" ht="15" customHeight="1">
      <c r="A121" s="168" t="s">
        <v>2764</v>
      </c>
      <c r="B121" s="169" t="s">
        <v>2763</v>
      </c>
      <c r="C121" s="956" t="s">
        <v>1642</v>
      </c>
      <c r="D121" s="956" t="s">
        <v>41</v>
      </c>
      <c r="E121" s="1009" t="s">
        <v>1917</v>
      </c>
      <c r="F121" s="1010"/>
      <c r="G121" s="1009" t="str">
        <f>+VLOOKUP(Data_Validation!$A121,BV_Data_An_Cour!$L:$Q,6,0)</f>
        <v>2-Actifs</v>
      </c>
      <c r="H121" s="188"/>
      <c r="K121" s="164" t="str">
        <f>Print_Mois!V422</f>
        <v>Salaires autres</v>
      </c>
    </row>
    <row r="122" spans="1:11" ht="15" customHeight="1">
      <c r="A122" s="168" t="s">
        <v>2141</v>
      </c>
      <c r="B122" s="169" t="s">
        <v>2140</v>
      </c>
      <c r="C122" s="956" t="s">
        <v>1642</v>
      </c>
      <c r="D122" s="956" t="s">
        <v>33</v>
      </c>
      <c r="E122" s="1009" t="s">
        <v>1917</v>
      </c>
      <c r="F122" s="1010"/>
      <c r="G122" s="1009" t="str">
        <f>+VLOOKUP(Data_Validation!$A122,BV_Data_An_Cour!$L:$Q,6,0)</f>
        <v>2-Actifs</v>
      </c>
      <c r="H122" s="188"/>
      <c r="K122" s="164" t="str">
        <f>Print_Mois!V420</f>
        <v>Salaires cadres</v>
      </c>
    </row>
    <row r="123" spans="1:11" ht="15" customHeight="1">
      <c r="A123" s="168">
        <v>1496</v>
      </c>
      <c r="B123" s="169" t="s">
        <v>2863</v>
      </c>
      <c r="C123" s="956" t="s">
        <v>1642</v>
      </c>
      <c r="D123" s="956" t="s">
        <v>33</v>
      </c>
      <c r="E123" s="1009" t="s">
        <v>1917</v>
      </c>
      <c r="F123" s="1010"/>
      <c r="G123" s="1011" t="e">
        <f>+VLOOKUP(Data_Validation!$A123,BV_Data_An_Cour!$L:$Q,6,0)</f>
        <v>#N/A</v>
      </c>
      <c r="H123" s="188"/>
      <c r="K123" s="164" t="str">
        <f>Print_Mois!C43</f>
        <v>Salaires commis</v>
      </c>
    </row>
    <row r="124" spans="1:11" ht="15" customHeight="1">
      <c r="A124" s="168" t="s">
        <v>2692</v>
      </c>
      <c r="B124" s="169" t="s">
        <v>2691</v>
      </c>
      <c r="C124" s="956" t="s">
        <v>1642</v>
      </c>
      <c r="D124" s="956" t="s">
        <v>33</v>
      </c>
      <c r="E124" s="1009" t="s">
        <v>1917</v>
      </c>
      <c r="F124" s="1010"/>
      <c r="G124" s="1009" t="str">
        <f>+VLOOKUP(Data_Validation!$A124,BV_Data_An_Cour!$L:$Q,6,0)</f>
        <v>2-Actifs</v>
      </c>
      <c r="H124" s="188"/>
      <c r="K124" s="164" t="str">
        <f>Print_Mois!V421</f>
        <v>Salaires commis</v>
      </c>
    </row>
    <row r="125" spans="1:11" ht="15" customHeight="1">
      <c r="A125" s="168" t="s">
        <v>2105</v>
      </c>
      <c r="B125" s="169" t="s">
        <v>2104</v>
      </c>
      <c r="C125" s="956" t="s">
        <v>1642</v>
      </c>
      <c r="D125" s="956" t="s">
        <v>43</v>
      </c>
      <c r="E125" s="1009" t="s">
        <v>1917</v>
      </c>
      <c r="F125" s="1010"/>
      <c r="G125" s="1009" t="str">
        <f>+VLOOKUP(Data_Validation!$A125,BV_Data_An_Cour!$L:$Q,6,0)</f>
        <v>2-Actifs</v>
      </c>
      <c r="H125" s="188"/>
      <c r="K125" s="164" t="str">
        <f>Print_Mois!V427</f>
        <v>Salaires en absences</v>
      </c>
    </row>
    <row r="126" spans="1:11" ht="15" customHeight="1">
      <c r="A126" s="168" t="s">
        <v>2131</v>
      </c>
      <c r="B126" s="169" t="s">
        <v>2130</v>
      </c>
      <c r="C126" s="956" t="s">
        <v>1642</v>
      </c>
      <c r="D126" s="956" t="s">
        <v>43</v>
      </c>
      <c r="E126" s="1009" t="s">
        <v>1917</v>
      </c>
      <c r="F126" s="1010"/>
      <c r="G126" s="1009" t="e">
        <f>+VLOOKUP(Data_Validation!$A126,BV_Data_An_Cour!$L:$Q,6,0)</f>
        <v>#N/A</v>
      </c>
      <c r="H126" s="188"/>
      <c r="K126" s="164" t="str">
        <f>Print_Mois!V419</f>
        <v>Salaires propriétaire</v>
      </c>
    </row>
    <row r="127" spans="1:11" ht="15" customHeight="1">
      <c r="A127" s="166" t="s">
        <v>2807</v>
      </c>
      <c r="B127" s="166" t="s">
        <v>2806</v>
      </c>
      <c r="C127" s="956" t="s">
        <v>1642</v>
      </c>
      <c r="D127" s="956" t="s">
        <v>43</v>
      </c>
      <c r="E127" s="1009" t="s">
        <v>1917</v>
      </c>
      <c r="F127" s="1010"/>
      <c r="G127" s="1009" t="str">
        <f>+VLOOKUP(Data_Validation!$A127,BV_Data_An_Cour!$L:$Q,6,0)</f>
        <v>2-Actifs</v>
      </c>
      <c r="H127" s="188"/>
      <c r="K127" s="164" t="str">
        <f>Print_Mois!V423</f>
        <v>Salaires spécialistes</v>
      </c>
    </row>
    <row r="128" spans="1:11" ht="15" customHeight="1">
      <c r="A128" s="166" t="s">
        <v>2395</v>
      </c>
      <c r="B128" s="166" t="s">
        <v>2394</v>
      </c>
      <c r="C128" s="956" t="s">
        <v>1642</v>
      </c>
      <c r="D128" s="956" t="s">
        <v>43</v>
      </c>
      <c r="E128" s="1009" t="s">
        <v>1917</v>
      </c>
      <c r="F128" s="1010"/>
      <c r="G128" s="1009" t="e">
        <f>+VLOOKUP(Data_Validation!$A128,BV_Data_An_Cour!$L:$Q,6,0)</f>
        <v>#N/A</v>
      </c>
      <c r="H128" s="188"/>
      <c r="K128" s="164" t="str">
        <f>Print_Mois!C34</f>
        <v>Service gratuit 1</v>
      </c>
    </row>
    <row r="129" spans="1:29" ht="15" customHeight="1">
      <c r="A129" s="166" t="s">
        <v>2643</v>
      </c>
      <c r="B129" s="166" t="s">
        <v>2642</v>
      </c>
      <c r="C129" s="956" t="s">
        <v>1642</v>
      </c>
      <c r="D129" s="956" t="s">
        <v>43</v>
      </c>
      <c r="E129" s="1009" t="s">
        <v>1917</v>
      </c>
      <c r="F129" s="1010"/>
      <c r="G129" s="1009" t="str">
        <f>+VLOOKUP(Data_Validation!$A129,BV_Data_An_Cour!$L:$Q,6,0)</f>
        <v>2-Actifs</v>
      </c>
      <c r="H129" s="188"/>
      <c r="K129" s="164" t="str">
        <f>Print_Mois!V434</f>
        <v>Service gratuit 2</v>
      </c>
    </row>
    <row r="130" spans="1:29" ht="15" customHeight="1">
      <c r="A130" s="168" t="s">
        <v>2153</v>
      </c>
      <c r="B130" s="169" t="s">
        <v>2152</v>
      </c>
      <c r="C130" s="956" t="s">
        <v>1642</v>
      </c>
      <c r="D130" s="956" t="s">
        <v>43</v>
      </c>
      <c r="E130" s="1009" t="s">
        <v>1917</v>
      </c>
      <c r="F130" s="1010"/>
      <c r="G130" s="1009" t="str">
        <f>+VLOOKUP(Data_Validation!$A130,BV_Data_An_Cour!$L:$Q,6,0)</f>
        <v>2-Actifs</v>
      </c>
      <c r="H130" s="188"/>
      <c r="I130" s="2"/>
      <c r="J130" s="2"/>
      <c r="K130" s="164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2397</v>
      </c>
      <c r="B131" s="169" t="s">
        <v>2396</v>
      </c>
      <c r="C131" s="956" t="s">
        <v>1642</v>
      </c>
      <c r="D131" s="956" t="s">
        <v>43</v>
      </c>
      <c r="E131" s="1009" t="s">
        <v>1917</v>
      </c>
      <c r="F131" s="1010"/>
      <c r="G131" s="1009" t="e">
        <f>+VLOOKUP(Data_Validation!$A131,BV_Data_An_Cour!$L:$Q,6,0)</f>
        <v>#N/A</v>
      </c>
      <c r="H131" s="188"/>
      <c r="K131" s="164" t="s">
        <v>41</v>
      </c>
    </row>
    <row r="132" spans="1:29" ht="15" customHeight="1">
      <c r="A132" s="168">
        <v>1524</v>
      </c>
      <c r="B132" s="169" t="s">
        <v>2857</v>
      </c>
      <c r="C132" s="956" t="s">
        <v>1642</v>
      </c>
      <c r="D132" s="956" t="s">
        <v>43</v>
      </c>
      <c r="E132" s="1009" t="s">
        <v>1917</v>
      </c>
      <c r="F132" s="1010"/>
      <c r="G132" s="1011" t="e">
        <f>+VLOOKUP(Data_Validation!$A132,BV_Data_An_Cour!$L:$Q,6,0)</f>
        <v>#N/A</v>
      </c>
      <c r="H132" s="188"/>
      <c r="K132" s="164" t="str">
        <f>Print_Mois!C187</f>
        <v>Sous-traitement</v>
      </c>
    </row>
    <row r="133" spans="1:29" ht="15" customHeight="1">
      <c r="A133" s="168" t="s">
        <v>2125</v>
      </c>
      <c r="B133" s="169" t="s">
        <v>2124</v>
      </c>
      <c r="C133" s="956" t="s">
        <v>1642</v>
      </c>
      <c r="D133" s="956" t="s">
        <v>40</v>
      </c>
      <c r="E133" s="1009" t="s">
        <v>1917</v>
      </c>
      <c r="F133" s="1010"/>
      <c r="G133" s="1009" t="e">
        <f>+VLOOKUP(Data_Validation!$A133,BV_Data_An_Cour!$L:$Q,6,0)</f>
        <v>#N/A</v>
      </c>
      <c r="H133" s="188"/>
      <c r="K133" s="164" t="s">
        <v>121</v>
      </c>
    </row>
    <row r="134" spans="1:29" ht="15" customHeight="1">
      <c r="A134" s="168" t="s">
        <v>2606</v>
      </c>
      <c r="B134" s="169" t="s">
        <v>2605</v>
      </c>
      <c r="C134" s="956" t="s">
        <v>1642</v>
      </c>
      <c r="D134" s="956" t="s">
        <v>43</v>
      </c>
      <c r="E134" s="1009" t="s">
        <v>1917</v>
      </c>
      <c r="F134" s="1010"/>
      <c r="G134" s="1009" t="e">
        <f>+VLOOKUP(Data_Validation!$A134,BV_Data_An_Cour!$L:$Q,6,0)</f>
        <v>#N/A</v>
      </c>
      <c r="H134" s="188"/>
      <c r="K134" s="164" t="s">
        <v>91</v>
      </c>
    </row>
    <row r="135" spans="1:29" ht="15" customHeight="1">
      <c r="A135" s="168" t="s">
        <v>2182</v>
      </c>
      <c r="B135" s="169" t="s">
        <v>2181</v>
      </c>
      <c r="C135" s="956" t="s">
        <v>1642</v>
      </c>
      <c r="D135" s="956" t="s">
        <v>43</v>
      </c>
      <c r="E135" s="1009" t="s">
        <v>1917</v>
      </c>
      <c r="F135" s="1010"/>
      <c r="G135" s="1009" t="str">
        <f>+VLOOKUP(Data_Validation!$A135,BV_Data_An_Cour!$L:$Q,6,0)</f>
        <v>2-Actifs</v>
      </c>
      <c r="H135" s="188"/>
      <c r="K135" s="164" t="s">
        <v>237</v>
      </c>
    </row>
    <row r="136" spans="1:29" ht="15" customHeight="1">
      <c r="A136" s="168" t="s">
        <v>2200</v>
      </c>
      <c r="B136" s="169" t="s">
        <v>2199</v>
      </c>
      <c r="C136" s="956" t="s">
        <v>1642</v>
      </c>
      <c r="D136" s="956" t="s">
        <v>43</v>
      </c>
      <c r="E136" s="1009" t="s">
        <v>1917</v>
      </c>
      <c r="F136" s="1010"/>
      <c r="G136" s="1009" t="str">
        <f>+VLOOKUP(Data_Validation!$A136,BV_Data_An_Cour!$L:$Q,6,0)</f>
        <v>2-Actifs</v>
      </c>
      <c r="H136" s="188"/>
      <c r="K136" s="164" t="s">
        <v>239</v>
      </c>
    </row>
    <row r="137" spans="1:29" ht="15" customHeight="1">
      <c r="A137" s="168" t="s">
        <v>2399</v>
      </c>
      <c r="B137" s="169" t="s">
        <v>2398</v>
      </c>
      <c r="C137" s="956" t="s">
        <v>1642</v>
      </c>
      <c r="D137" s="956" t="s">
        <v>43</v>
      </c>
      <c r="E137" s="1009" t="s">
        <v>1917</v>
      </c>
      <c r="F137" s="1010"/>
      <c r="G137" s="1009" t="e">
        <f>+VLOOKUP(Data_Validation!$A137,BV_Data_An_Cour!$L:$Q,6,0)</f>
        <v>#N/A</v>
      </c>
      <c r="H137" s="188"/>
      <c r="K137" s="164" t="str">
        <f>Print_Mois!V455</f>
        <v>Taxe sur le capital</v>
      </c>
    </row>
    <row r="138" spans="1:29" ht="15" customHeight="1">
      <c r="A138" s="168" t="s">
        <v>2683</v>
      </c>
      <c r="B138" s="169" t="s">
        <v>2682</v>
      </c>
      <c r="C138" s="956" t="s">
        <v>1642</v>
      </c>
      <c r="D138" s="956" t="s">
        <v>43</v>
      </c>
      <c r="E138" s="1009" t="s">
        <v>1917</v>
      </c>
      <c r="F138" s="1010"/>
      <c r="G138" s="1009" t="e">
        <f>+VLOOKUP(Data_Validation!$A138,BV_Data_An_Cour!$L:$Q,6,0)</f>
        <v>#N/A</v>
      </c>
      <c r="H138" s="188"/>
      <c r="K138" s="164" t="s">
        <v>18</v>
      </c>
    </row>
    <row r="139" spans="1:29" ht="15" customHeight="1">
      <c r="A139" s="168" t="s">
        <v>2786</v>
      </c>
      <c r="B139" s="169" t="s">
        <v>2785</v>
      </c>
      <c r="C139" s="956" t="s">
        <v>1642</v>
      </c>
      <c r="D139" s="956" t="s">
        <v>43</v>
      </c>
      <c r="E139" s="1009" t="s">
        <v>1917</v>
      </c>
      <c r="F139" s="1010"/>
      <c r="G139" s="1009" t="str">
        <f>+VLOOKUP(Data_Validation!$A139,BV_Data_An_Cour!$L:$Q,6,0)</f>
        <v>2-Actifs</v>
      </c>
      <c r="H139" s="188"/>
      <c r="K139" s="164" t="str">
        <f>Print_Mois!V443</f>
        <v>Téléphone</v>
      </c>
    </row>
    <row r="140" spans="1:29" ht="15" customHeight="1">
      <c r="A140" s="168" t="s">
        <v>2202</v>
      </c>
      <c r="B140" s="169" t="s">
        <v>2201</v>
      </c>
      <c r="C140" s="956" t="s">
        <v>1642</v>
      </c>
      <c r="D140" s="956" t="s">
        <v>40</v>
      </c>
      <c r="E140" s="1009" t="s">
        <v>1917</v>
      </c>
      <c r="F140" s="1010"/>
      <c r="G140" s="1009" t="str">
        <f>+VLOOKUP(Data_Validation!$A140,BV_Data_An_Cour!$L:$Q,6,0)</f>
        <v>2-Actifs</v>
      </c>
      <c r="H140" s="188"/>
      <c r="K140" s="164" t="s">
        <v>39</v>
      </c>
    </row>
    <row r="141" spans="1:29" ht="15" customHeight="1">
      <c r="A141" s="168" t="s">
        <v>2187</v>
      </c>
      <c r="B141" s="169" t="s">
        <v>2186</v>
      </c>
      <c r="C141" s="956" t="s">
        <v>1642</v>
      </c>
      <c r="D141" s="956" t="s">
        <v>40</v>
      </c>
      <c r="E141" s="1009" t="s">
        <v>1917</v>
      </c>
      <c r="F141" s="1010"/>
      <c r="G141" s="1009" t="str">
        <f>+VLOOKUP(Data_Validation!$A141,BV_Data_An_Cour!$L:$Q,6,0)</f>
        <v>2-Actifs</v>
      </c>
      <c r="H141" s="188"/>
      <c r="K141" s="164" t="s">
        <v>128</v>
      </c>
    </row>
    <row r="142" spans="1:29" ht="15" customHeight="1">
      <c r="A142" s="168" t="s">
        <v>2123</v>
      </c>
      <c r="B142" s="169" t="s">
        <v>2122</v>
      </c>
      <c r="C142" s="956" t="s">
        <v>1642</v>
      </c>
      <c r="D142" s="956" t="s">
        <v>43</v>
      </c>
      <c r="E142" s="1009" t="s">
        <v>1917</v>
      </c>
      <c r="F142" s="1010"/>
      <c r="G142" s="1009" t="str">
        <f>+VLOOKUP(Data_Validation!$A142,BV_Data_An_Cour!$L:$Q,6,0)</f>
        <v>2-Actifs</v>
      </c>
      <c r="H142" s="188"/>
      <c r="K142" s="164" t="str">
        <f>Print_Mois!C99</f>
        <v>Ventes au Gros</v>
      </c>
    </row>
    <row r="143" spans="1:29" ht="15" customHeight="1">
      <c r="A143" s="168" t="s">
        <v>2117</v>
      </c>
      <c r="B143" s="169" t="s">
        <v>2116</v>
      </c>
      <c r="C143" s="956" t="s">
        <v>1642</v>
      </c>
      <c r="D143" s="956" t="s">
        <v>43</v>
      </c>
      <c r="E143" s="1009" t="s">
        <v>1917</v>
      </c>
      <c r="F143" s="1010"/>
      <c r="G143" s="1009" t="str">
        <f>+VLOOKUP(Data_Validation!$A143,BV_Data_An_Cour!$L:$Q,6,0)</f>
        <v>2-Actifs</v>
      </c>
      <c r="H143" s="188"/>
      <c r="K143" s="164" t="str">
        <f>Print_Mois!C299</f>
        <v>Ventes de Gros</v>
      </c>
    </row>
    <row r="144" spans="1:29" ht="15" customHeight="1">
      <c r="A144" s="168" t="s">
        <v>2143</v>
      </c>
      <c r="B144" s="169" t="s">
        <v>2142</v>
      </c>
      <c r="C144" s="956" t="s">
        <v>1642</v>
      </c>
      <c r="D144" s="956" t="s">
        <v>43</v>
      </c>
      <c r="E144" s="1009" t="s">
        <v>1917</v>
      </c>
      <c r="F144" s="1010"/>
      <c r="G144" s="1009" t="e">
        <f>+VLOOKUP(Data_Validation!$A144,BV_Data_An_Cour!$L:$Q,6,0)</f>
        <v>#N/A</v>
      </c>
      <c r="H144" s="188"/>
      <c r="K144" s="164" t="s">
        <v>181</v>
      </c>
    </row>
    <row r="145" spans="1:11" ht="15" customHeight="1">
      <c r="A145" s="168" t="s">
        <v>2178</v>
      </c>
      <c r="B145" s="169" t="s">
        <v>2177</v>
      </c>
      <c r="C145" s="956" t="s">
        <v>1642</v>
      </c>
      <c r="D145" s="956" t="s">
        <v>43</v>
      </c>
      <c r="E145" s="1009" t="s">
        <v>1917</v>
      </c>
      <c r="F145" s="1010"/>
      <c r="G145" s="1009" t="str">
        <f>+VLOOKUP(Data_Validation!$A145,BV_Data_An_Cour!$L:$Q,6,0)</f>
        <v>2-Actifs</v>
      </c>
      <c r="H145" s="188"/>
      <c r="K145" s="164" t="str">
        <f>Print_Mois!C297</f>
        <v>Ventes Internes</v>
      </c>
    </row>
    <row r="146" spans="1:11" ht="15" customHeight="1">
      <c r="A146" s="168" t="s">
        <v>2804</v>
      </c>
      <c r="B146" s="169" t="s">
        <v>2803</v>
      </c>
      <c r="C146" s="956" t="s">
        <v>1642</v>
      </c>
      <c r="D146" s="956" t="s">
        <v>43</v>
      </c>
      <c r="E146" s="1009" t="s">
        <v>1917</v>
      </c>
      <c r="F146" s="1010"/>
      <c r="G146" s="1009" t="str">
        <f>+VLOOKUP(Data_Validation!$A146,BV_Data_An_Cour!$L:$Q,6,0)</f>
        <v>2-Actifs</v>
      </c>
      <c r="H146" s="188"/>
      <c r="K146" s="164" t="str">
        <f>Print_Mois!C306</f>
        <v>Ventes Pneus</v>
      </c>
    </row>
    <row r="147" spans="1:11" ht="15" customHeight="1">
      <c r="A147" s="168" t="s">
        <v>2129</v>
      </c>
      <c r="B147" s="169" t="s">
        <v>478</v>
      </c>
      <c r="C147" s="956" t="s">
        <v>1642</v>
      </c>
      <c r="D147" s="956" t="s">
        <v>43</v>
      </c>
      <c r="E147" s="1009" t="s">
        <v>1917</v>
      </c>
      <c r="F147" s="1010"/>
      <c r="G147" s="1009" t="e">
        <f>+VLOOKUP(Data_Validation!$A147,BV_Data_An_Cour!$L:$Q,6,0)</f>
        <v>#N/A</v>
      </c>
      <c r="H147" s="188"/>
    </row>
    <row r="148" spans="1:11" ht="15" customHeight="1">
      <c r="A148" s="168" t="s">
        <v>2577</v>
      </c>
      <c r="B148" s="169" t="s">
        <v>2576</v>
      </c>
      <c r="C148" s="956" t="s">
        <v>1642</v>
      </c>
      <c r="D148" s="956" t="s">
        <v>43</v>
      </c>
      <c r="E148" s="1009" t="s">
        <v>1917</v>
      </c>
      <c r="F148" s="1010"/>
      <c r="G148" s="1009" t="e">
        <f>+VLOOKUP(Data_Validation!$A148,BV_Data_An_Cour!$L:$Q,6,0)</f>
        <v>#N/A</v>
      </c>
      <c r="H148" s="188"/>
    </row>
    <row r="149" spans="1:11" ht="15" customHeight="1">
      <c r="A149" s="168" t="s">
        <v>2575</v>
      </c>
      <c r="B149" s="169" t="s">
        <v>2574</v>
      </c>
      <c r="C149" s="956" t="s">
        <v>1642</v>
      </c>
      <c r="D149" s="956" t="s">
        <v>43</v>
      </c>
      <c r="E149" s="1009" t="s">
        <v>1917</v>
      </c>
      <c r="F149" s="1010"/>
      <c r="G149" s="1009" t="e">
        <f>+VLOOKUP(Data_Validation!$A149,BV_Data_An_Cour!$L:$Q,6,0)</f>
        <v>#N/A</v>
      </c>
      <c r="H149" s="188"/>
    </row>
    <row r="150" spans="1:11" ht="15" customHeight="1">
      <c r="A150" s="168" t="s">
        <v>2401</v>
      </c>
      <c r="B150" s="169" t="s">
        <v>2400</v>
      </c>
      <c r="C150" s="956" t="s">
        <v>1642</v>
      </c>
      <c r="D150" s="956" t="s">
        <v>53</v>
      </c>
      <c r="E150" s="1009" t="s">
        <v>1917</v>
      </c>
      <c r="F150" s="1010"/>
      <c r="G150" s="1009" t="str">
        <f>+VLOOKUP(Data_Validation!$A150,BV_Data_An_Cour!$L:$Q,6,0)</f>
        <v>2-Actifs</v>
      </c>
      <c r="H150" s="188"/>
    </row>
    <row r="151" spans="1:11" ht="15" customHeight="1">
      <c r="A151" s="168" t="s">
        <v>2157</v>
      </c>
      <c r="B151" s="169" t="s">
        <v>2156</v>
      </c>
      <c r="C151" s="956" t="s">
        <v>1642</v>
      </c>
      <c r="D151" s="956" t="s">
        <v>53</v>
      </c>
      <c r="E151" s="1009" t="s">
        <v>1917</v>
      </c>
      <c r="F151" s="1010"/>
      <c r="G151" s="1009" t="str">
        <f>+VLOOKUP(Data_Validation!$A151,BV_Data_An_Cour!$L:$Q,6,0)</f>
        <v>2-Actifs</v>
      </c>
      <c r="H151" s="188"/>
    </row>
    <row r="152" spans="1:11" ht="15" customHeight="1">
      <c r="A152" s="168" t="s">
        <v>2403</v>
      </c>
      <c r="B152" s="169" t="s">
        <v>2402</v>
      </c>
      <c r="C152" s="956" t="s">
        <v>1642</v>
      </c>
      <c r="D152" s="956" t="s">
        <v>57</v>
      </c>
      <c r="E152" s="1009" t="s">
        <v>1917</v>
      </c>
      <c r="F152" s="1010"/>
      <c r="G152" s="1009" t="str">
        <f>+VLOOKUP(Data_Validation!$A152,BV_Data_An_Cour!$L:$Q,6,0)</f>
        <v>2-Actifs</v>
      </c>
      <c r="H152" s="188"/>
    </row>
    <row r="153" spans="1:11" ht="15" customHeight="1">
      <c r="A153" s="168" t="s">
        <v>2127</v>
      </c>
      <c r="B153" s="169" t="s">
        <v>2126</v>
      </c>
      <c r="C153" s="956" t="s">
        <v>1642</v>
      </c>
      <c r="D153" s="956" t="s">
        <v>57</v>
      </c>
      <c r="E153" s="1009" t="s">
        <v>1917</v>
      </c>
      <c r="F153" s="1010"/>
      <c r="G153" s="1009" t="str">
        <f>+VLOOKUP(Data_Validation!$A153,BV_Data_An_Cour!$L:$Q,6,0)</f>
        <v>2-Actifs</v>
      </c>
      <c r="H153" s="165"/>
    </row>
    <row r="154" spans="1:11" ht="15" customHeight="1">
      <c r="A154" s="168" t="s">
        <v>2405</v>
      </c>
      <c r="B154" s="169" t="s">
        <v>2404</v>
      </c>
      <c r="C154" s="956" t="s">
        <v>1642</v>
      </c>
      <c r="D154" s="956" t="s">
        <v>57</v>
      </c>
      <c r="E154" s="1009" t="s">
        <v>1917</v>
      </c>
      <c r="F154" s="1010"/>
      <c r="G154" s="1009" t="str">
        <f>+VLOOKUP(Data_Validation!$A154,BV_Data_An_Cour!$L:$Q,6,0)</f>
        <v>2-Actifs</v>
      </c>
      <c r="H154" s="165"/>
    </row>
    <row r="155" spans="1:11" ht="15" customHeight="1">
      <c r="A155" s="168" t="s">
        <v>2198</v>
      </c>
      <c r="B155" s="169" t="s">
        <v>2197</v>
      </c>
      <c r="C155" s="956" t="s">
        <v>1642</v>
      </c>
      <c r="D155" s="956" t="s">
        <v>57</v>
      </c>
      <c r="E155" s="1009" t="s">
        <v>1917</v>
      </c>
      <c r="F155" s="1010"/>
      <c r="G155" s="1009" t="str">
        <f>+VLOOKUP(Data_Validation!$A155,BV_Data_An_Cour!$L:$Q,6,0)</f>
        <v>2-Actifs</v>
      </c>
      <c r="H155" s="165"/>
    </row>
    <row r="156" spans="1:11" ht="15" customHeight="1">
      <c r="A156" s="168" t="s">
        <v>2407</v>
      </c>
      <c r="B156" s="169" t="s">
        <v>2406</v>
      </c>
      <c r="C156" s="956" t="s">
        <v>1642</v>
      </c>
      <c r="D156" s="956" t="s">
        <v>60</v>
      </c>
      <c r="E156" s="1009" t="s">
        <v>1917</v>
      </c>
      <c r="F156" s="1010"/>
      <c r="G156" s="1009" t="str">
        <f>+VLOOKUP(Data_Validation!$A156,BV_Data_An_Cour!$L:$Q,6,0)</f>
        <v>2-Actifs</v>
      </c>
      <c r="H156" s="165"/>
    </row>
    <row r="157" spans="1:11" ht="15" customHeight="1">
      <c r="A157" s="168" t="s">
        <v>2571</v>
      </c>
      <c r="B157" s="169" t="s">
        <v>2570</v>
      </c>
      <c r="C157" s="956" t="s">
        <v>1642</v>
      </c>
      <c r="D157" s="956" t="s">
        <v>60</v>
      </c>
      <c r="E157" s="1009" t="s">
        <v>1917</v>
      </c>
      <c r="F157" s="1010"/>
      <c r="G157" s="1009" t="str">
        <f>+VLOOKUP(Data_Validation!$A157,BV_Data_An_Cour!$L:$Q,6,0)</f>
        <v>2-Actifs</v>
      </c>
      <c r="H157" s="165"/>
    </row>
    <row r="158" spans="1:11" ht="15" customHeight="1">
      <c r="A158" s="168" t="s">
        <v>2409</v>
      </c>
      <c r="B158" s="169" t="s">
        <v>2408</v>
      </c>
      <c r="C158" s="956" t="s">
        <v>1642</v>
      </c>
      <c r="D158" s="956" t="s">
        <v>58</v>
      </c>
      <c r="E158" s="1009" t="s">
        <v>1917</v>
      </c>
      <c r="F158" s="1010"/>
      <c r="G158" s="1009" t="str">
        <f>+VLOOKUP(Data_Validation!$A158,BV_Data_An_Cour!$L:$Q,6,0)</f>
        <v>2-Actifs</v>
      </c>
      <c r="H158" s="165"/>
    </row>
    <row r="159" spans="1:11" ht="15" customHeight="1">
      <c r="A159" s="168" t="s">
        <v>2164</v>
      </c>
      <c r="B159" s="169" t="s">
        <v>2163</v>
      </c>
      <c r="C159" s="956" t="s">
        <v>1642</v>
      </c>
      <c r="D159" s="956" t="s">
        <v>58</v>
      </c>
      <c r="E159" s="1009" t="s">
        <v>1917</v>
      </c>
      <c r="F159" s="1010"/>
      <c r="G159" s="1009" t="str">
        <f>+VLOOKUP(Data_Validation!$A159,BV_Data_An_Cour!$L:$Q,6,0)</f>
        <v>2-Actifs</v>
      </c>
      <c r="H159" s="165"/>
    </row>
    <row r="160" spans="1:11" ht="15" customHeight="1">
      <c r="A160" s="168" t="s">
        <v>2411</v>
      </c>
      <c r="B160" s="169" t="s">
        <v>2410</v>
      </c>
      <c r="C160" s="956" t="s">
        <v>1642</v>
      </c>
      <c r="D160" s="956" t="s">
        <v>57</v>
      </c>
      <c r="E160" s="1009" t="s">
        <v>1917</v>
      </c>
      <c r="F160" s="1010"/>
      <c r="G160" s="1009" t="str">
        <f>+VLOOKUP(Data_Validation!$A160,BV_Data_An_Cour!$L:$Q,6,0)</f>
        <v>2-Actifs</v>
      </c>
      <c r="H160" s="165"/>
    </row>
    <row r="161" spans="1:11" ht="15" customHeight="1">
      <c r="A161" s="168" t="s">
        <v>2413</v>
      </c>
      <c r="B161" s="169" t="s">
        <v>2412</v>
      </c>
      <c r="C161" s="956" t="s">
        <v>1642</v>
      </c>
      <c r="D161" s="956" t="s">
        <v>57</v>
      </c>
      <c r="E161" s="1009" t="s">
        <v>1917</v>
      </c>
      <c r="F161" s="1010"/>
      <c r="G161" s="1009" t="str">
        <f>+VLOOKUP(Data_Validation!$A161,BV_Data_An_Cour!$L:$Q,6,0)</f>
        <v>2-Actifs</v>
      </c>
      <c r="H161" s="165"/>
    </row>
    <row r="162" spans="1:11" ht="15" customHeight="1">
      <c r="A162" s="168" t="s">
        <v>2569</v>
      </c>
      <c r="B162" s="169" t="s">
        <v>2568</v>
      </c>
      <c r="C162" s="956" t="s">
        <v>1642</v>
      </c>
      <c r="D162" s="956" t="s">
        <v>59</v>
      </c>
      <c r="E162" s="1009" t="s">
        <v>1917</v>
      </c>
      <c r="F162" s="1010"/>
      <c r="G162" s="1009" t="str">
        <f>+VLOOKUP(Data_Validation!$A162,BV_Data_An_Cour!$L:$Q,6,0)</f>
        <v>2-Actifs</v>
      </c>
      <c r="H162" s="165"/>
    </row>
    <row r="163" spans="1:11" ht="15" customHeight="1">
      <c r="A163" s="168" t="s">
        <v>2155</v>
      </c>
      <c r="B163" s="169" t="s">
        <v>2154</v>
      </c>
      <c r="C163" s="956" t="s">
        <v>1642</v>
      </c>
      <c r="D163" s="956" t="s">
        <v>59</v>
      </c>
      <c r="E163" s="1009" t="s">
        <v>1917</v>
      </c>
      <c r="F163" s="1010"/>
      <c r="G163" s="1009" t="str">
        <f>+VLOOKUP(Data_Validation!$A163,BV_Data_An_Cour!$L:$Q,6,0)</f>
        <v>2-Actifs</v>
      </c>
      <c r="H163" s="165"/>
    </row>
    <row r="164" spans="1:11" ht="15" customHeight="1">
      <c r="A164" s="168" t="s">
        <v>2414</v>
      </c>
      <c r="B164" s="169" t="s">
        <v>822</v>
      </c>
      <c r="C164" s="956" t="s">
        <v>1642</v>
      </c>
      <c r="D164" s="956" t="s">
        <v>62</v>
      </c>
      <c r="E164" s="1009" t="s">
        <v>1917</v>
      </c>
      <c r="F164" s="1010"/>
      <c r="G164" s="1009" t="str">
        <f>+VLOOKUP(Data_Validation!$A164,BV_Data_An_Cour!$L:$Q,6,0)</f>
        <v>2-Actifs</v>
      </c>
      <c r="H164" s="165"/>
    </row>
    <row r="165" spans="1:11" ht="15" customHeight="1">
      <c r="A165" s="168" t="s">
        <v>2196</v>
      </c>
      <c r="B165" s="169" t="s">
        <v>2195</v>
      </c>
      <c r="C165" s="956" t="s">
        <v>1642</v>
      </c>
      <c r="D165" s="956" t="s">
        <v>62</v>
      </c>
      <c r="E165" s="1009" t="s">
        <v>1917</v>
      </c>
      <c r="F165" s="1010"/>
      <c r="G165" s="1009" t="str">
        <f>+VLOOKUP(Data_Validation!$A165,BV_Data_An_Cour!$L:$Q,6,0)</f>
        <v>2-Actifs</v>
      </c>
      <c r="H165" s="165"/>
      <c r="K165" s="2"/>
    </row>
    <row r="166" spans="1:11" ht="15" customHeight="1">
      <c r="A166" s="168" t="s">
        <v>2416</v>
      </c>
      <c r="B166" s="169" t="s">
        <v>2415</v>
      </c>
      <c r="C166" s="956" t="s">
        <v>1642</v>
      </c>
      <c r="D166" s="956" t="s">
        <v>65</v>
      </c>
      <c r="E166" s="1009" t="s">
        <v>1917</v>
      </c>
      <c r="F166" s="1010"/>
      <c r="G166" s="1009" t="str">
        <f>+VLOOKUP(Data_Validation!$A166,BV_Data_An_Cour!$L:$Q,6,0)</f>
        <v>2-Actifs</v>
      </c>
      <c r="H166" s="165"/>
    </row>
    <row r="167" spans="1:11" ht="15" customHeight="1">
      <c r="A167" s="168" t="s">
        <v>2753</v>
      </c>
      <c r="B167" s="169" t="s">
        <v>2752</v>
      </c>
      <c r="C167" s="956" t="s">
        <v>1642</v>
      </c>
      <c r="D167" s="956" t="s">
        <v>25</v>
      </c>
      <c r="E167" s="1009" t="s">
        <v>1917</v>
      </c>
      <c r="F167" s="1010"/>
      <c r="G167" s="1009" t="str">
        <f>+VLOOKUP(Data_Validation!$A167,BV_Data_An_Cour!$L:$Q,6,0)</f>
        <v>2-Actifs</v>
      </c>
      <c r="H167" s="165"/>
    </row>
    <row r="168" spans="1:11" ht="15" customHeight="1">
      <c r="A168" s="168" t="s">
        <v>2847</v>
      </c>
      <c r="B168" s="169" t="s">
        <v>2846</v>
      </c>
      <c r="C168" s="956" t="s">
        <v>1642</v>
      </c>
      <c r="D168" s="956" t="s">
        <v>30</v>
      </c>
      <c r="E168" s="1009" t="s">
        <v>1917</v>
      </c>
      <c r="F168" s="1010"/>
      <c r="G168" s="1009" t="str">
        <f>+VLOOKUP(Data_Validation!$A168,BV_Data_An_Cour!$L:$Q,6,0)</f>
        <v>3-Passifs</v>
      </c>
      <c r="H168" s="165"/>
    </row>
    <row r="169" spans="1:11" ht="15" customHeight="1">
      <c r="A169" s="168" t="s">
        <v>2037</v>
      </c>
      <c r="B169" s="169" t="s">
        <v>2036</v>
      </c>
      <c r="C169" s="956" t="s">
        <v>1642</v>
      </c>
      <c r="D169" s="956" t="s">
        <v>32</v>
      </c>
      <c r="E169" s="1009" t="s">
        <v>1917</v>
      </c>
      <c r="F169" s="1010"/>
      <c r="G169" s="1009" t="str">
        <f>+VLOOKUP(Data_Validation!$A169,BV_Data_An_Cour!$L:$Q,6,0)</f>
        <v>3-Passifs</v>
      </c>
      <c r="H169" s="165"/>
    </row>
    <row r="170" spans="1:11" ht="15" customHeight="1">
      <c r="A170" s="168" t="s">
        <v>2418</v>
      </c>
      <c r="B170" s="169" t="s">
        <v>2417</v>
      </c>
      <c r="C170" s="956" t="s">
        <v>1642</v>
      </c>
      <c r="D170" s="956" t="s">
        <v>11</v>
      </c>
      <c r="E170" s="1009" t="s">
        <v>1917</v>
      </c>
      <c r="F170" s="1010"/>
      <c r="G170" s="1009" t="str">
        <f>+VLOOKUP(Data_Validation!$A170,BV_Data_An_Cour!$L:$Q,6,0)</f>
        <v>3-Passifs</v>
      </c>
      <c r="H170" s="165"/>
    </row>
    <row r="171" spans="1:11" ht="15" customHeight="1">
      <c r="A171" s="169" t="s">
        <v>2204</v>
      </c>
      <c r="B171" s="169" t="s">
        <v>2203</v>
      </c>
      <c r="C171" s="956" t="s">
        <v>1642</v>
      </c>
      <c r="D171" s="956" t="s">
        <v>18</v>
      </c>
      <c r="E171" s="1009" t="s">
        <v>1917</v>
      </c>
      <c r="F171" s="1009"/>
      <c r="G171" s="1009" t="str">
        <f>+VLOOKUP(Data_Validation!$A171,BV_Data_An_Cour!$L:$Q,6,0)</f>
        <v>3-Passifs</v>
      </c>
      <c r="H171" s="165"/>
    </row>
    <row r="172" spans="1:11" ht="15" customHeight="1">
      <c r="A172" s="169" t="s">
        <v>2057</v>
      </c>
      <c r="B172" s="169" t="s">
        <v>2056</v>
      </c>
      <c r="C172" s="956" t="s">
        <v>1642</v>
      </c>
      <c r="D172" s="956" t="s">
        <v>18</v>
      </c>
      <c r="E172" s="1009" t="s">
        <v>1917</v>
      </c>
      <c r="F172" s="1009"/>
      <c r="G172" s="1009" t="str">
        <f>+VLOOKUP(Data_Validation!$A172,BV_Data_An_Cour!$L:$Q,6,0)</f>
        <v>3-Passifs</v>
      </c>
      <c r="H172" s="165"/>
    </row>
    <row r="173" spans="1:11" ht="15" customHeight="1">
      <c r="A173" s="169" t="s">
        <v>2797</v>
      </c>
      <c r="B173" s="169" t="s">
        <v>2796</v>
      </c>
      <c r="C173" s="956" t="s">
        <v>1642</v>
      </c>
      <c r="D173" s="956" t="s">
        <v>18</v>
      </c>
      <c r="E173" s="1009" t="s">
        <v>1917</v>
      </c>
      <c r="F173" s="1009"/>
      <c r="G173" s="1009" t="str">
        <f>+VLOOKUP(Data_Validation!$A173,BV_Data_An_Cour!$L:$Q,6,0)</f>
        <v>3-Passifs</v>
      </c>
      <c r="H173" s="165"/>
    </row>
    <row r="174" spans="1:11" ht="15" customHeight="1">
      <c r="A174" s="169" t="s">
        <v>2066</v>
      </c>
      <c r="B174" s="169" t="s">
        <v>2813</v>
      </c>
      <c r="C174" s="956" t="s">
        <v>1642</v>
      </c>
      <c r="D174" s="956" t="s">
        <v>18</v>
      </c>
      <c r="E174" s="1009" t="s">
        <v>1917</v>
      </c>
      <c r="F174" s="1009"/>
      <c r="G174" s="1009" t="str">
        <f>+VLOOKUP(Data_Validation!$A174,BV_Data_An_Cour!$L:$Q,6,0)</f>
        <v>3-Passifs</v>
      </c>
      <c r="H174" s="165"/>
    </row>
    <row r="175" spans="1:11" ht="15" customHeight="1">
      <c r="A175" s="169" t="s">
        <v>2065</v>
      </c>
      <c r="B175" s="169" t="s">
        <v>2064</v>
      </c>
      <c r="C175" s="956" t="s">
        <v>1642</v>
      </c>
      <c r="D175" s="956" t="s">
        <v>18</v>
      </c>
      <c r="E175" s="1009" t="s">
        <v>1917</v>
      </c>
      <c r="F175" s="1009"/>
      <c r="G175" s="1009" t="str">
        <f>+VLOOKUP(Data_Validation!$A175,BV_Data_An_Cour!$L:$Q,6,0)</f>
        <v>3-Passifs</v>
      </c>
      <c r="H175" s="165"/>
    </row>
    <row r="176" spans="1:11" ht="15" customHeight="1">
      <c r="A176" s="169" t="s">
        <v>2617</v>
      </c>
      <c r="B176" s="169" t="s">
        <v>2616</v>
      </c>
      <c r="C176" s="956" t="s">
        <v>1642</v>
      </c>
      <c r="D176" s="956" t="s">
        <v>18</v>
      </c>
      <c r="E176" s="1009" t="s">
        <v>1917</v>
      </c>
      <c r="F176" s="1009"/>
      <c r="G176" s="1009" t="str">
        <f>+VLOOKUP(Data_Validation!$A176,BV_Data_An_Cour!$L:$Q,6,0)</f>
        <v>3-Passifs</v>
      </c>
      <c r="H176" s="165"/>
    </row>
    <row r="177" spans="1:8" ht="15" customHeight="1">
      <c r="A177" s="169" t="s">
        <v>2819</v>
      </c>
      <c r="B177" s="169" t="s">
        <v>2818</v>
      </c>
      <c r="C177" s="956" t="s">
        <v>1642</v>
      </c>
      <c r="D177" s="956" t="s">
        <v>26</v>
      </c>
      <c r="E177" s="1009" t="s">
        <v>1917</v>
      </c>
      <c r="F177" s="1009"/>
      <c r="G177" s="1009" t="str">
        <f>+VLOOKUP(Data_Validation!$A177,BV_Data_An_Cour!$L:$Q,6,0)</f>
        <v>3-Passifs</v>
      </c>
      <c r="H177" s="165"/>
    </row>
    <row r="178" spans="1:8" ht="15" customHeight="1">
      <c r="A178" s="169" t="s">
        <v>2134</v>
      </c>
      <c r="B178" s="169" t="s">
        <v>2173</v>
      </c>
      <c r="C178" s="956" t="s">
        <v>1642</v>
      </c>
      <c r="D178" s="956" t="s">
        <v>26</v>
      </c>
      <c r="E178" s="1009" t="s">
        <v>1917</v>
      </c>
      <c r="F178" s="1009"/>
      <c r="G178" s="1009" t="str">
        <f>+VLOOKUP(Data_Validation!$A178,BV_Data_An_Cour!$L:$Q,6,0)</f>
        <v>3-Passifs</v>
      </c>
      <c r="H178" s="165"/>
    </row>
    <row r="179" spans="1:8" ht="15" customHeight="1">
      <c r="A179" s="168" t="s">
        <v>2773</v>
      </c>
      <c r="B179" s="169" t="s">
        <v>2772</v>
      </c>
      <c r="C179" s="956" t="s">
        <v>1642</v>
      </c>
      <c r="D179" s="956" t="s">
        <v>26</v>
      </c>
      <c r="E179" s="1009" t="s">
        <v>1917</v>
      </c>
      <c r="F179" s="1010"/>
      <c r="G179" s="1009" t="str">
        <f>+VLOOKUP(Data_Validation!$A179,BV_Data_An_Cour!$L:$Q,6,0)</f>
        <v>3-Passifs</v>
      </c>
      <c r="H179" s="165"/>
    </row>
    <row r="180" spans="1:8" ht="15" customHeight="1">
      <c r="A180" s="168" t="s">
        <v>2747</v>
      </c>
      <c r="B180" s="169" t="s">
        <v>2746</v>
      </c>
      <c r="C180" s="956" t="s">
        <v>1642</v>
      </c>
      <c r="D180" s="956" t="s">
        <v>26</v>
      </c>
      <c r="E180" s="1009" t="s">
        <v>1917</v>
      </c>
      <c r="F180" s="1010"/>
      <c r="G180" s="1009" t="str">
        <f>+VLOOKUP(Data_Validation!$A180,BV_Data_An_Cour!$L:$Q,6,0)</f>
        <v>3-Passifs</v>
      </c>
      <c r="H180" s="165"/>
    </row>
    <row r="181" spans="1:8" ht="15" customHeight="1">
      <c r="A181" s="168" t="s">
        <v>2010</v>
      </c>
      <c r="B181" s="169" t="s">
        <v>2009</v>
      </c>
      <c r="C181" s="956" t="s">
        <v>1642</v>
      </c>
      <c r="D181" s="956" t="s">
        <v>16</v>
      </c>
      <c r="E181" s="1009" t="s">
        <v>1917</v>
      </c>
      <c r="F181" s="1010"/>
      <c r="G181" s="1009" t="str">
        <f>+VLOOKUP(Data_Validation!$A181,BV_Data_An_Cour!$L:$Q,6,0)</f>
        <v>3-Passifs</v>
      </c>
      <c r="H181" s="165"/>
    </row>
    <row r="182" spans="1:8" ht="15" customHeight="1">
      <c r="A182" s="168" t="s">
        <v>2050</v>
      </c>
      <c r="B182" s="169" t="s">
        <v>2049</v>
      </c>
      <c r="C182" s="956" t="s">
        <v>1642</v>
      </c>
      <c r="D182" s="956" t="s">
        <v>26</v>
      </c>
      <c r="E182" s="1009" t="s">
        <v>1917</v>
      </c>
      <c r="F182" s="1010"/>
      <c r="G182" s="1009" t="str">
        <f>+VLOOKUP(Data_Validation!$A182,BV_Data_An_Cour!$L:$Q,6,0)</f>
        <v>3-Passifs</v>
      </c>
      <c r="H182" s="165"/>
    </row>
    <row r="183" spans="1:8" ht="15" customHeight="1">
      <c r="A183" s="168" t="s">
        <v>2133</v>
      </c>
      <c r="B183" s="169" t="s">
        <v>2132</v>
      </c>
      <c r="C183" s="956" t="s">
        <v>1642</v>
      </c>
      <c r="D183" s="956" t="s">
        <v>40</v>
      </c>
      <c r="E183" s="1009" t="s">
        <v>1917</v>
      </c>
      <c r="F183" s="1010"/>
      <c r="G183" s="1009" t="str">
        <f>+VLOOKUP(Data_Validation!$A183,BV_Data_An_Cour!$L:$Q,6,0)</f>
        <v>3-Passifs</v>
      </c>
      <c r="H183" s="165"/>
    </row>
    <row r="184" spans="1:8" ht="15" customHeight="1">
      <c r="A184" s="168" t="s">
        <v>2420</v>
      </c>
      <c r="B184" s="169" t="s">
        <v>2419</v>
      </c>
      <c r="C184" s="956" t="s">
        <v>1642</v>
      </c>
      <c r="D184" s="956" t="s">
        <v>40</v>
      </c>
      <c r="E184" s="1009" t="s">
        <v>1917</v>
      </c>
      <c r="F184" s="1010"/>
      <c r="G184" s="1009" t="str">
        <f>+VLOOKUP(Data_Validation!$A184,BV_Data_An_Cour!$L:$Q,6,0)</f>
        <v>3-Passifs</v>
      </c>
      <c r="H184" s="165"/>
    </row>
    <row r="185" spans="1:8" ht="15" customHeight="1">
      <c r="A185" s="168" t="s">
        <v>2147</v>
      </c>
      <c r="B185" s="169" t="s">
        <v>2146</v>
      </c>
      <c r="C185" s="956" t="s">
        <v>1642</v>
      </c>
      <c r="D185" s="956" t="s">
        <v>40</v>
      </c>
      <c r="E185" s="1009" t="s">
        <v>1917</v>
      </c>
      <c r="F185" s="1010"/>
      <c r="G185" s="1009" t="str">
        <f>+VLOOKUP(Data_Validation!$A185,BV_Data_An_Cour!$L:$Q,6,0)</f>
        <v>3-Passifs</v>
      </c>
      <c r="H185" s="165"/>
    </row>
    <row r="186" spans="1:8" ht="15" customHeight="1">
      <c r="A186" s="168" t="s">
        <v>2162</v>
      </c>
      <c r="B186" s="169" t="s">
        <v>2710</v>
      </c>
      <c r="C186" s="956" t="s">
        <v>1642</v>
      </c>
      <c r="D186" s="956" t="s">
        <v>38</v>
      </c>
      <c r="E186" s="1009" t="s">
        <v>1917</v>
      </c>
      <c r="F186" s="1010"/>
      <c r="G186" s="1009" t="str">
        <f>+VLOOKUP(Data_Validation!$A186,BV_Data_An_Cour!$L:$Q,6,0)</f>
        <v>3-Passifs</v>
      </c>
      <c r="H186" s="165"/>
    </row>
    <row r="187" spans="1:8" ht="15" customHeight="1">
      <c r="A187" s="168" t="s">
        <v>2161</v>
      </c>
      <c r="B187" s="169" t="s">
        <v>2160</v>
      </c>
      <c r="C187" s="956" t="s">
        <v>1642</v>
      </c>
      <c r="D187" s="956" t="s">
        <v>38</v>
      </c>
      <c r="E187" s="1009" t="s">
        <v>1917</v>
      </c>
      <c r="F187" s="1010"/>
      <c r="G187" s="1009" t="str">
        <f>+VLOOKUP(Data_Validation!$A187,BV_Data_An_Cour!$L:$Q,6,0)</f>
        <v>3-Passifs</v>
      </c>
      <c r="H187" s="165"/>
    </row>
    <row r="188" spans="1:8" ht="15" customHeight="1">
      <c r="A188" s="168" t="s">
        <v>2750</v>
      </c>
      <c r="B188" s="169" t="s">
        <v>2749</v>
      </c>
      <c r="C188" s="956" t="s">
        <v>1642</v>
      </c>
      <c r="D188" s="956" t="s">
        <v>38</v>
      </c>
      <c r="E188" s="1009" t="s">
        <v>1917</v>
      </c>
      <c r="F188" s="1010"/>
      <c r="G188" s="1009" t="str">
        <f>+VLOOKUP(Data_Validation!$A188,BV_Data_An_Cour!$L:$Q,6,0)</f>
        <v>3-Passifs</v>
      </c>
      <c r="H188" s="165"/>
    </row>
    <row r="189" spans="1:8" ht="15" customHeight="1">
      <c r="A189" s="168" t="s">
        <v>2583</v>
      </c>
      <c r="B189" s="169" t="s">
        <v>2582</v>
      </c>
      <c r="C189" s="956" t="s">
        <v>1642</v>
      </c>
      <c r="D189" s="956" t="s">
        <v>38</v>
      </c>
      <c r="E189" s="1009" t="s">
        <v>1917</v>
      </c>
      <c r="F189" s="1010"/>
      <c r="G189" s="1009" t="str">
        <f>+VLOOKUP(Data_Validation!$A189,BV_Data_An_Cour!$L:$Q,6,0)</f>
        <v>3-Passifs</v>
      </c>
      <c r="H189" s="165"/>
    </row>
    <row r="190" spans="1:8" ht="15" customHeight="1">
      <c r="A190" s="168" t="s">
        <v>2185</v>
      </c>
      <c r="B190" s="169" t="s">
        <v>536</v>
      </c>
      <c r="C190" s="956" t="s">
        <v>1642</v>
      </c>
      <c r="D190" s="956" t="s">
        <v>38</v>
      </c>
      <c r="E190" s="1009" t="s">
        <v>1917</v>
      </c>
      <c r="F190" s="1010"/>
      <c r="G190" s="1009" t="str">
        <f>+VLOOKUP(Data_Validation!$A190,BV_Data_An_Cour!$L:$Q,6,0)</f>
        <v>3-Passifs</v>
      </c>
      <c r="H190" s="165"/>
    </row>
    <row r="191" spans="1:8" ht="15" customHeight="1">
      <c r="A191" s="168" t="s">
        <v>2194</v>
      </c>
      <c r="B191" s="169" t="s">
        <v>2193</v>
      </c>
      <c r="C191" s="956" t="s">
        <v>1642</v>
      </c>
      <c r="D191" s="956" t="s">
        <v>22</v>
      </c>
      <c r="E191" s="1009" t="s">
        <v>1917</v>
      </c>
      <c r="F191" s="1010"/>
      <c r="G191" s="1009" t="str">
        <f>+VLOOKUP(Data_Validation!$A191,BV_Data_An_Cour!$L:$Q,6,0)</f>
        <v>3-Passifs</v>
      </c>
      <c r="H191" s="165"/>
    </row>
    <row r="192" spans="1:8" ht="15" customHeight="1">
      <c r="A192" s="168" t="s">
        <v>2601</v>
      </c>
      <c r="B192" s="169" t="s">
        <v>2600</v>
      </c>
      <c r="C192" s="956" t="s">
        <v>1642</v>
      </c>
      <c r="D192" s="956" t="s">
        <v>36</v>
      </c>
      <c r="E192" s="1009" t="s">
        <v>1917</v>
      </c>
      <c r="F192" s="1010"/>
      <c r="G192" s="1009" t="str">
        <f>+VLOOKUP(Data_Validation!$A192,BV_Data_An_Cour!$L:$Q,6,0)</f>
        <v>3-Passifs</v>
      </c>
      <c r="H192" s="165"/>
    </row>
    <row r="193" spans="1:8" ht="15" customHeight="1">
      <c r="A193" s="168" t="s">
        <v>2059</v>
      </c>
      <c r="B193" s="169" t="s">
        <v>2058</v>
      </c>
      <c r="C193" s="956" t="s">
        <v>1642</v>
      </c>
      <c r="D193" s="956" t="s">
        <v>36</v>
      </c>
      <c r="E193" s="1009" t="s">
        <v>1917</v>
      </c>
      <c r="F193" s="1010"/>
      <c r="G193" s="1009" t="str">
        <f>+VLOOKUP(Data_Validation!$A193,BV_Data_An_Cour!$L:$Q,6,0)</f>
        <v>3-Passifs</v>
      </c>
      <c r="H193" s="165"/>
    </row>
    <row r="194" spans="1:8" ht="15" customHeight="1">
      <c r="A194" s="168" t="s">
        <v>2099</v>
      </c>
      <c r="B194" s="169" t="s">
        <v>2098</v>
      </c>
      <c r="C194" s="956" t="s">
        <v>1642</v>
      </c>
      <c r="D194" s="956" t="s">
        <v>36</v>
      </c>
      <c r="E194" s="1009" t="s">
        <v>1917</v>
      </c>
      <c r="F194" s="1010"/>
      <c r="G194" s="1009" t="str">
        <f>+VLOOKUP(Data_Validation!$A194,BV_Data_An_Cour!$L:$Q,6,0)</f>
        <v>3-Passifs</v>
      </c>
      <c r="H194" s="165"/>
    </row>
    <row r="195" spans="1:8" ht="15" customHeight="1">
      <c r="A195" s="168" t="s">
        <v>2422</v>
      </c>
      <c r="B195" s="169" t="s">
        <v>2421</v>
      </c>
      <c r="C195" s="956" t="s">
        <v>1642</v>
      </c>
      <c r="D195" s="956" t="s">
        <v>36</v>
      </c>
      <c r="E195" s="1009" t="s">
        <v>1917</v>
      </c>
      <c r="F195" s="1010"/>
      <c r="G195" s="1009" t="str">
        <f>+VLOOKUP(Data_Validation!$A195,BV_Data_An_Cour!$L:$Q,6,0)</f>
        <v>3-Passifs</v>
      </c>
      <c r="H195" s="165"/>
    </row>
    <row r="196" spans="1:8" ht="15" customHeight="1">
      <c r="A196" s="168" t="s">
        <v>2095</v>
      </c>
      <c r="B196" s="169" t="s">
        <v>2094</v>
      </c>
      <c r="C196" s="956" t="s">
        <v>1642</v>
      </c>
      <c r="D196" s="956" t="s">
        <v>36</v>
      </c>
      <c r="E196" s="1009" t="s">
        <v>1917</v>
      </c>
      <c r="F196" s="1010"/>
      <c r="G196" s="1009" t="str">
        <f>+VLOOKUP(Data_Validation!$A196,BV_Data_An_Cour!$L:$Q,6,0)</f>
        <v>3-Passifs</v>
      </c>
      <c r="H196" s="165"/>
    </row>
    <row r="197" spans="1:8" ht="15" customHeight="1">
      <c r="A197" s="168" t="s">
        <v>2189</v>
      </c>
      <c r="B197" s="169" t="s">
        <v>2188</v>
      </c>
      <c r="C197" s="956" t="s">
        <v>1642</v>
      </c>
      <c r="D197" s="956" t="s">
        <v>36</v>
      </c>
      <c r="E197" s="1009" t="s">
        <v>1917</v>
      </c>
      <c r="F197" s="1010"/>
      <c r="G197" s="1009" t="str">
        <f>+VLOOKUP(Data_Validation!$A197,BV_Data_An_Cour!$L:$Q,6,0)</f>
        <v>3-Passifs</v>
      </c>
      <c r="H197" s="165"/>
    </row>
    <row r="198" spans="1:8" ht="15" customHeight="1">
      <c r="A198" s="168" t="s">
        <v>2690</v>
      </c>
      <c r="B198" s="169" t="s">
        <v>2689</v>
      </c>
      <c r="C198" s="956" t="s">
        <v>1642</v>
      </c>
      <c r="D198" s="956" t="s">
        <v>54</v>
      </c>
      <c r="E198" s="1009" t="s">
        <v>1917</v>
      </c>
      <c r="F198" s="1010"/>
      <c r="G198" s="1009" t="str">
        <f>+VLOOKUP(Data_Validation!$A198,BV_Data_An_Cour!$L:$Q,6,0)</f>
        <v>3-Passifs</v>
      </c>
      <c r="H198" s="165"/>
    </row>
    <row r="199" spans="1:8" ht="15" customHeight="1">
      <c r="A199" s="168" t="s">
        <v>2190</v>
      </c>
      <c r="B199" s="169" t="s">
        <v>827</v>
      </c>
      <c r="C199" s="956" t="s">
        <v>1642</v>
      </c>
      <c r="D199" s="956" t="s">
        <v>40</v>
      </c>
      <c r="E199" s="1009" t="s">
        <v>1917</v>
      </c>
      <c r="F199" s="1010"/>
      <c r="G199" s="1009" t="str">
        <f>+VLOOKUP(Data_Validation!$A199,BV_Data_An_Cour!$L:$Q,6,0)</f>
        <v>3-Passifs</v>
      </c>
      <c r="H199" s="165"/>
    </row>
    <row r="200" spans="1:8" ht="15" customHeight="1">
      <c r="A200" s="168" t="s">
        <v>2424</v>
      </c>
      <c r="B200" s="169" t="s">
        <v>2423</v>
      </c>
      <c r="C200" s="956" t="s">
        <v>1642</v>
      </c>
      <c r="D200" s="956" t="s">
        <v>67</v>
      </c>
      <c r="E200" s="1009" t="s">
        <v>1917</v>
      </c>
      <c r="F200" s="1010"/>
      <c r="G200" s="1009" t="str">
        <f>+VLOOKUP(Data_Validation!$A200,BV_Data_An_Cour!$L:$Q,6,0)</f>
        <v>4-Valeur nette</v>
      </c>
    </row>
    <row r="201" spans="1:8" ht="15" customHeight="1">
      <c r="A201" s="168" t="s">
        <v>2426</v>
      </c>
      <c r="B201" s="169" t="s">
        <v>2425</v>
      </c>
      <c r="C201" s="956" t="s">
        <v>1642</v>
      </c>
      <c r="D201" s="956" t="s">
        <v>68</v>
      </c>
      <c r="E201" s="1009" t="s">
        <v>1917</v>
      </c>
      <c r="F201" s="1010"/>
      <c r="G201" s="1009" t="str">
        <f>+VLOOKUP(Data_Validation!$A201,BV_Data_An_Cour!$L:$Q,6,0)</f>
        <v>4-Valeur nette</v>
      </c>
      <c r="H201" s="165"/>
    </row>
    <row r="202" spans="1:8" ht="15" customHeight="1">
      <c r="A202" s="168" t="s">
        <v>2428</v>
      </c>
      <c r="B202" s="169" t="s">
        <v>2427</v>
      </c>
      <c r="C202" s="956" t="s">
        <v>1642</v>
      </c>
      <c r="D202" s="956" t="s">
        <v>67</v>
      </c>
      <c r="E202" s="1009"/>
      <c r="F202" s="1010"/>
      <c r="G202" s="1009" t="str">
        <f>+VLOOKUP(Data_Validation!$A202,BV_Data_An_Cour!$L:$Q,6,0)</f>
        <v>4-Valeur nette</v>
      </c>
      <c r="H202" s="165"/>
    </row>
    <row r="203" spans="1:8" ht="15" customHeight="1">
      <c r="A203" s="168" t="s">
        <v>2430</v>
      </c>
      <c r="B203" s="169" t="s">
        <v>2429</v>
      </c>
      <c r="C203" s="956" t="s">
        <v>1642</v>
      </c>
      <c r="D203" s="956" t="s">
        <v>69</v>
      </c>
      <c r="E203" s="1009" t="s">
        <v>1917</v>
      </c>
      <c r="F203" s="1010"/>
      <c r="G203" s="1009" t="str">
        <f>+VLOOKUP(Data_Validation!$A203,BV_Data_An_Cour!$L:$Q,6,0)</f>
        <v>4-Valeur nette</v>
      </c>
      <c r="H203" s="165"/>
    </row>
    <row r="204" spans="1:8" ht="15" customHeight="1">
      <c r="A204" s="168" t="s">
        <v>2026</v>
      </c>
      <c r="B204" s="169" t="s">
        <v>2025</v>
      </c>
      <c r="C204" s="956" t="s">
        <v>75</v>
      </c>
      <c r="D204" s="956" t="s">
        <v>96</v>
      </c>
      <c r="E204" s="1009" t="s">
        <v>1917</v>
      </c>
      <c r="F204" s="1010" t="s">
        <v>1920</v>
      </c>
      <c r="G204" s="1009" t="str">
        <f>+VLOOKUP(Data_Validation!$A204,BV_Data_An_Cour!$L:$Q,6,0)</f>
        <v>5-Ventes</v>
      </c>
      <c r="H204" s="165"/>
    </row>
    <row r="205" spans="1:8" ht="15" customHeight="1">
      <c r="A205" s="168" t="s">
        <v>2432</v>
      </c>
      <c r="B205" s="169" t="s">
        <v>2431</v>
      </c>
      <c r="C205" s="956" t="s">
        <v>75</v>
      </c>
      <c r="D205" s="956" t="s">
        <v>89</v>
      </c>
      <c r="E205" s="1009" t="s">
        <v>1917</v>
      </c>
      <c r="F205" s="1010" t="s">
        <v>1920</v>
      </c>
      <c r="G205" s="1009" t="e">
        <f>+VLOOKUP(Data_Validation!$A205,BV_Data_An_Cour!$L:$Q,6,0)</f>
        <v>#N/A</v>
      </c>
      <c r="H205" s="165"/>
    </row>
    <row r="206" spans="1:8" ht="15" customHeight="1">
      <c r="A206" s="168" t="s">
        <v>2434</v>
      </c>
      <c r="B206" s="169" t="s">
        <v>2433</v>
      </c>
      <c r="C206" s="956" t="s">
        <v>75</v>
      </c>
      <c r="D206" s="956" t="s">
        <v>89</v>
      </c>
      <c r="E206" s="1009" t="s">
        <v>1917</v>
      </c>
      <c r="F206" s="1010" t="s">
        <v>1920</v>
      </c>
      <c r="G206" s="1009" t="e">
        <f>+VLOOKUP(Data_Validation!$A206,BV_Data_An_Cour!$L:$Q,6,0)</f>
        <v>#N/A</v>
      </c>
      <c r="H206" s="165"/>
    </row>
    <row r="207" spans="1:8" ht="15" customHeight="1">
      <c r="A207" s="168" t="s">
        <v>2019</v>
      </c>
      <c r="B207" s="169" t="s">
        <v>2018</v>
      </c>
      <c r="C207" s="956" t="s">
        <v>75</v>
      </c>
      <c r="D207" s="956" t="s">
        <v>89</v>
      </c>
      <c r="E207" s="1009" t="s">
        <v>1917</v>
      </c>
      <c r="F207" s="1010" t="s">
        <v>1920</v>
      </c>
      <c r="G207" s="1009" t="str">
        <f>+VLOOKUP(Data_Validation!$A207,BV_Data_An_Cour!$L:$Q,6,0)</f>
        <v>5-Ventes</v>
      </c>
      <c r="H207" s="165"/>
    </row>
    <row r="208" spans="1:8" ht="15" customHeight="1">
      <c r="A208" s="168" t="s">
        <v>2436</v>
      </c>
      <c r="B208" s="169" t="s">
        <v>2435</v>
      </c>
      <c r="C208" s="956" t="s">
        <v>75</v>
      </c>
      <c r="D208" s="956" t="s">
        <v>89</v>
      </c>
      <c r="E208" s="1009" t="s">
        <v>1917</v>
      </c>
      <c r="F208" s="1010" t="s">
        <v>1920</v>
      </c>
      <c r="G208" s="1009" t="e">
        <f>+VLOOKUP(Data_Validation!$A208,BV_Data_An_Cour!$L:$Q,6,0)</f>
        <v>#N/A</v>
      </c>
      <c r="H208" s="165"/>
    </row>
    <row r="209" spans="1:8" ht="15" customHeight="1">
      <c r="A209" s="168" t="s">
        <v>2014</v>
      </c>
      <c r="B209" s="169" t="s">
        <v>2013</v>
      </c>
      <c r="C209" s="956" t="s">
        <v>75</v>
      </c>
      <c r="D209" s="956" t="s">
        <v>89</v>
      </c>
      <c r="E209" s="1009" t="s">
        <v>1917</v>
      </c>
      <c r="F209" s="1010" t="s">
        <v>1920</v>
      </c>
      <c r="G209" s="1009" t="str">
        <f>+VLOOKUP(Data_Validation!$A209,BV_Data_An_Cour!$L:$Q,6,0)</f>
        <v>5-Ventes</v>
      </c>
      <c r="H209" s="165"/>
    </row>
    <row r="210" spans="1:8" ht="15" customHeight="1">
      <c r="A210" s="168" t="s">
        <v>2438</v>
      </c>
      <c r="B210" s="169" t="s">
        <v>2437</v>
      </c>
      <c r="C210" s="956" t="s">
        <v>75</v>
      </c>
      <c r="D210" s="956" t="s">
        <v>89</v>
      </c>
      <c r="E210" s="1009" t="s">
        <v>1917</v>
      </c>
      <c r="F210" s="1010" t="s">
        <v>1920</v>
      </c>
      <c r="G210" s="1009" t="e">
        <f>+VLOOKUP(Data_Validation!$A210,BV_Data_An_Cour!$L:$Q,6,0)</f>
        <v>#N/A</v>
      </c>
      <c r="H210" s="165"/>
    </row>
    <row r="211" spans="1:8" ht="15" customHeight="1">
      <c r="A211" s="168" t="s">
        <v>2440</v>
      </c>
      <c r="B211" s="169" t="s">
        <v>2439</v>
      </c>
      <c r="C211" s="956" t="s">
        <v>75</v>
      </c>
      <c r="D211" s="956" t="s">
        <v>89</v>
      </c>
      <c r="E211" s="1009" t="s">
        <v>1917</v>
      </c>
      <c r="F211" s="1010" t="s">
        <v>1920</v>
      </c>
      <c r="G211" s="1009" t="e">
        <f>+VLOOKUP(Data_Validation!$A211,BV_Data_An_Cour!$L:$Q,6,0)</f>
        <v>#N/A</v>
      </c>
      <c r="H211" s="165"/>
    </row>
    <row r="212" spans="1:8" ht="15" customHeight="1">
      <c r="A212" s="169" t="s">
        <v>2003</v>
      </c>
      <c r="B212" s="169" t="s">
        <v>2002</v>
      </c>
      <c r="C212" s="956" t="s">
        <v>75</v>
      </c>
      <c r="D212" s="956" t="s">
        <v>90</v>
      </c>
      <c r="E212" s="1009" t="s">
        <v>1917</v>
      </c>
      <c r="F212" s="1010" t="s">
        <v>1920</v>
      </c>
      <c r="G212" s="1009" t="str">
        <f>+VLOOKUP(Data_Validation!$A212,BV_Data_An_Cour!$L:$Q,6,0)</f>
        <v>5-Ventes</v>
      </c>
      <c r="H212" s="165"/>
    </row>
    <row r="213" spans="1:8" ht="15" customHeight="1">
      <c r="A213" s="168" t="s">
        <v>2031</v>
      </c>
      <c r="B213" s="169" t="s">
        <v>2030</v>
      </c>
      <c r="C213" s="956" t="s">
        <v>75</v>
      </c>
      <c r="D213" s="956" t="s">
        <v>89</v>
      </c>
      <c r="E213" s="1009" t="s">
        <v>1917</v>
      </c>
      <c r="F213" s="1010" t="s">
        <v>1920</v>
      </c>
      <c r="G213" s="1009" t="str">
        <f>+VLOOKUP(Data_Validation!$A213,BV_Data_An_Cour!$L:$Q,6,0)</f>
        <v>5-Ventes</v>
      </c>
      <c r="H213" s="165"/>
    </row>
    <row r="214" spans="1:8" ht="15" customHeight="1">
      <c r="A214" s="168" t="s">
        <v>1999</v>
      </c>
      <c r="B214" s="169" t="s">
        <v>1998</v>
      </c>
      <c r="C214" s="956" t="s">
        <v>75</v>
      </c>
      <c r="D214" s="956" t="s">
        <v>90</v>
      </c>
      <c r="E214" s="1009" t="s">
        <v>1917</v>
      </c>
      <c r="F214" s="1010" t="s">
        <v>1920</v>
      </c>
      <c r="G214" s="1009" t="str">
        <f>+VLOOKUP(Data_Validation!$A214,BV_Data_An_Cour!$L:$Q,6,0)</f>
        <v>5-Ventes</v>
      </c>
      <c r="H214" s="165"/>
    </row>
    <row r="215" spans="1:8" ht="15" customHeight="1">
      <c r="A215" s="168" t="s">
        <v>2029</v>
      </c>
      <c r="B215" s="169" t="s">
        <v>2028</v>
      </c>
      <c r="C215" s="956" t="s">
        <v>75</v>
      </c>
      <c r="D215" s="956" t="s">
        <v>89</v>
      </c>
      <c r="E215" s="1009" t="s">
        <v>1917</v>
      </c>
      <c r="F215" s="1010" t="s">
        <v>1920</v>
      </c>
      <c r="G215" s="1009" t="str">
        <f>+VLOOKUP(Data_Validation!$A215,BV_Data_An_Cour!$L:$Q,6,0)</f>
        <v>5-Ventes</v>
      </c>
    </row>
    <row r="216" spans="1:8" ht="15" customHeight="1">
      <c r="A216" s="168" t="s">
        <v>2442</v>
      </c>
      <c r="B216" s="169" t="s">
        <v>2441</v>
      </c>
      <c r="C216" s="956" t="s">
        <v>75</v>
      </c>
      <c r="D216" s="956" t="s">
        <v>95</v>
      </c>
      <c r="E216" s="1009" t="s">
        <v>1917</v>
      </c>
      <c r="F216" s="1010" t="s">
        <v>1920</v>
      </c>
      <c r="G216" s="1009" t="str">
        <f>+VLOOKUP(Data_Validation!$A216,BV_Data_An_Cour!$L:$Q,6,0)</f>
        <v>5-Ventes</v>
      </c>
      <c r="H216" s="165"/>
    </row>
    <row r="217" spans="1:8" ht="15" customHeight="1">
      <c r="A217" s="168" t="s">
        <v>2005</v>
      </c>
      <c r="B217" s="169" t="s">
        <v>2004</v>
      </c>
      <c r="C217" s="956" t="s">
        <v>75</v>
      </c>
      <c r="D217" s="956" t="s">
        <v>94</v>
      </c>
      <c r="E217" s="1009" t="s">
        <v>1917</v>
      </c>
      <c r="F217" s="1010" t="s">
        <v>1920</v>
      </c>
      <c r="G217" s="1009" t="str">
        <f>+VLOOKUP(Data_Validation!$A217,BV_Data_An_Cour!$L:$Q,6,0)</f>
        <v>5-Ventes</v>
      </c>
      <c r="H217" s="165"/>
    </row>
    <row r="218" spans="1:8" ht="15" customHeight="1">
      <c r="A218" s="168" t="s">
        <v>2001</v>
      </c>
      <c r="B218" s="169" t="s">
        <v>2000</v>
      </c>
      <c r="C218" s="956" t="s">
        <v>144</v>
      </c>
      <c r="D218" s="956" t="s">
        <v>146</v>
      </c>
      <c r="E218" s="1009" t="s">
        <v>1917</v>
      </c>
      <c r="F218" s="1010" t="s">
        <v>1920</v>
      </c>
      <c r="G218" s="1009" t="str">
        <f>+VLOOKUP(Data_Validation!$A218,BV_Data_An_Cour!$L:$Q,6,0)</f>
        <v>5-Ventes</v>
      </c>
      <c r="H218" s="165"/>
    </row>
    <row r="219" spans="1:8" ht="15" customHeight="1">
      <c r="A219" s="168" t="s">
        <v>2444</v>
      </c>
      <c r="B219" s="169" t="s">
        <v>2443</v>
      </c>
      <c r="C219" s="956" t="s">
        <v>144</v>
      </c>
      <c r="D219" s="956" t="s">
        <v>147</v>
      </c>
      <c r="E219" s="1009" t="s">
        <v>1917</v>
      </c>
      <c r="F219" s="1010" t="s">
        <v>1920</v>
      </c>
      <c r="G219" s="1009" t="e">
        <f>+VLOOKUP(Data_Validation!$A219,BV_Data_An_Cour!$L:$Q,6,0)</f>
        <v>#N/A</v>
      </c>
      <c r="H219" s="165"/>
    </row>
    <row r="220" spans="1:8" ht="15" customHeight="1">
      <c r="A220" s="168" t="s">
        <v>2039</v>
      </c>
      <c r="B220" s="169" t="s">
        <v>2038</v>
      </c>
      <c r="C220" s="956" t="s">
        <v>144</v>
      </c>
      <c r="D220" s="956" t="s">
        <v>147</v>
      </c>
      <c r="E220" s="1009" t="s">
        <v>1917</v>
      </c>
      <c r="F220" s="1010" t="s">
        <v>1920</v>
      </c>
      <c r="G220" s="1009" t="str">
        <f>+VLOOKUP(Data_Validation!$A220,BV_Data_An_Cour!$L:$Q,6,0)</f>
        <v>5-Ventes</v>
      </c>
      <c r="H220" s="165"/>
    </row>
    <row r="221" spans="1:8" ht="15" customHeight="1">
      <c r="A221" s="168" t="s">
        <v>2007</v>
      </c>
      <c r="B221" s="169" t="s">
        <v>2006</v>
      </c>
      <c r="C221" s="956" t="s">
        <v>144</v>
      </c>
      <c r="D221" s="956" t="s">
        <v>150</v>
      </c>
      <c r="E221" s="1009" t="s">
        <v>1917</v>
      </c>
      <c r="F221" s="1010" t="s">
        <v>1920</v>
      </c>
      <c r="G221" s="1009" t="str">
        <f>+VLOOKUP(Data_Validation!$A221,BV_Data_An_Cour!$L:$Q,6,0)</f>
        <v>5-Ventes</v>
      </c>
      <c r="H221" s="165"/>
    </row>
    <row r="222" spans="1:8" ht="15" customHeight="1">
      <c r="A222" s="168" t="s">
        <v>2012</v>
      </c>
      <c r="B222" s="169" t="s">
        <v>2011</v>
      </c>
      <c r="C222" s="956" t="s">
        <v>155</v>
      </c>
      <c r="D222" s="956" t="s">
        <v>159</v>
      </c>
      <c r="E222" s="1009" t="s">
        <v>1917</v>
      </c>
      <c r="F222" s="1010" t="s">
        <v>1920</v>
      </c>
      <c r="G222" s="1009" t="str">
        <f>+VLOOKUP(Data_Validation!$A222,BV_Data_An_Cour!$L:$Q,6,0)</f>
        <v>5-Ventes</v>
      </c>
      <c r="H222" s="165"/>
    </row>
    <row r="223" spans="1:8" ht="15" customHeight="1">
      <c r="A223" s="168" t="s">
        <v>2192</v>
      </c>
      <c r="B223" s="169" t="s">
        <v>2191</v>
      </c>
      <c r="C223" s="956" t="s">
        <v>155</v>
      </c>
      <c r="D223" s="956" t="s">
        <v>163</v>
      </c>
      <c r="E223" s="1009" t="s">
        <v>1917</v>
      </c>
      <c r="F223" s="1010" t="s">
        <v>1920</v>
      </c>
      <c r="G223" s="1009" t="str">
        <f>+VLOOKUP(Data_Validation!$A223,BV_Data_An_Cour!$L:$Q,6,0)</f>
        <v>5-Ventes</v>
      </c>
      <c r="H223" s="165"/>
    </row>
    <row r="224" spans="1:8" ht="15" customHeight="1">
      <c r="A224" s="168" t="s">
        <v>2042</v>
      </c>
      <c r="B224" s="169" t="s">
        <v>2041</v>
      </c>
      <c r="C224" s="956" t="s">
        <v>155</v>
      </c>
      <c r="D224" s="956" t="s">
        <v>161</v>
      </c>
      <c r="E224" s="1009" t="s">
        <v>1917</v>
      </c>
      <c r="F224" s="1010" t="s">
        <v>1920</v>
      </c>
      <c r="G224" s="1009" t="str">
        <f>+VLOOKUP(Data_Validation!$A224,BV_Data_An_Cour!$L:$Q,6,0)</f>
        <v>5-Ventes</v>
      </c>
      <c r="H224" s="165"/>
    </row>
    <row r="225" spans="1:8" ht="15" customHeight="1">
      <c r="A225" s="169" t="s">
        <v>2052</v>
      </c>
      <c r="B225" s="169" t="s">
        <v>2051</v>
      </c>
      <c r="C225" s="956" t="s">
        <v>155</v>
      </c>
      <c r="D225" s="956" t="s">
        <v>162</v>
      </c>
      <c r="E225" s="1009" t="s">
        <v>1917</v>
      </c>
      <c r="F225" s="1010" t="s">
        <v>1920</v>
      </c>
      <c r="G225" s="1009" t="str">
        <f>+VLOOKUP(Data_Validation!$A225,BV_Data_An_Cour!$L:$Q,6,0)</f>
        <v>5-Ventes</v>
      </c>
      <c r="H225" s="165"/>
    </row>
    <row r="226" spans="1:8" ht="15" customHeight="1">
      <c r="A226" s="166" t="s">
        <v>2629</v>
      </c>
      <c r="B226" s="166" t="s">
        <v>2628</v>
      </c>
      <c r="C226" s="956" t="s">
        <v>155</v>
      </c>
      <c r="D226" s="956" t="s">
        <v>159</v>
      </c>
      <c r="E226" s="1009" t="s">
        <v>1917</v>
      </c>
      <c r="F226" s="1010" t="s">
        <v>1920</v>
      </c>
      <c r="G226" s="1009" t="e">
        <f>+VLOOKUP(Data_Validation!$A226,BV_Data_An_Cour!$L:$Q,6,0)</f>
        <v>#N/A</v>
      </c>
      <c r="H226" s="165"/>
    </row>
    <row r="227" spans="1:8" ht="15" customHeight="1">
      <c r="A227" s="168" t="s">
        <v>2072</v>
      </c>
      <c r="B227" s="169" t="s">
        <v>2071</v>
      </c>
      <c r="C227" s="956" t="s">
        <v>175</v>
      </c>
      <c r="D227" s="956" t="s">
        <v>187</v>
      </c>
      <c r="E227" s="1009" t="s">
        <v>1917</v>
      </c>
      <c r="F227" s="1010" t="s">
        <v>1920</v>
      </c>
      <c r="G227" s="1009" t="str">
        <f>+VLOOKUP(Data_Validation!$A227,BV_Data_An_Cour!$L:$Q,6,0)</f>
        <v>5-Ventes</v>
      </c>
      <c r="H227" s="165"/>
    </row>
    <row r="228" spans="1:8" ht="15" customHeight="1">
      <c r="A228" s="168" t="s">
        <v>2145</v>
      </c>
      <c r="B228" s="169" t="s">
        <v>2144</v>
      </c>
      <c r="C228" s="956" t="s">
        <v>155</v>
      </c>
      <c r="D228" s="956" t="s">
        <v>167</v>
      </c>
      <c r="E228" s="1009" t="s">
        <v>1917</v>
      </c>
      <c r="F228" s="1010" t="s">
        <v>1920</v>
      </c>
      <c r="G228" s="1009" t="str">
        <f>+VLOOKUP(Data_Validation!$A228,BV_Data_An_Cour!$L:$Q,6,0)</f>
        <v>5-Ventes</v>
      </c>
      <c r="H228" s="165"/>
    </row>
    <row r="229" spans="1:8" ht="15" customHeight="1">
      <c r="A229" s="168" t="s">
        <v>2168</v>
      </c>
      <c r="B229" s="169" t="s">
        <v>2167</v>
      </c>
      <c r="C229" s="956" t="s">
        <v>155</v>
      </c>
      <c r="D229" s="956" t="s">
        <v>167</v>
      </c>
      <c r="E229" s="1009" t="s">
        <v>1917</v>
      </c>
      <c r="F229" s="1010" t="s">
        <v>1920</v>
      </c>
      <c r="G229" s="1009" t="str">
        <f>+VLOOKUP(Data_Validation!$A229,BV_Data_An_Cour!$L:$Q,6,0)</f>
        <v>5-Ventes</v>
      </c>
      <c r="H229" s="165"/>
    </row>
    <row r="230" spans="1:8" ht="15" customHeight="1">
      <c r="A230" s="168" t="s">
        <v>2087</v>
      </c>
      <c r="B230" s="169" t="s">
        <v>2086</v>
      </c>
      <c r="C230" s="956" t="s">
        <v>155</v>
      </c>
      <c r="D230" s="956" t="s">
        <v>167</v>
      </c>
      <c r="E230" s="1009" t="s">
        <v>1917</v>
      </c>
      <c r="F230" s="1010" t="s">
        <v>1920</v>
      </c>
      <c r="G230" s="1009" t="str">
        <f>+VLOOKUP(Data_Validation!$A230,BV_Data_An_Cour!$L:$Q,6,0)</f>
        <v>5-Ventes</v>
      </c>
      <c r="H230" s="165"/>
    </row>
    <row r="231" spans="1:8" ht="15" customHeight="1">
      <c r="A231" s="168" t="s">
        <v>2070</v>
      </c>
      <c r="B231" s="169" t="s">
        <v>2069</v>
      </c>
      <c r="C231" s="956" t="s">
        <v>171</v>
      </c>
      <c r="D231" s="956" t="s">
        <v>172</v>
      </c>
      <c r="E231" s="1009" t="s">
        <v>1917</v>
      </c>
      <c r="F231" s="1010" t="s">
        <v>1920</v>
      </c>
      <c r="G231" s="1009" t="str">
        <f>+VLOOKUP(Data_Validation!$A231,BV_Data_An_Cour!$L:$Q,6,0)</f>
        <v>5-Ventes</v>
      </c>
      <c r="H231" s="165"/>
    </row>
    <row r="232" spans="1:8" ht="15" customHeight="1">
      <c r="A232" s="168" t="s">
        <v>2068</v>
      </c>
      <c r="B232" s="169" t="s">
        <v>2067</v>
      </c>
      <c r="C232" s="956" t="s">
        <v>171</v>
      </c>
      <c r="D232" s="956" t="s">
        <v>172</v>
      </c>
      <c r="E232" s="1009" t="s">
        <v>1917</v>
      </c>
      <c r="F232" s="1010" t="s">
        <v>1920</v>
      </c>
      <c r="G232" s="1009" t="str">
        <f>+VLOOKUP(Data_Validation!$A232,BV_Data_An_Cour!$L:$Q,6,0)</f>
        <v>5-Ventes</v>
      </c>
      <c r="H232" s="165"/>
    </row>
    <row r="233" spans="1:8" ht="15" customHeight="1">
      <c r="A233" s="168" t="s">
        <v>2101</v>
      </c>
      <c r="B233" s="169" t="s">
        <v>2100</v>
      </c>
      <c r="C233" s="956" t="s">
        <v>171</v>
      </c>
      <c r="D233" s="956" t="s">
        <v>172</v>
      </c>
      <c r="E233" s="1009" t="s">
        <v>1917</v>
      </c>
      <c r="F233" s="1010" t="s">
        <v>1920</v>
      </c>
      <c r="G233" s="1009" t="str">
        <f>+VLOOKUP(Data_Validation!$A233,BV_Data_An_Cour!$L:$Q,6,0)</f>
        <v>5-Ventes</v>
      </c>
      <c r="H233" s="165"/>
    </row>
    <row r="234" spans="1:8" ht="15" customHeight="1">
      <c r="A234" s="168" t="s">
        <v>2024</v>
      </c>
      <c r="B234" s="169" t="s">
        <v>2023</v>
      </c>
      <c r="C234" s="956" t="s">
        <v>175</v>
      </c>
      <c r="D234" s="956" t="s">
        <v>177</v>
      </c>
      <c r="E234" s="1009" t="s">
        <v>1917</v>
      </c>
      <c r="F234" s="1010" t="s">
        <v>1920</v>
      </c>
      <c r="G234" s="1009" t="str">
        <f>+VLOOKUP(Data_Validation!$A234,BV_Data_An_Cour!$L:$Q,6,0)</f>
        <v>5-Ventes</v>
      </c>
      <c r="H234" s="165"/>
    </row>
    <row r="235" spans="1:8" ht="15" customHeight="1">
      <c r="A235" s="168" t="s">
        <v>2151</v>
      </c>
      <c r="B235" s="169" t="s">
        <v>2150</v>
      </c>
      <c r="C235" s="956" t="s">
        <v>155</v>
      </c>
      <c r="D235" s="956" t="s">
        <v>159</v>
      </c>
      <c r="E235" s="1009" t="s">
        <v>1917</v>
      </c>
      <c r="F235" s="1010" t="s">
        <v>1920</v>
      </c>
      <c r="G235" s="1009" t="str">
        <f>+VLOOKUP(Data_Validation!$A235,BV_Data_An_Cour!$L:$Q,6,0)</f>
        <v>5-Ventes</v>
      </c>
      <c r="H235" s="165"/>
    </row>
    <row r="236" spans="1:8" ht="15" customHeight="1">
      <c r="A236" s="168" t="s">
        <v>2044</v>
      </c>
      <c r="B236" s="169" t="s">
        <v>2043</v>
      </c>
      <c r="C236" s="956" t="s">
        <v>175</v>
      </c>
      <c r="D236" s="956" t="s">
        <v>179</v>
      </c>
      <c r="E236" s="1009" t="s">
        <v>1917</v>
      </c>
      <c r="F236" s="1010" t="s">
        <v>1920</v>
      </c>
      <c r="G236" s="1009" t="str">
        <f>+VLOOKUP(Data_Validation!$A236,BV_Data_An_Cour!$L:$Q,6,0)</f>
        <v>5-Ventes</v>
      </c>
      <c r="H236" s="165"/>
    </row>
    <row r="237" spans="1:8" ht="15" customHeight="1">
      <c r="A237" s="168" t="s">
        <v>2048</v>
      </c>
      <c r="B237" s="169" t="s">
        <v>2047</v>
      </c>
      <c r="C237" s="956" t="s">
        <v>175</v>
      </c>
      <c r="D237" s="956" t="s">
        <v>180</v>
      </c>
      <c r="E237" s="1009" t="s">
        <v>1917</v>
      </c>
      <c r="F237" s="1010" t="s">
        <v>1920</v>
      </c>
      <c r="G237" s="1009" t="str">
        <f>+VLOOKUP(Data_Validation!$A237,BV_Data_An_Cour!$L:$Q,6,0)</f>
        <v>5-Ventes</v>
      </c>
      <c r="H237" s="165"/>
    </row>
    <row r="238" spans="1:8" ht="15" customHeight="1">
      <c r="A238" s="168" t="s">
        <v>2169</v>
      </c>
      <c r="B238" s="169" t="s">
        <v>2150</v>
      </c>
      <c r="C238" s="956" t="s">
        <v>155</v>
      </c>
      <c r="D238" s="956" t="s">
        <v>162</v>
      </c>
      <c r="E238" s="1009" t="s">
        <v>1917</v>
      </c>
      <c r="F238" s="1010" t="s">
        <v>1920</v>
      </c>
      <c r="G238" s="1009" t="str">
        <f>+VLOOKUP(Data_Validation!$A238,BV_Data_An_Cour!$L:$Q,6,0)</f>
        <v>5-Ventes</v>
      </c>
      <c r="H238" s="165"/>
    </row>
    <row r="239" spans="1:8" ht="15" customHeight="1">
      <c r="A239" s="168" t="s">
        <v>2115</v>
      </c>
      <c r="B239" s="169" t="s">
        <v>2114</v>
      </c>
      <c r="C239" s="956" t="s">
        <v>175</v>
      </c>
      <c r="D239" s="956" t="s">
        <v>177</v>
      </c>
      <c r="E239" s="1009" t="s">
        <v>1917</v>
      </c>
      <c r="F239" s="1010" t="s">
        <v>1920</v>
      </c>
      <c r="G239" s="1009" t="str">
        <f>+VLOOKUP(Data_Validation!$A239,BV_Data_An_Cour!$L:$Q,6,0)</f>
        <v>5-Ventes</v>
      </c>
      <c r="H239" s="165"/>
    </row>
    <row r="240" spans="1:8" ht="15" customHeight="1">
      <c r="A240" s="169" t="s">
        <v>2445</v>
      </c>
      <c r="B240" s="169" t="s">
        <v>2114</v>
      </c>
      <c r="C240" s="956" t="s">
        <v>175</v>
      </c>
      <c r="D240" s="956" t="s">
        <v>177</v>
      </c>
      <c r="E240" s="1009" t="s">
        <v>1917</v>
      </c>
      <c r="F240" s="1010" t="s">
        <v>1920</v>
      </c>
      <c r="G240" s="1009" t="e">
        <f>+VLOOKUP(Data_Validation!$A240,BV_Data_An_Cour!$L:$Q,6,0)</f>
        <v>#N/A</v>
      </c>
      <c r="H240" s="165"/>
    </row>
    <row r="241" spans="1:8" ht="15" customHeight="1">
      <c r="A241" s="168" t="s">
        <v>2108</v>
      </c>
      <c r="B241" s="169" t="s">
        <v>2107</v>
      </c>
      <c r="C241" s="956" t="s">
        <v>175</v>
      </c>
      <c r="D241" s="956" t="s">
        <v>178</v>
      </c>
      <c r="E241" s="1009" t="s">
        <v>1917</v>
      </c>
      <c r="F241" s="1010" t="s">
        <v>1920</v>
      </c>
      <c r="G241" s="1009" t="str">
        <f>+VLOOKUP(Data_Validation!$A241,BV_Data_An_Cour!$L:$Q,6,0)</f>
        <v>5-Ventes</v>
      </c>
      <c r="H241" s="165"/>
    </row>
    <row r="242" spans="1:8" ht="15" customHeight="1">
      <c r="A242" s="951" t="s">
        <v>2091</v>
      </c>
      <c r="B242" s="171" t="s">
        <v>2090</v>
      </c>
      <c r="C242" s="956" t="s">
        <v>175</v>
      </c>
      <c r="D242" s="956" t="s">
        <v>178</v>
      </c>
      <c r="E242" s="1009" t="s">
        <v>1917</v>
      </c>
      <c r="F242" s="1010" t="s">
        <v>1920</v>
      </c>
      <c r="G242" s="1009" t="str">
        <f>+VLOOKUP(Data_Validation!$A242,BV_Data_An_Cour!$L:$Q,6,0)</f>
        <v>5-Ventes</v>
      </c>
      <c r="H242" s="165"/>
    </row>
    <row r="243" spans="1:8" ht="15" customHeight="1">
      <c r="A243" s="171" t="s">
        <v>2166</v>
      </c>
      <c r="B243" s="171" t="s">
        <v>2165</v>
      </c>
      <c r="C243" s="956" t="s">
        <v>175</v>
      </c>
      <c r="D243" s="956" t="s">
        <v>178</v>
      </c>
      <c r="E243" s="1009" t="s">
        <v>1917</v>
      </c>
      <c r="F243" s="1010" t="s">
        <v>1920</v>
      </c>
      <c r="G243" s="1009" t="str">
        <f>+VLOOKUP(Data_Validation!$A243,BV_Data_An_Cour!$L:$Q,6,0)</f>
        <v>5-Ventes</v>
      </c>
      <c r="H243" s="165"/>
    </row>
    <row r="244" spans="1:8" ht="15" customHeight="1">
      <c r="A244" s="951" t="s">
        <v>2083</v>
      </c>
      <c r="B244" s="171" t="s">
        <v>2082</v>
      </c>
      <c r="C244" s="956" t="s">
        <v>175</v>
      </c>
      <c r="D244" s="956" t="s">
        <v>181</v>
      </c>
      <c r="E244" s="1009" t="s">
        <v>1917</v>
      </c>
      <c r="F244" s="1010" t="s">
        <v>1920</v>
      </c>
      <c r="G244" s="1009" t="str">
        <f>+VLOOKUP(Data_Validation!$A244,BV_Data_An_Cour!$L:$Q,6,0)</f>
        <v>5-Ventes</v>
      </c>
      <c r="H244" s="165"/>
    </row>
    <row r="245" spans="1:8" ht="15" customHeight="1">
      <c r="A245" s="951" t="s">
        <v>2046</v>
      </c>
      <c r="B245" s="171" t="s">
        <v>2045</v>
      </c>
      <c r="C245" s="956" t="s">
        <v>175</v>
      </c>
      <c r="D245" s="956" t="s">
        <v>182</v>
      </c>
      <c r="E245" s="1009" t="s">
        <v>1917</v>
      </c>
      <c r="F245" s="1010" t="s">
        <v>1920</v>
      </c>
      <c r="G245" s="1009" t="str">
        <f>+VLOOKUP(Data_Validation!$A245,BV_Data_An_Cour!$L:$Q,6,0)</f>
        <v>5-Ventes</v>
      </c>
      <c r="H245" s="165"/>
    </row>
    <row r="246" spans="1:8" ht="15" customHeight="1">
      <c r="A246" s="167" t="s">
        <v>2035</v>
      </c>
      <c r="B246" s="171" t="s">
        <v>2034</v>
      </c>
      <c r="C246" s="956" t="s">
        <v>175</v>
      </c>
      <c r="D246" s="956" t="s">
        <v>186</v>
      </c>
      <c r="E246" s="1009" t="s">
        <v>1917</v>
      </c>
      <c r="F246" s="1010" t="s">
        <v>1920</v>
      </c>
      <c r="G246" s="1009" t="str">
        <f>+VLOOKUP(Data_Validation!$A246,BV_Data_An_Cour!$L:$Q,6,0)</f>
        <v>5-Ventes</v>
      </c>
      <c r="H246" s="165"/>
    </row>
    <row r="247" spans="1:8" ht="15" customHeight="1">
      <c r="A247" s="951" t="s">
        <v>2121</v>
      </c>
      <c r="B247" s="171" t="s">
        <v>2120</v>
      </c>
      <c r="C247" s="956" t="s">
        <v>175</v>
      </c>
      <c r="D247" s="956" t="s">
        <v>186</v>
      </c>
      <c r="E247" s="1009" t="s">
        <v>1917</v>
      </c>
      <c r="F247" s="1010" t="s">
        <v>1920</v>
      </c>
      <c r="G247" s="1009" t="str">
        <f>+VLOOKUP(Data_Validation!$A247,BV_Data_An_Cour!$L:$Q,6,0)</f>
        <v>5-Ventes</v>
      </c>
      <c r="H247" s="165"/>
    </row>
    <row r="248" spans="1:8" ht="15" customHeight="1">
      <c r="A248" s="171" t="s">
        <v>2841</v>
      </c>
      <c r="B248" s="171" t="s">
        <v>2840</v>
      </c>
      <c r="C248" s="956" t="s">
        <v>75</v>
      </c>
      <c r="D248" s="956" t="s">
        <v>96</v>
      </c>
      <c r="E248" s="1009" t="s">
        <v>1917</v>
      </c>
      <c r="F248" s="1010"/>
      <c r="G248" s="1009" t="str">
        <f>+VLOOKUP(Data_Validation!$A248,BV_Data_An_Cour!$L:$Q,6,0)</f>
        <v>6-Coût des ventes</v>
      </c>
      <c r="H248" s="165"/>
    </row>
    <row r="249" spans="1:8" ht="15" customHeight="1">
      <c r="A249" s="951" t="s">
        <v>2447</v>
      </c>
      <c r="B249" s="171" t="s">
        <v>2446</v>
      </c>
      <c r="C249" s="956" t="s">
        <v>75</v>
      </c>
      <c r="D249" s="956" t="s">
        <v>89</v>
      </c>
      <c r="E249" s="1009" t="s">
        <v>1917</v>
      </c>
      <c r="F249" s="1009"/>
      <c r="G249" s="1009" t="e">
        <f>+VLOOKUP(Data_Validation!$A249,BV_Data_An_Cour!$L:$Q,6,0)</f>
        <v>#N/A</v>
      </c>
      <c r="H249" s="165"/>
    </row>
    <row r="250" spans="1:8" ht="15" customHeight="1">
      <c r="A250" s="168" t="s">
        <v>2449</v>
      </c>
      <c r="B250" s="169" t="s">
        <v>2448</v>
      </c>
      <c r="C250" s="956" t="s">
        <v>75</v>
      </c>
      <c r="D250" s="956" t="s">
        <v>89</v>
      </c>
      <c r="E250" s="1009" t="s">
        <v>1917</v>
      </c>
      <c r="F250" s="1009"/>
      <c r="G250" s="1009" t="e">
        <f>+VLOOKUP(Data_Validation!$A250,BV_Data_An_Cour!$L:$Q,6,0)</f>
        <v>#N/A</v>
      </c>
      <c r="H250" s="165"/>
    </row>
    <row r="251" spans="1:8" ht="15" customHeight="1">
      <c r="A251" s="951" t="s">
        <v>2843</v>
      </c>
      <c r="B251" s="171" t="s">
        <v>2842</v>
      </c>
      <c r="C251" s="956" t="s">
        <v>75</v>
      </c>
      <c r="D251" s="956" t="s">
        <v>89</v>
      </c>
      <c r="E251" s="1009" t="s">
        <v>1917</v>
      </c>
      <c r="F251" s="1009"/>
      <c r="G251" s="1009" t="str">
        <f>+VLOOKUP(Data_Validation!$A251,BV_Data_An_Cour!$L:$Q,6,0)</f>
        <v>6-Coût des ventes</v>
      </c>
      <c r="H251" s="165"/>
    </row>
    <row r="252" spans="1:8" ht="15" customHeight="1">
      <c r="A252" s="168" t="s">
        <v>2451</v>
      </c>
      <c r="B252" s="169" t="s">
        <v>2450</v>
      </c>
      <c r="C252" s="956" t="s">
        <v>75</v>
      </c>
      <c r="D252" s="956" t="s">
        <v>89</v>
      </c>
      <c r="E252" s="1009" t="s">
        <v>1917</v>
      </c>
      <c r="F252" s="1009"/>
      <c r="G252" s="1009" t="e">
        <f>+VLOOKUP(Data_Validation!$A252,BV_Data_An_Cour!$L:$Q,6,0)</f>
        <v>#N/A</v>
      </c>
      <c r="H252" s="165"/>
    </row>
    <row r="253" spans="1:8" ht="15" customHeight="1">
      <c r="A253" s="168" t="s">
        <v>2845</v>
      </c>
      <c r="B253" s="169" t="s">
        <v>2844</v>
      </c>
      <c r="C253" s="956" t="s">
        <v>75</v>
      </c>
      <c r="D253" s="956" t="s">
        <v>89</v>
      </c>
      <c r="E253" s="1009" t="s">
        <v>1917</v>
      </c>
      <c r="F253" s="1009"/>
      <c r="G253" s="1009" t="str">
        <f>+VLOOKUP(Data_Validation!$A253,BV_Data_An_Cour!$L:$Q,6,0)</f>
        <v>6-Coût des ventes</v>
      </c>
      <c r="H253" s="165"/>
    </row>
    <row r="254" spans="1:8" ht="15" customHeight="1">
      <c r="A254" s="951" t="s">
        <v>2453</v>
      </c>
      <c r="B254" s="171" t="s">
        <v>2452</v>
      </c>
      <c r="C254" s="956" t="s">
        <v>75</v>
      </c>
      <c r="D254" s="956" t="s">
        <v>89</v>
      </c>
      <c r="E254" s="1009" t="s">
        <v>1917</v>
      </c>
      <c r="F254" s="1009"/>
      <c r="G254" s="1009" t="e">
        <f>+VLOOKUP(Data_Validation!$A254,BV_Data_An_Cour!$L:$Q,6,0)</f>
        <v>#N/A</v>
      </c>
      <c r="H254" s="165"/>
    </row>
    <row r="255" spans="1:8" ht="15" customHeight="1">
      <c r="A255" s="168" t="s">
        <v>2455</v>
      </c>
      <c r="B255" s="169" t="s">
        <v>2454</v>
      </c>
      <c r="C255" s="956" t="s">
        <v>75</v>
      </c>
      <c r="D255" s="956" t="s">
        <v>89</v>
      </c>
      <c r="E255" s="1009" t="s">
        <v>1917</v>
      </c>
      <c r="F255" s="1009"/>
      <c r="G255" s="1009" t="str">
        <f>+VLOOKUP(Data_Validation!$A255,BV_Data_An_Cour!$L:$Q,6,0)</f>
        <v>6-Coût des ventes</v>
      </c>
      <c r="H255" s="165"/>
    </row>
    <row r="256" spans="1:8" ht="15" customHeight="1">
      <c r="A256" s="951" t="s">
        <v>2851</v>
      </c>
      <c r="B256" s="171" t="s">
        <v>2850</v>
      </c>
      <c r="C256" s="956" t="s">
        <v>75</v>
      </c>
      <c r="D256" s="956" t="s">
        <v>90</v>
      </c>
      <c r="E256" s="1009" t="s">
        <v>1917</v>
      </c>
      <c r="F256" s="1009"/>
      <c r="G256" s="1009" t="str">
        <f>+VLOOKUP(Data_Validation!$A256,BV_Data_An_Cour!$L:$Q,6,0)</f>
        <v>6-Coût des ventes</v>
      </c>
      <c r="H256" s="165"/>
    </row>
    <row r="257" spans="1:8" ht="15" customHeight="1">
      <c r="A257" s="953" t="s">
        <v>2837</v>
      </c>
      <c r="B257" s="169" t="s">
        <v>2836</v>
      </c>
      <c r="C257" s="956" t="s">
        <v>75</v>
      </c>
      <c r="D257" s="956" t="s">
        <v>89</v>
      </c>
      <c r="E257" s="1009" t="s">
        <v>1917</v>
      </c>
      <c r="F257" s="1009"/>
      <c r="G257" s="1009" t="str">
        <f>+VLOOKUP(Data_Validation!$A257,BV_Data_An_Cour!$L:$Q,6,0)</f>
        <v>6-Coût des ventes</v>
      </c>
      <c r="H257" s="165"/>
    </row>
    <row r="258" spans="1:8" ht="15" customHeight="1">
      <c r="A258" s="168" t="s">
        <v>2856</v>
      </c>
      <c r="B258" s="169" t="s">
        <v>2855</v>
      </c>
      <c r="C258" s="956" t="s">
        <v>75</v>
      </c>
      <c r="D258" s="956" t="s">
        <v>90</v>
      </c>
      <c r="E258" s="1009" t="s">
        <v>1917</v>
      </c>
      <c r="F258" s="1009"/>
      <c r="G258" s="1009" t="str">
        <f>+VLOOKUP(Data_Validation!$A258,BV_Data_An_Cour!$L:$Q,6,0)</f>
        <v>6-Coût des ventes</v>
      </c>
      <c r="H258" s="165"/>
    </row>
    <row r="259" spans="1:8" ht="15" customHeight="1">
      <c r="A259" s="1021" t="s">
        <v>2839</v>
      </c>
      <c r="B259" s="1022" t="s">
        <v>2838</v>
      </c>
      <c r="C259" s="1023" t="s">
        <v>75</v>
      </c>
      <c r="D259" s="956" t="s">
        <v>89</v>
      </c>
      <c r="E259" s="1009" t="s">
        <v>1917</v>
      </c>
      <c r="F259" s="1009"/>
      <c r="G259" s="1009" t="str">
        <f>+VLOOKUP(Data_Validation!$A259,BV_Data_An_Cour!$L:$Q,6,0)</f>
        <v>6-Coût des ventes</v>
      </c>
      <c r="H259" s="165"/>
    </row>
    <row r="260" spans="1:8" ht="15" customHeight="1">
      <c r="A260" s="1024" t="s">
        <v>2457</v>
      </c>
      <c r="B260" s="1025" t="s">
        <v>2456</v>
      </c>
      <c r="C260" s="956" t="s">
        <v>75</v>
      </c>
      <c r="D260" s="956" t="s">
        <v>95</v>
      </c>
      <c r="E260" s="1009" t="s">
        <v>1917</v>
      </c>
      <c r="F260" s="1009"/>
      <c r="G260" s="1009" t="str">
        <f>+VLOOKUP(Data_Validation!$A260,BV_Data_An_Cour!$L:$Q,6,0)</f>
        <v>6-Coût des ventes</v>
      </c>
      <c r="H260" s="165"/>
    </row>
    <row r="261" spans="1:8" ht="15" customHeight="1">
      <c r="A261" s="1021" t="s">
        <v>2849</v>
      </c>
      <c r="B261" s="1026" t="s">
        <v>2456</v>
      </c>
      <c r="C261" s="956" t="s">
        <v>75</v>
      </c>
      <c r="D261" s="956" t="s">
        <v>94</v>
      </c>
      <c r="E261" s="1009" t="s">
        <v>1917</v>
      </c>
      <c r="F261" s="1009"/>
      <c r="G261" s="1009" t="str">
        <f>+VLOOKUP(Data_Validation!$A261,BV_Data_An_Cour!$L:$Q,6,0)</f>
        <v>6-Coût des ventes</v>
      </c>
      <c r="H261" s="165"/>
    </row>
    <row r="262" spans="1:8" ht="15" customHeight="1">
      <c r="A262" s="1021" t="s">
        <v>2853</v>
      </c>
      <c r="B262" s="1026" t="s">
        <v>2852</v>
      </c>
      <c r="C262" s="956" t="s">
        <v>144</v>
      </c>
      <c r="D262" s="956" t="s">
        <v>146</v>
      </c>
      <c r="E262" s="1009" t="s">
        <v>1917</v>
      </c>
      <c r="F262" s="1009"/>
      <c r="G262" s="1009" t="str">
        <f>+VLOOKUP(Data_Validation!$A262,BV_Data_An_Cour!$L:$Q,6,0)</f>
        <v>6-Coût des ventes</v>
      </c>
      <c r="H262" s="165"/>
    </row>
    <row r="263" spans="1:8" ht="15" customHeight="1">
      <c r="A263" s="1024" t="s">
        <v>2831</v>
      </c>
      <c r="B263" s="1027" t="s">
        <v>2830</v>
      </c>
      <c r="C263" s="1023" t="s">
        <v>144</v>
      </c>
      <c r="D263" s="956" t="s">
        <v>146</v>
      </c>
      <c r="E263" s="1009" t="s">
        <v>1917</v>
      </c>
      <c r="F263" s="1009"/>
      <c r="G263" s="1009" t="str">
        <f>+VLOOKUP(Data_Validation!$A263,BV_Data_An_Cour!$L:$Q,6,0)</f>
        <v>6-Coût des ventes</v>
      </c>
      <c r="H263" s="165"/>
    </row>
    <row r="264" spans="1:8" ht="15" customHeight="1">
      <c r="A264" s="951" t="s">
        <v>2619</v>
      </c>
      <c r="B264" s="171" t="s">
        <v>2618</v>
      </c>
      <c r="C264" s="956" t="s">
        <v>144</v>
      </c>
      <c r="D264" s="956" t="s">
        <v>147</v>
      </c>
      <c r="E264" s="1009" t="s">
        <v>1917</v>
      </c>
      <c r="F264" s="1009"/>
      <c r="G264" s="1009" t="e">
        <f>+VLOOKUP(Data_Validation!$A264,BV_Data_An_Cour!$L:$Q,6,0)</f>
        <v>#N/A</v>
      </c>
      <c r="H264" s="165"/>
    </row>
    <row r="265" spans="1:8" ht="15" customHeight="1">
      <c r="A265" s="168" t="s">
        <v>2459</v>
      </c>
      <c r="B265" s="169" t="s">
        <v>2458</v>
      </c>
      <c r="C265" s="956" t="s">
        <v>144</v>
      </c>
      <c r="D265" s="956" t="s">
        <v>147</v>
      </c>
      <c r="E265" s="1009" t="s">
        <v>1917</v>
      </c>
      <c r="F265" s="1009"/>
      <c r="G265" s="1009" t="e">
        <f>+VLOOKUP(Data_Validation!$A265,BV_Data_An_Cour!$L:$Q,6,0)</f>
        <v>#N/A</v>
      </c>
      <c r="H265" s="165"/>
    </row>
    <row r="266" spans="1:8" ht="15" customHeight="1">
      <c r="A266" s="168" t="s">
        <v>2827</v>
      </c>
      <c r="B266" s="169" t="s">
        <v>2038</v>
      </c>
      <c r="C266" s="956" t="s">
        <v>144</v>
      </c>
      <c r="D266" s="956" t="s">
        <v>147</v>
      </c>
      <c r="E266" s="1009" t="s">
        <v>1917</v>
      </c>
      <c r="F266" s="1009"/>
      <c r="G266" s="1009" t="str">
        <f>+VLOOKUP(Data_Validation!$A266,BV_Data_An_Cour!$L:$Q,6,0)</f>
        <v>6-Coût des ventes</v>
      </c>
      <c r="H266" s="165"/>
    </row>
    <row r="267" spans="1:8" ht="15" customHeight="1">
      <c r="A267" s="171" t="s">
        <v>2673</v>
      </c>
      <c r="B267" s="171" t="s">
        <v>2672</v>
      </c>
      <c r="C267" s="956" t="s">
        <v>144</v>
      </c>
      <c r="D267" s="956" t="s">
        <v>147</v>
      </c>
      <c r="E267" s="1009" t="s">
        <v>1917</v>
      </c>
      <c r="F267" s="1009"/>
      <c r="G267" s="1009" t="e">
        <f>+VLOOKUP(Data_Validation!$A267,BV_Data_An_Cour!$L:$Q,6,0)</f>
        <v>#N/A</v>
      </c>
      <c r="H267" s="165"/>
    </row>
    <row r="268" spans="1:8" ht="15" customHeight="1">
      <c r="A268" s="951" t="s">
        <v>2848</v>
      </c>
      <c r="B268" s="171" t="s">
        <v>2006</v>
      </c>
      <c r="C268" s="956" t="s">
        <v>144</v>
      </c>
      <c r="D268" s="956" t="s">
        <v>150</v>
      </c>
      <c r="E268" s="1009" t="s">
        <v>1917</v>
      </c>
      <c r="F268" s="1009"/>
      <c r="G268" s="1009" t="str">
        <f>+VLOOKUP(Data_Validation!$A268,BV_Data_An_Cour!$L:$Q,6,0)</f>
        <v>6-Coût des ventes</v>
      </c>
      <c r="H268" s="165"/>
    </row>
    <row r="269" spans="1:8" ht="15" customHeight="1">
      <c r="A269" s="168" t="s">
        <v>2829</v>
      </c>
      <c r="B269" s="169" t="s">
        <v>2828</v>
      </c>
      <c r="C269" s="956" t="s">
        <v>155</v>
      </c>
      <c r="D269" s="956" t="s">
        <v>159</v>
      </c>
      <c r="E269" s="1009" t="s">
        <v>1917</v>
      </c>
      <c r="F269" s="1009"/>
      <c r="G269" s="1009" t="str">
        <f>+VLOOKUP(Data_Validation!$A269,BV_Data_An_Cour!$L:$Q,6,0)</f>
        <v>6-Coût des ventes</v>
      </c>
      <c r="H269" s="165"/>
    </row>
    <row r="270" spans="1:8" ht="15" customHeight="1">
      <c r="A270" s="951" t="s">
        <v>2567</v>
      </c>
      <c r="B270" s="171" t="s">
        <v>2566</v>
      </c>
      <c r="C270" s="956" t="s">
        <v>155</v>
      </c>
      <c r="D270" s="956" t="s">
        <v>163</v>
      </c>
      <c r="E270" s="1009" t="s">
        <v>1917</v>
      </c>
      <c r="F270" s="1009"/>
      <c r="G270" s="1009" t="str">
        <f>+VLOOKUP(Data_Validation!$A270,BV_Data_An_Cour!$L:$Q,6,0)</f>
        <v>6-Coût des ventes</v>
      </c>
      <c r="H270" s="165"/>
    </row>
    <row r="271" spans="1:8" ht="15" customHeight="1">
      <c r="A271" s="167" t="s">
        <v>2792</v>
      </c>
      <c r="B271" s="171" t="s">
        <v>2791</v>
      </c>
      <c r="C271" s="956" t="s">
        <v>155</v>
      </c>
      <c r="D271" s="956" t="s">
        <v>161</v>
      </c>
      <c r="E271" s="1009" t="s">
        <v>1917</v>
      </c>
      <c r="F271" s="1009"/>
      <c r="G271" s="1009" t="str">
        <f>+VLOOKUP(Data_Validation!$A271,BV_Data_An_Cour!$L:$Q,6,0)</f>
        <v>6-Coût des ventes</v>
      </c>
      <c r="H271" s="165"/>
    </row>
    <row r="272" spans="1:8" ht="15" customHeight="1">
      <c r="A272" s="951" t="s">
        <v>2778</v>
      </c>
      <c r="B272" s="171" t="s">
        <v>2777</v>
      </c>
      <c r="C272" s="956" t="s">
        <v>155</v>
      </c>
      <c r="D272" s="956" t="s">
        <v>162</v>
      </c>
      <c r="E272" s="1009" t="s">
        <v>1917</v>
      </c>
      <c r="F272" s="1009"/>
      <c r="G272" s="1009" t="str">
        <f>+VLOOKUP(Data_Validation!$A272,BV_Data_An_Cour!$L:$Q,6,0)</f>
        <v>6-Coût des ventes</v>
      </c>
      <c r="H272" s="165"/>
    </row>
    <row r="273" spans="1:8" ht="15" customHeight="1">
      <c r="A273" s="951" t="s">
        <v>2726</v>
      </c>
      <c r="B273" s="171" t="s">
        <v>2725</v>
      </c>
      <c r="C273" s="956" t="s">
        <v>155</v>
      </c>
      <c r="D273" s="956" t="s">
        <v>164</v>
      </c>
      <c r="E273" s="1009" t="s">
        <v>1917</v>
      </c>
      <c r="F273" s="1009"/>
      <c r="G273" s="1009" t="str">
        <f>+VLOOKUP(Data_Validation!$A273,BV_Data_An_Cour!$L:$Q,6,0)</f>
        <v>6-Coût des ventes</v>
      </c>
      <c r="H273" s="165"/>
    </row>
    <row r="274" spans="1:8" ht="15" customHeight="1">
      <c r="A274" s="951" t="s">
        <v>2802</v>
      </c>
      <c r="B274" s="171" t="s">
        <v>2071</v>
      </c>
      <c r="C274" s="956" t="s">
        <v>175</v>
      </c>
      <c r="D274" s="956" t="s">
        <v>187</v>
      </c>
      <c r="E274" s="1009" t="s">
        <v>1917</v>
      </c>
      <c r="F274" s="1009"/>
      <c r="G274" s="1009" t="str">
        <f>+VLOOKUP(Data_Validation!$A274,BV_Data_An_Cour!$L:$Q,6,0)</f>
        <v>6-Coût des ventes</v>
      </c>
      <c r="H274" s="165"/>
    </row>
    <row r="275" spans="1:8" ht="15" customHeight="1">
      <c r="A275" s="951" t="s">
        <v>2713</v>
      </c>
      <c r="B275" s="171" t="s">
        <v>2144</v>
      </c>
      <c r="C275" s="956" t="s">
        <v>155</v>
      </c>
      <c r="D275" s="956" t="s">
        <v>167</v>
      </c>
      <c r="E275" s="1009" t="s">
        <v>1917</v>
      </c>
      <c r="F275" s="1009"/>
      <c r="G275" s="1009" t="str">
        <f>+VLOOKUP(Data_Validation!$A275,BV_Data_An_Cour!$L:$Q,6,0)</f>
        <v>6-Coût des ventes</v>
      </c>
      <c r="H275" s="165"/>
    </row>
    <row r="276" spans="1:8" ht="15" customHeight="1">
      <c r="A276" s="168" t="s">
        <v>2688</v>
      </c>
      <c r="B276" s="169" t="s">
        <v>2687</v>
      </c>
      <c r="C276" s="956" t="s">
        <v>155</v>
      </c>
      <c r="D276" s="956" t="s">
        <v>167</v>
      </c>
      <c r="E276" s="1009" t="s">
        <v>1917</v>
      </c>
      <c r="F276" s="1012"/>
      <c r="G276" s="1012" t="str">
        <f>+VLOOKUP(Data_Validation!$A276,BV_Data_An_Cour!$L:$Q,6,0)</f>
        <v>6-Coût des ventes</v>
      </c>
      <c r="H276" s="165"/>
    </row>
    <row r="277" spans="1:8" ht="15" customHeight="1">
      <c r="A277" s="951" t="s">
        <v>2790</v>
      </c>
      <c r="B277" s="171" t="s">
        <v>2789</v>
      </c>
      <c r="C277" s="956" t="s">
        <v>155</v>
      </c>
      <c r="D277" s="956" t="s">
        <v>167</v>
      </c>
      <c r="E277" s="1009" t="s">
        <v>1917</v>
      </c>
      <c r="F277" s="1009"/>
      <c r="G277" s="1009" t="str">
        <f>+VLOOKUP(Data_Validation!$A277,BV_Data_An_Cour!$L:$Q,6,0)</f>
        <v>6-Coût des ventes</v>
      </c>
      <c r="H277" s="165"/>
    </row>
    <row r="278" spans="1:8" ht="15" customHeight="1">
      <c r="A278" s="951" t="s">
        <v>2799</v>
      </c>
      <c r="B278" s="171" t="s">
        <v>2798</v>
      </c>
      <c r="C278" s="956" t="s">
        <v>171</v>
      </c>
      <c r="D278" s="956" t="s">
        <v>172</v>
      </c>
      <c r="E278" s="1009" t="s">
        <v>1917</v>
      </c>
      <c r="F278" s="1009"/>
      <c r="G278" s="1009" t="str">
        <f>+VLOOKUP(Data_Validation!$A278,BV_Data_An_Cour!$L:$Q,6,0)</f>
        <v>6-Coût des ventes</v>
      </c>
      <c r="H278" s="165"/>
    </row>
    <row r="279" spans="1:8" ht="15" customHeight="1">
      <c r="A279" s="167" t="s">
        <v>2809</v>
      </c>
      <c r="B279" s="171" t="s">
        <v>2808</v>
      </c>
      <c r="C279" s="956" t="s">
        <v>171</v>
      </c>
      <c r="D279" s="956" t="s">
        <v>172</v>
      </c>
      <c r="E279" s="1009" t="s">
        <v>1917</v>
      </c>
      <c r="F279" s="1009"/>
      <c r="G279" s="1009" t="str">
        <f>+VLOOKUP(Data_Validation!$A279,BV_Data_An_Cour!$L:$Q,6,0)</f>
        <v>6-Coût des ventes</v>
      </c>
      <c r="H279" s="165"/>
    </row>
    <row r="280" spans="1:8" ht="15" customHeight="1">
      <c r="A280" s="951" t="s">
        <v>2768</v>
      </c>
      <c r="B280" s="171" t="s">
        <v>2767</v>
      </c>
      <c r="C280" s="956" t="s">
        <v>171</v>
      </c>
      <c r="D280" s="956" t="s">
        <v>172</v>
      </c>
      <c r="E280" s="1009" t="s">
        <v>1917</v>
      </c>
      <c r="F280" s="1009"/>
      <c r="G280" s="1009" t="str">
        <f>+VLOOKUP(Data_Validation!$A280,BV_Data_An_Cour!$L:$Q,6,0)</f>
        <v>6-Coût des ventes</v>
      </c>
      <c r="H280" s="165"/>
    </row>
    <row r="281" spans="1:8" ht="15" customHeight="1">
      <c r="A281" s="951" t="s">
        <v>2833</v>
      </c>
      <c r="B281" s="171" t="s">
        <v>2832</v>
      </c>
      <c r="C281" s="956" t="s">
        <v>175</v>
      </c>
      <c r="D281" s="956" t="s">
        <v>177</v>
      </c>
      <c r="E281" s="1009" t="s">
        <v>1917</v>
      </c>
      <c r="F281" s="1009"/>
      <c r="G281" s="1009" t="str">
        <f>+VLOOKUP(Data_Validation!$A281,BV_Data_An_Cour!$L:$Q,6,0)</f>
        <v>6-Coût des ventes</v>
      </c>
      <c r="H281" s="165"/>
    </row>
    <row r="282" spans="1:8" ht="15" customHeight="1">
      <c r="A282" s="951" t="s">
        <v>2705</v>
      </c>
      <c r="B282" s="171" t="s">
        <v>2658</v>
      </c>
      <c r="C282" s="956" t="s">
        <v>155</v>
      </c>
      <c r="D282" s="956" t="s">
        <v>159</v>
      </c>
      <c r="E282" s="1009" t="s">
        <v>1917</v>
      </c>
      <c r="F282" s="1009"/>
      <c r="G282" s="1009" t="str">
        <f>+VLOOKUP(Data_Validation!$A282,BV_Data_An_Cour!$L:$Q,6,0)</f>
        <v>6-Coût des ventes</v>
      </c>
      <c r="H282" s="165"/>
    </row>
    <row r="283" spans="1:8" ht="15" customHeight="1">
      <c r="A283" s="168" t="s">
        <v>2815</v>
      </c>
      <c r="B283" s="169" t="s">
        <v>2814</v>
      </c>
      <c r="C283" s="956" t="s">
        <v>175</v>
      </c>
      <c r="D283" s="956" t="s">
        <v>179</v>
      </c>
      <c r="E283" s="1009" t="s">
        <v>1917</v>
      </c>
      <c r="F283" s="1009"/>
      <c r="G283" s="1009" t="str">
        <f>+VLOOKUP(Data_Validation!$A283,BV_Data_An_Cour!$L:$Q,6,0)</f>
        <v>6-Coût des ventes</v>
      </c>
      <c r="H283" s="165"/>
    </row>
    <row r="284" spans="1:8" ht="15" customHeight="1">
      <c r="A284" s="951" t="s">
        <v>2812</v>
      </c>
      <c r="B284" s="171" t="s">
        <v>2811</v>
      </c>
      <c r="C284" s="956" t="s">
        <v>175</v>
      </c>
      <c r="D284" s="956" t="s">
        <v>180</v>
      </c>
      <c r="E284" s="1009" t="s">
        <v>1917</v>
      </c>
      <c r="F284" s="1009"/>
      <c r="G284" s="1009" t="str">
        <f>+VLOOKUP(Data_Validation!$A284,BV_Data_An_Cour!$L:$Q,6,0)</f>
        <v>6-Coût des ventes</v>
      </c>
      <c r="H284" s="165"/>
    </row>
    <row r="285" spans="1:8" ht="15" customHeight="1">
      <c r="A285" s="168" t="s">
        <v>2659</v>
      </c>
      <c r="B285" s="169" t="s">
        <v>2658</v>
      </c>
      <c r="C285" s="956" t="s">
        <v>155</v>
      </c>
      <c r="D285" s="956" t="s">
        <v>162</v>
      </c>
      <c r="E285" s="1009" t="s">
        <v>1917</v>
      </c>
      <c r="F285" s="1009"/>
      <c r="G285" s="1009" t="str">
        <f>+VLOOKUP(Data_Validation!$A285,BV_Data_An_Cour!$L:$Q,6,0)</f>
        <v>6-Coût des ventes</v>
      </c>
      <c r="H285" s="165"/>
    </row>
    <row r="286" spans="1:8" ht="15" customHeight="1">
      <c r="A286" s="951" t="s">
        <v>2728</v>
      </c>
      <c r="B286" s="171" t="s">
        <v>2460</v>
      </c>
      <c r="C286" s="956" t="s">
        <v>175</v>
      </c>
      <c r="D286" s="956" t="s">
        <v>177</v>
      </c>
      <c r="E286" s="1009" t="s">
        <v>1917</v>
      </c>
      <c r="F286" s="1009"/>
      <c r="G286" s="1009" t="str">
        <f>+VLOOKUP(Data_Validation!$A286,BV_Data_An_Cour!$L:$Q,6,0)</f>
        <v>6-Coût des ventes</v>
      </c>
      <c r="H286" s="165"/>
    </row>
    <row r="287" spans="1:8" ht="15" customHeight="1">
      <c r="A287" s="168" t="s">
        <v>2461</v>
      </c>
      <c r="B287" s="169" t="s">
        <v>2460</v>
      </c>
      <c r="C287" s="956" t="s">
        <v>175</v>
      </c>
      <c r="D287" s="956" t="s">
        <v>177</v>
      </c>
      <c r="E287" s="1009" t="s">
        <v>1917</v>
      </c>
      <c r="F287" s="1009"/>
      <c r="G287" s="1009" t="e">
        <f>+VLOOKUP(Data_Validation!$A287,BV_Data_An_Cour!$L:$Q,6,0)</f>
        <v>#N/A</v>
      </c>
      <c r="H287" s="165"/>
    </row>
    <row r="288" spans="1:8" ht="15" customHeight="1">
      <c r="A288" s="951" t="s">
        <v>2755</v>
      </c>
      <c r="B288" s="171" t="s">
        <v>2754</v>
      </c>
      <c r="C288" s="956" t="s">
        <v>175</v>
      </c>
      <c r="D288" s="956" t="s">
        <v>178</v>
      </c>
      <c r="E288" s="1009" t="s">
        <v>1917</v>
      </c>
      <c r="F288" s="1009"/>
      <c r="G288" s="1009" t="str">
        <f>+VLOOKUP(Data_Validation!$A288,BV_Data_An_Cour!$L:$Q,6,0)</f>
        <v>6-Coût des ventes</v>
      </c>
      <c r="H288" s="165"/>
    </row>
    <row r="289" spans="1:8" ht="15" customHeight="1">
      <c r="A289" s="168" t="s">
        <v>2788</v>
      </c>
      <c r="B289" s="169" t="s">
        <v>2787</v>
      </c>
      <c r="C289" s="956" t="s">
        <v>175</v>
      </c>
      <c r="D289" s="956" t="s">
        <v>178</v>
      </c>
      <c r="E289" s="1009" t="s">
        <v>1917</v>
      </c>
      <c r="F289" s="1009"/>
      <c r="G289" s="1009" t="str">
        <f>+VLOOKUP(Data_Validation!$A289,BV_Data_An_Cour!$L:$Q,6,0)</f>
        <v>6-Coût des ventes</v>
      </c>
      <c r="H289" s="165"/>
    </row>
    <row r="290" spans="1:8" ht="15" customHeight="1">
      <c r="A290" s="167" t="s">
        <v>2669</v>
      </c>
      <c r="B290" s="171" t="s">
        <v>2668</v>
      </c>
      <c r="C290" s="956" t="s">
        <v>175</v>
      </c>
      <c r="D290" s="956" t="s">
        <v>178</v>
      </c>
      <c r="E290" s="1009" t="s">
        <v>1917</v>
      </c>
      <c r="F290" s="1009"/>
      <c r="G290" s="1009" t="str">
        <f>+VLOOKUP(Data_Validation!$A290,BV_Data_An_Cour!$L:$Q,6,0)</f>
        <v>6-Coût des ventes</v>
      </c>
      <c r="H290" s="165"/>
    </row>
    <row r="291" spans="1:8" ht="15" customHeight="1">
      <c r="A291" s="951" t="s">
        <v>2795</v>
      </c>
      <c r="B291" s="171" t="s">
        <v>2794</v>
      </c>
      <c r="C291" s="956" t="s">
        <v>175</v>
      </c>
      <c r="D291" s="956" t="s">
        <v>181</v>
      </c>
      <c r="E291" s="1009" t="s">
        <v>1917</v>
      </c>
      <c r="F291" s="1009"/>
      <c r="G291" s="1009" t="str">
        <f>+VLOOKUP(Data_Validation!$A291,BV_Data_An_Cour!$L:$Q,6,0)</f>
        <v>6-Coût des ventes</v>
      </c>
      <c r="H291" s="165"/>
    </row>
    <row r="292" spans="1:8" ht="15" customHeight="1">
      <c r="A292" s="951" t="s">
        <v>2817</v>
      </c>
      <c r="B292" s="171" t="s">
        <v>2816</v>
      </c>
      <c r="C292" s="956" t="s">
        <v>175</v>
      </c>
      <c r="D292" s="956" t="s">
        <v>182</v>
      </c>
      <c r="E292" s="1009" t="s">
        <v>1917</v>
      </c>
      <c r="F292" s="1009"/>
      <c r="G292" s="1009" t="str">
        <f>+VLOOKUP(Data_Validation!$A292,BV_Data_An_Cour!$L:$Q,6,0)</f>
        <v>6-Coût des ventes</v>
      </c>
      <c r="H292" s="165"/>
    </row>
    <row r="293" spans="1:8" ht="15" customHeight="1">
      <c r="A293" s="951" t="s">
        <v>2821</v>
      </c>
      <c r="B293" s="171" t="s">
        <v>2820</v>
      </c>
      <c r="C293" s="956" t="s">
        <v>175</v>
      </c>
      <c r="D293" s="956" t="s">
        <v>186</v>
      </c>
      <c r="E293" s="1009" t="s">
        <v>1917</v>
      </c>
      <c r="F293" s="1009"/>
      <c r="G293" s="1009" t="str">
        <f>+VLOOKUP(Data_Validation!$A293,BV_Data_An_Cour!$L:$Q,6,0)</f>
        <v>6-Coût des ventes</v>
      </c>
      <c r="H293" s="165"/>
    </row>
    <row r="294" spans="1:8" ht="15" customHeight="1">
      <c r="A294" s="951" t="s">
        <v>2730</v>
      </c>
      <c r="B294" s="171" t="s">
        <v>2729</v>
      </c>
      <c r="C294" s="956" t="s">
        <v>175</v>
      </c>
      <c r="D294" s="956" t="s">
        <v>186</v>
      </c>
      <c r="E294" s="1009" t="s">
        <v>1917</v>
      </c>
      <c r="F294" s="1009"/>
      <c r="G294" s="1009" t="str">
        <f>+VLOOKUP(Data_Validation!$A294,BV_Data_An_Cour!$L:$Q,6,0)</f>
        <v>6-Coût des ventes</v>
      </c>
      <c r="H294" s="165"/>
    </row>
    <row r="295" spans="1:8" ht="15" customHeight="1">
      <c r="A295" s="168" t="s">
        <v>2137</v>
      </c>
      <c r="B295" s="169" t="s">
        <v>2462</v>
      </c>
      <c r="C295" s="956" t="s">
        <v>175</v>
      </c>
      <c r="D295" s="956" t="s">
        <v>184</v>
      </c>
      <c r="E295" s="1009" t="s">
        <v>1917</v>
      </c>
      <c r="F295" s="1009"/>
      <c r="G295" s="1009" t="e">
        <f>+VLOOKUP(Data_Validation!$A295,BV_Data_An_Cour!$L:$Q,6,0)</f>
        <v>#N/A</v>
      </c>
      <c r="H295" s="165"/>
    </row>
    <row r="296" spans="1:8" ht="15" customHeight="1">
      <c r="A296" s="951" t="s">
        <v>2136</v>
      </c>
      <c r="B296" s="171" t="s">
        <v>2135</v>
      </c>
      <c r="C296" s="956" t="s">
        <v>175</v>
      </c>
      <c r="D296" s="956" t="s">
        <v>183</v>
      </c>
      <c r="E296" s="1009" t="s">
        <v>1917</v>
      </c>
      <c r="F296" s="1009"/>
      <c r="G296" s="1009" t="str">
        <f>+VLOOKUP(Data_Validation!$A296,BV_Data_An_Cour!$L:$Q,6,0)</f>
        <v>6-Coût des ventes</v>
      </c>
      <c r="H296" s="165"/>
    </row>
    <row r="297" spans="1:8" ht="15" customHeight="1">
      <c r="A297" s="951" t="s">
        <v>2781</v>
      </c>
      <c r="B297" s="171" t="s">
        <v>1523</v>
      </c>
      <c r="C297" s="956" t="s">
        <v>75</v>
      </c>
      <c r="D297" s="956" t="s">
        <v>103</v>
      </c>
      <c r="E297" s="1009" t="s">
        <v>1917</v>
      </c>
      <c r="F297" s="1009"/>
      <c r="G297" s="1009" t="str">
        <f>+VLOOKUP(Data_Validation!$A297,BV_Data_An_Cour!$L:$Q,6,0)</f>
        <v>7-Dépenses</v>
      </c>
      <c r="H297" s="165"/>
    </row>
    <row r="298" spans="1:8" ht="15" customHeight="1">
      <c r="A298" s="951" t="s">
        <v>2770</v>
      </c>
      <c r="B298" s="171" t="s">
        <v>1442</v>
      </c>
      <c r="C298" s="956" t="s">
        <v>75</v>
      </c>
      <c r="D298" s="956" t="s">
        <v>104</v>
      </c>
      <c r="E298" s="1009" t="s">
        <v>1917</v>
      </c>
      <c r="F298" s="1009"/>
      <c r="G298" s="1009" t="str">
        <f>+VLOOKUP(Data_Validation!$A298,BV_Data_An_Cour!$L:$Q,6,0)</f>
        <v>7-Dépenses</v>
      </c>
      <c r="H298" s="165"/>
    </row>
    <row r="299" spans="1:8" ht="15" customHeight="1">
      <c r="A299" s="951" t="s">
        <v>2706</v>
      </c>
      <c r="B299" s="1022" t="s">
        <v>399</v>
      </c>
      <c r="C299" s="1023" t="s">
        <v>75</v>
      </c>
      <c r="D299" s="956" t="s">
        <v>106</v>
      </c>
      <c r="E299" s="1009" t="s">
        <v>1917</v>
      </c>
      <c r="F299" s="1009"/>
      <c r="G299" s="1009" t="str">
        <f>+VLOOKUP(Data_Validation!$A299,BV_Data_An_Cour!$L:$Q,6,0)</f>
        <v>7-Dépenses</v>
      </c>
      <c r="H299" s="165"/>
    </row>
    <row r="300" spans="1:8" ht="15" customHeight="1">
      <c r="A300" s="951" t="s">
        <v>2759</v>
      </c>
      <c r="B300" s="1022" t="s">
        <v>2757</v>
      </c>
      <c r="C300" s="1023" t="s">
        <v>75</v>
      </c>
      <c r="D300" s="956" t="s">
        <v>107</v>
      </c>
      <c r="E300" s="1009" t="s">
        <v>1917</v>
      </c>
      <c r="F300" s="1009"/>
      <c r="G300" s="1009" t="str">
        <f>+VLOOKUP(Data_Validation!$A300,BV_Data_An_Cour!$L:$Q,6,0)</f>
        <v>7-Dépenses</v>
      </c>
      <c r="H300" s="165"/>
    </row>
    <row r="301" spans="1:8" ht="15" customHeight="1">
      <c r="A301" s="169" t="s">
        <v>2612</v>
      </c>
      <c r="B301" s="1027" t="s">
        <v>938</v>
      </c>
      <c r="C301" s="1023" t="s">
        <v>75</v>
      </c>
      <c r="D301" s="956" t="s">
        <v>109</v>
      </c>
      <c r="E301" s="1009" t="s">
        <v>1917</v>
      </c>
      <c r="F301" s="1009"/>
      <c r="G301" s="1009" t="str">
        <f>+VLOOKUP(Data_Validation!$A301,BV_Data_An_Cour!$L:$Q,6,0)</f>
        <v>7-Dépenses</v>
      </c>
      <c r="H301" s="165"/>
    </row>
    <row r="302" spans="1:8" ht="15" customHeight="1">
      <c r="A302" s="951" t="s">
        <v>2696</v>
      </c>
      <c r="B302" s="1022" t="s">
        <v>1407</v>
      </c>
      <c r="C302" s="1023" t="s">
        <v>75</v>
      </c>
      <c r="D302" s="956" t="s">
        <v>105</v>
      </c>
      <c r="E302" s="1009" t="s">
        <v>1917</v>
      </c>
      <c r="F302" s="1009"/>
      <c r="G302" s="1009" t="str">
        <f>+VLOOKUP(Data_Validation!$A302,BV_Data_An_Cour!$L:$Q,6,0)</f>
        <v>7-Dépenses</v>
      </c>
      <c r="H302" s="165"/>
    </row>
    <row r="303" spans="1:8" ht="15" customHeight="1">
      <c r="A303" s="169" t="s">
        <v>2113</v>
      </c>
      <c r="B303" s="1027" t="s">
        <v>1374</v>
      </c>
      <c r="C303" s="1023" t="s">
        <v>75</v>
      </c>
      <c r="D303" s="956" t="s">
        <v>108</v>
      </c>
      <c r="E303" s="1009" t="s">
        <v>1917</v>
      </c>
      <c r="F303" s="1009"/>
      <c r="G303" s="1009" t="str">
        <f>+VLOOKUP(Data_Validation!$A303,BV_Data_An_Cour!$L:$Q,6,0)</f>
        <v>7-Dépenses</v>
      </c>
      <c r="H303" s="165"/>
    </row>
    <row r="304" spans="1:8" ht="15" customHeight="1">
      <c r="A304" s="951" t="s">
        <v>2112</v>
      </c>
      <c r="B304" s="171" t="s">
        <v>2111</v>
      </c>
      <c r="C304" s="956" t="s">
        <v>75</v>
      </c>
      <c r="D304" s="956" t="s">
        <v>108</v>
      </c>
      <c r="E304" s="1009" t="s">
        <v>1917</v>
      </c>
      <c r="F304" s="1009"/>
      <c r="G304" s="1009" t="str">
        <f>+VLOOKUP(Data_Validation!$A304,BV_Data_An_Cour!$L:$Q,6,0)</f>
        <v>7-Dépenses</v>
      </c>
      <c r="H304" s="165"/>
    </row>
    <row r="305" spans="1:8" ht="15" customHeight="1">
      <c r="A305" s="951" t="s">
        <v>2648</v>
      </c>
      <c r="B305" s="171" t="s">
        <v>1259</v>
      </c>
      <c r="C305" s="956" t="s">
        <v>75</v>
      </c>
      <c r="D305" s="956" t="s">
        <v>213</v>
      </c>
      <c r="E305" s="1009" t="s">
        <v>1917</v>
      </c>
      <c r="F305" s="1009"/>
      <c r="G305" s="1009" t="str">
        <f>+VLOOKUP(Data_Validation!$A305,BV_Data_An_Cour!$L:$Q,6,0)</f>
        <v>7-Dépenses</v>
      </c>
      <c r="H305" s="165"/>
    </row>
    <row r="306" spans="1:8" ht="15" customHeight="1">
      <c r="A306" s="169" t="s">
        <v>2626</v>
      </c>
      <c r="B306" s="169" t="s">
        <v>2624</v>
      </c>
      <c r="C306" s="956" t="s">
        <v>75</v>
      </c>
      <c r="D306" s="956" t="s">
        <v>112</v>
      </c>
      <c r="E306" s="1009" t="s">
        <v>1917</v>
      </c>
      <c r="F306" s="1009"/>
      <c r="G306" s="1009" t="str">
        <f>+VLOOKUP(Data_Validation!$A306,BV_Data_An_Cour!$L:$Q,6,0)</f>
        <v>7-Dépenses</v>
      </c>
      <c r="H306" s="165"/>
    </row>
    <row r="307" spans="1:8" ht="15" customHeight="1">
      <c r="A307" s="951" t="s">
        <v>2679</v>
      </c>
      <c r="B307" s="171" t="s">
        <v>1342</v>
      </c>
      <c r="C307" s="956" t="s">
        <v>75</v>
      </c>
      <c r="D307" s="956" t="s">
        <v>113</v>
      </c>
      <c r="E307" s="1009" t="s">
        <v>1917</v>
      </c>
      <c r="F307" s="1009"/>
      <c r="G307" s="1009" t="str">
        <f>+VLOOKUP(Data_Validation!$A307,BV_Data_An_Cour!$L:$Q,6,0)</f>
        <v>7-Dépenses</v>
      </c>
      <c r="H307" s="165"/>
    </row>
    <row r="308" spans="1:8" ht="15" customHeight="1">
      <c r="A308" s="169" t="s">
        <v>2735</v>
      </c>
      <c r="B308" s="169" t="s">
        <v>1249</v>
      </c>
      <c r="C308" s="956" t="s">
        <v>75</v>
      </c>
      <c r="D308" s="956" t="s">
        <v>114</v>
      </c>
      <c r="E308" s="1009" t="s">
        <v>1917</v>
      </c>
      <c r="F308" s="1009"/>
      <c r="G308" s="1009" t="str">
        <f>+VLOOKUP(Data_Validation!$A308,BV_Data_An_Cour!$L:$Q,6,0)</f>
        <v>7-Dépenses</v>
      </c>
      <c r="H308" s="165"/>
    </row>
    <row r="309" spans="1:8" ht="15" customHeight="1">
      <c r="A309" s="167" t="s">
        <v>2641</v>
      </c>
      <c r="B309" s="171" t="s">
        <v>1445</v>
      </c>
      <c r="C309" s="956" t="s">
        <v>75</v>
      </c>
      <c r="D309" s="956" t="s">
        <v>116</v>
      </c>
      <c r="E309" s="1009" t="s">
        <v>1917</v>
      </c>
      <c r="F309" s="1009"/>
      <c r="G309" s="1009" t="str">
        <f>+VLOOKUP(Data_Validation!$A309,BV_Data_An_Cour!$L:$Q,6,0)</f>
        <v>7-Dépenses</v>
      </c>
      <c r="H309" s="165"/>
    </row>
    <row r="310" spans="1:8" ht="15" customHeight="1">
      <c r="A310" s="951" t="s">
        <v>2586</v>
      </c>
      <c r="B310" s="171" t="s">
        <v>1252</v>
      </c>
      <c r="C310" s="956" t="s">
        <v>75</v>
      </c>
      <c r="D310" s="956" t="s">
        <v>119</v>
      </c>
      <c r="E310" s="1009" t="s">
        <v>1917</v>
      </c>
      <c r="F310" s="1009"/>
      <c r="G310" s="1009" t="str">
        <f>+VLOOKUP(Data_Validation!$A310,BV_Data_An_Cour!$L:$Q,6,0)</f>
        <v>7-Dépenses</v>
      </c>
      <c r="H310" s="165"/>
    </row>
    <row r="311" spans="1:8" ht="15" customHeight="1">
      <c r="A311" s="951" t="s">
        <v>2685</v>
      </c>
      <c r="B311" s="171" t="s">
        <v>1283</v>
      </c>
      <c r="C311" s="956" t="s">
        <v>75</v>
      </c>
      <c r="D311" s="956" t="s">
        <v>117</v>
      </c>
      <c r="E311" s="1009" t="s">
        <v>1917</v>
      </c>
      <c r="F311" s="1009"/>
      <c r="G311" s="1009" t="str">
        <f>+VLOOKUP(Data_Validation!$A311,BV_Data_An_Cour!$L:$Q,6,0)</f>
        <v>7-Dépenses</v>
      </c>
      <c r="H311" s="165"/>
    </row>
    <row r="312" spans="1:8" ht="15" customHeight="1">
      <c r="A312" s="169" t="s">
        <v>2694</v>
      </c>
      <c r="B312" s="169" t="s">
        <v>1414</v>
      </c>
      <c r="C312" s="956" t="s">
        <v>75</v>
      </c>
      <c r="D312" s="956" t="s">
        <v>118</v>
      </c>
      <c r="E312" s="1009" t="s">
        <v>1917</v>
      </c>
      <c r="F312" s="1009"/>
      <c r="G312" s="1009" t="str">
        <f>+VLOOKUP(Data_Validation!$A312,BV_Data_An_Cour!$L:$Q,6,0)</f>
        <v>7-Dépenses</v>
      </c>
      <c r="H312" s="165"/>
    </row>
    <row r="313" spans="1:8" ht="15" customHeight="1">
      <c r="A313" s="169" t="s">
        <v>2563</v>
      </c>
      <c r="B313" s="169" t="s">
        <v>1157</v>
      </c>
      <c r="C313" s="956" t="s">
        <v>75</v>
      </c>
      <c r="D313" s="956" t="s">
        <v>127</v>
      </c>
      <c r="E313" s="1009" t="s">
        <v>1917</v>
      </c>
      <c r="F313" s="1009"/>
      <c r="G313" s="1009" t="e">
        <f>+VLOOKUP(Data_Validation!$A313,BV_Data_An_Cour!$L:$Q,6,0)</f>
        <v>#N/A</v>
      </c>
      <c r="H313" s="165"/>
    </row>
    <row r="314" spans="1:8" ht="15" customHeight="1">
      <c r="A314" s="171" t="s">
        <v>2159</v>
      </c>
      <c r="B314" s="171" t="s">
        <v>932</v>
      </c>
      <c r="C314" s="956" t="s">
        <v>75</v>
      </c>
      <c r="D314" s="956" t="s">
        <v>128</v>
      </c>
      <c r="E314" s="1009" t="s">
        <v>1917</v>
      </c>
      <c r="F314" s="1009"/>
      <c r="G314" s="1009" t="e">
        <f>+VLOOKUP(Data_Validation!$A314,BV_Data_An_Cour!$L:$Q,6,0)</f>
        <v>#N/A</v>
      </c>
      <c r="H314" s="165"/>
    </row>
    <row r="315" spans="1:8" ht="15" customHeight="1">
      <c r="A315" s="171" t="s">
        <v>2561</v>
      </c>
      <c r="B315" s="171" t="s">
        <v>934</v>
      </c>
      <c r="C315" s="956" t="s">
        <v>75</v>
      </c>
      <c r="D315" s="956" t="s">
        <v>133</v>
      </c>
      <c r="E315" s="1009" t="s">
        <v>1917</v>
      </c>
      <c r="F315" s="1009"/>
      <c r="G315" s="1009" t="str">
        <f>+VLOOKUP(Data_Validation!$A315,BV_Data_An_Cour!$L:$Q,6,0)</f>
        <v>7-Dépenses</v>
      </c>
      <c r="H315" s="165"/>
    </row>
    <row r="316" spans="1:8" ht="15" customHeight="1">
      <c r="A316" s="951" t="s">
        <v>2632</v>
      </c>
      <c r="B316" s="171" t="s">
        <v>1186</v>
      </c>
      <c r="C316" s="956" t="s">
        <v>75</v>
      </c>
      <c r="D316" s="956" t="s">
        <v>123</v>
      </c>
      <c r="E316" s="1009" t="s">
        <v>1917</v>
      </c>
      <c r="F316" s="1009"/>
      <c r="G316" s="1009" t="str">
        <f>+VLOOKUP(Data_Validation!$A316,BV_Data_An_Cour!$L:$Q,6,0)</f>
        <v>7-Dépenses</v>
      </c>
      <c r="H316" s="165"/>
    </row>
    <row r="317" spans="1:8" ht="15" customHeight="1">
      <c r="A317" s="169" t="s">
        <v>2581</v>
      </c>
      <c r="B317" s="169" t="s">
        <v>1180</v>
      </c>
      <c r="C317" s="956" t="s">
        <v>75</v>
      </c>
      <c r="D317" s="956" t="s">
        <v>131</v>
      </c>
      <c r="E317" s="1009" t="s">
        <v>1917</v>
      </c>
      <c r="F317" s="1009"/>
      <c r="G317" s="1009" t="str">
        <f>+VLOOKUP(Data_Validation!$A317,BV_Data_An_Cour!$L:$Q,6,0)</f>
        <v>7-Dépenses</v>
      </c>
      <c r="H317" s="165"/>
    </row>
    <row r="318" spans="1:8" ht="15" customHeight="1">
      <c r="A318" s="169" t="s">
        <v>2702</v>
      </c>
      <c r="B318" s="169" t="s">
        <v>1286</v>
      </c>
      <c r="C318" s="956" t="s">
        <v>75</v>
      </c>
      <c r="D318" s="956" t="s">
        <v>124</v>
      </c>
      <c r="E318" s="1009" t="s">
        <v>1917</v>
      </c>
      <c r="F318" s="1009"/>
      <c r="G318" s="1009" t="str">
        <f>+VLOOKUP(Data_Validation!$A318,BV_Data_An_Cour!$L:$Q,6,0)</f>
        <v>7-Dépenses</v>
      </c>
      <c r="H318" s="165"/>
    </row>
    <row r="319" spans="1:8" ht="15" customHeight="1">
      <c r="A319" s="168" t="s">
        <v>2588</v>
      </c>
      <c r="B319" s="169" t="s">
        <v>1206</v>
      </c>
      <c r="C319" s="956" t="s">
        <v>75</v>
      </c>
      <c r="D319" s="956" t="s">
        <v>129</v>
      </c>
      <c r="E319" s="1009" t="s">
        <v>1917</v>
      </c>
      <c r="F319" s="1009"/>
      <c r="G319" s="1009" t="str">
        <f>+VLOOKUP(Data_Validation!$A319,BV_Data_An_Cour!$L:$Q,6,0)</f>
        <v>7-Dépenses</v>
      </c>
      <c r="H319" s="165"/>
    </row>
    <row r="320" spans="1:8" ht="15" customHeight="1">
      <c r="A320" s="169" t="s">
        <v>2592</v>
      </c>
      <c r="B320" s="169" t="s">
        <v>1154</v>
      </c>
      <c r="C320" s="956" t="s">
        <v>75</v>
      </c>
      <c r="D320" s="956" t="s">
        <v>130</v>
      </c>
      <c r="E320" s="1009" t="s">
        <v>1917</v>
      </c>
      <c r="F320" s="1009"/>
      <c r="G320" s="1009" t="str">
        <f>+VLOOKUP(Data_Validation!$A320,BV_Data_An_Cour!$L:$Q,6,0)</f>
        <v>7-Dépenses</v>
      </c>
      <c r="H320" s="165"/>
    </row>
    <row r="321" spans="1:8" ht="15" customHeight="1">
      <c r="A321" s="168" t="s">
        <v>2637</v>
      </c>
      <c r="B321" s="169" t="s">
        <v>1237</v>
      </c>
      <c r="C321" s="956" t="s">
        <v>75</v>
      </c>
      <c r="D321" s="956" t="s">
        <v>132</v>
      </c>
      <c r="E321" s="1009" t="s">
        <v>1917</v>
      </c>
      <c r="F321" s="1009"/>
      <c r="G321" s="1009" t="str">
        <f>+VLOOKUP(Data_Validation!$A321,BV_Data_An_Cour!$L:$Q,6,0)</f>
        <v>7-Dépenses</v>
      </c>
      <c r="H321" s="165"/>
    </row>
    <row r="322" spans="1:8" ht="15" customHeight="1">
      <c r="A322" s="169" t="s">
        <v>2470</v>
      </c>
      <c r="B322" s="169" t="s">
        <v>1315</v>
      </c>
      <c r="C322" s="956" t="s">
        <v>75</v>
      </c>
      <c r="D322" s="956" t="s">
        <v>125</v>
      </c>
      <c r="E322" s="1009" t="s">
        <v>1917</v>
      </c>
      <c r="F322" s="1009"/>
      <c r="G322" s="1009" t="str">
        <f>+VLOOKUP(Data_Validation!$A322,BV_Data_An_Cour!$L:$Q,6,0)</f>
        <v>7-Dépenses</v>
      </c>
      <c r="H322" s="165"/>
    </row>
    <row r="323" spans="1:8" ht="15" customHeight="1">
      <c r="A323" s="167" t="s">
        <v>2662</v>
      </c>
      <c r="B323" s="171" t="s">
        <v>1308</v>
      </c>
      <c r="C323" s="956" t="s">
        <v>75</v>
      </c>
      <c r="D323" s="956" t="s">
        <v>126</v>
      </c>
      <c r="E323" s="1009" t="s">
        <v>1917</v>
      </c>
      <c r="F323" s="1009"/>
      <c r="G323" s="1009" t="str">
        <f>+VLOOKUP(Data_Validation!$A323,BV_Data_An_Cour!$L:$Q,6,0)</f>
        <v>7-Dépenses</v>
      </c>
      <c r="H323" s="165"/>
    </row>
    <row r="324" spans="1:8" ht="15" customHeight="1">
      <c r="A324" s="951" t="s">
        <v>2653</v>
      </c>
      <c r="B324" s="171" t="s">
        <v>1333</v>
      </c>
      <c r="C324" s="956" t="s">
        <v>75</v>
      </c>
      <c r="D324" s="956" t="s">
        <v>260</v>
      </c>
      <c r="E324" s="1009" t="s">
        <v>1917</v>
      </c>
      <c r="F324" s="1009"/>
      <c r="G324" s="1009" t="str">
        <f>+VLOOKUP(Data_Validation!$A324,BV_Data_An_Cour!$L:$Q,6,0)</f>
        <v>7-Dépenses</v>
      </c>
      <c r="H324" s="165"/>
    </row>
    <row r="325" spans="1:8" ht="15" customHeight="1">
      <c r="A325" s="951" t="s">
        <v>2463</v>
      </c>
      <c r="B325" s="171" t="s">
        <v>936</v>
      </c>
      <c r="C325" s="956" t="s">
        <v>75</v>
      </c>
      <c r="D325" s="956" t="s">
        <v>250</v>
      </c>
      <c r="E325" s="1009" t="s">
        <v>1917</v>
      </c>
      <c r="F325" s="1009"/>
      <c r="G325" s="1009" t="e">
        <f>+VLOOKUP(Data_Validation!$A325,BV_Data_An_Cour!$L:$Q,6,0)</f>
        <v>#N/A</v>
      </c>
      <c r="H325" s="165"/>
    </row>
    <row r="326" spans="1:8" ht="15" customHeight="1">
      <c r="A326" s="951" t="s">
        <v>2604</v>
      </c>
      <c r="B326" s="171" t="s">
        <v>1332</v>
      </c>
      <c r="C326" s="956" t="s">
        <v>75</v>
      </c>
      <c r="D326" s="956" t="s">
        <v>244</v>
      </c>
      <c r="E326" s="1009" t="s">
        <v>1917</v>
      </c>
      <c r="F326" s="1009"/>
      <c r="G326" s="1009" t="str">
        <f>+VLOOKUP(Data_Validation!$A326,BV_Data_An_Cour!$L:$Q,6,0)</f>
        <v>7-Dépenses</v>
      </c>
      <c r="H326" s="165"/>
    </row>
    <row r="327" spans="1:8" ht="15" customHeight="1">
      <c r="A327" s="169" t="s">
        <v>2709</v>
      </c>
      <c r="B327" s="169" t="s">
        <v>1469</v>
      </c>
      <c r="C327" s="956" t="s">
        <v>75</v>
      </c>
      <c r="D327" s="956" t="s">
        <v>235</v>
      </c>
      <c r="E327" s="1009" t="s">
        <v>1917</v>
      </c>
      <c r="F327" s="1009"/>
      <c r="G327" s="1009" t="str">
        <f>+VLOOKUP(Data_Validation!$A327,BV_Data_An_Cour!$L:$Q,6,0)</f>
        <v>7-Dépenses</v>
      </c>
      <c r="H327" s="165"/>
    </row>
    <row r="328" spans="1:8" ht="15" customHeight="1">
      <c r="A328" s="951" t="s">
        <v>2594</v>
      </c>
      <c r="B328" s="171" t="s">
        <v>1366</v>
      </c>
      <c r="C328" s="956" t="s">
        <v>75</v>
      </c>
      <c r="D328" s="956" t="s">
        <v>242</v>
      </c>
      <c r="E328" s="1009" t="s">
        <v>1917</v>
      </c>
      <c r="F328" s="1009"/>
      <c r="G328" s="1009" t="str">
        <f>+VLOOKUP(Data_Validation!$A328,BV_Data_An_Cour!$L:$Q,6,0)</f>
        <v>7-Dépenses</v>
      </c>
      <c r="H328" s="165"/>
    </row>
    <row r="329" spans="1:8" ht="15" customHeight="1">
      <c r="A329" s="169" t="s">
        <v>2614</v>
      </c>
      <c r="B329" s="169" t="s">
        <v>1362</v>
      </c>
      <c r="C329" s="956" t="s">
        <v>75</v>
      </c>
      <c r="D329" s="956" t="s">
        <v>237</v>
      </c>
      <c r="E329" s="1009" t="s">
        <v>1917</v>
      </c>
      <c r="F329" s="1009"/>
      <c r="G329" s="1009" t="str">
        <f>+VLOOKUP(Data_Validation!$A329,BV_Data_An_Cour!$L:$Q,6,0)</f>
        <v>7-Dépenses</v>
      </c>
      <c r="H329" s="165"/>
    </row>
    <row r="330" spans="1:8" ht="15" customHeight="1">
      <c r="A330" s="168" t="s">
        <v>2597</v>
      </c>
      <c r="B330" s="169" t="s">
        <v>1296</v>
      </c>
      <c r="C330" s="956" t="s">
        <v>75</v>
      </c>
      <c r="D330" s="956" t="s">
        <v>239</v>
      </c>
      <c r="E330" s="1009" t="s">
        <v>1917</v>
      </c>
      <c r="F330" s="1009"/>
      <c r="G330" s="1009" t="str">
        <f>+VLOOKUP(Data_Validation!$A330,BV_Data_An_Cour!$L:$Q,6,0)</f>
        <v>7-Dépenses</v>
      </c>
      <c r="H330" s="165"/>
    </row>
    <row r="331" spans="1:8" ht="15" customHeight="1">
      <c r="A331" s="169" t="s">
        <v>2635</v>
      </c>
      <c r="B331" s="169" t="s">
        <v>1395</v>
      </c>
      <c r="C331" s="956" t="s">
        <v>75</v>
      </c>
      <c r="D331" s="956" t="s">
        <v>246</v>
      </c>
      <c r="E331" s="1009" t="s">
        <v>1917</v>
      </c>
      <c r="F331" s="1009"/>
      <c r="G331" s="1009" t="str">
        <f>+VLOOKUP(Data_Validation!$A331,BV_Data_An_Cour!$L:$Q,6,0)</f>
        <v>7-Dépenses</v>
      </c>
      <c r="H331" s="165"/>
    </row>
    <row r="332" spans="1:8" ht="15" customHeight="1">
      <c r="A332" s="167" t="s">
        <v>2780</v>
      </c>
      <c r="B332" s="166" t="s">
        <v>1483</v>
      </c>
      <c r="C332" s="956" t="s">
        <v>144</v>
      </c>
      <c r="D332" s="956" t="s">
        <v>103</v>
      </c>
      <c r="E332" s="1009" t="s">
        <v>1917</v>
      </c>
      <c r="F332" s="1009"/>
      <c r="G332" s="1009" t="str">
        <f>+VLOOKUP(Data_Validation!$A332,BV_Data_An_Cour!$L:$Q,6,0)</f>
        <v>7-Dépenses</v>
      </c>
      <c r="H332" s="165"/>
    </row>
    <row r="333" spans="1:8" ht="15" customHeight="1">
      <c r="A333" s="167" t="s">
        <v>2769</v>
      </c>
      <c r="B333" s="166" t="s">
        <v>1442</v>
      </c>
      <c r="C333" s="956" t="s">
        <v>144</v>
      </c>
      <c r="D333" s="956" t="s">
        <v>104</v>
      </c>
      <c r="E333" s="1009" t="s">
        <v>1917</v>
      </c>
      <c r="F333" s="1009"/>
      <c r="G333" s="1009" t="str">
        <f>+VLOOKUP(Data_Validation!$A333,BV_Data_An_Cour!$L:$Q,6,0)</f>
        <v>7-Dépenses</v>
      </c>
      <c r="H333" s="165"/>
    </row>
    <row r="334" spans="1:8" ht="15" customHeight="1">
      <c r="A334" s="169" t="s">
        <v>2751</v>
      </c>
      <c r="B334" s="169" t="s">
        <v>1230</v>
      </c>
      <c r="C334" s="956" t="s">
        <v>144</v>
      </c>
      <c r="D334" s="956" t="s">
        <v>106</v>
      </c>
      <c r="E334" s="1009" t="s">
        <v>1917</v>
      </c>
      <c r="F334" s="1009"/>
      <c r="G334" s="1009" t="str">
        <f>+VLOOKUP(Data_Validation!$A334,BV_Data_An_Cour!$L:$Q,6,0)</f>
        <v>7-Dépenses</v>
      </c>
      <c r="H334" s="165"/>
    </row>
    <row r="335" spans="1:8" ht="15" customHeight="1">
      <c r="A335" s="167" t="s">
        <v>2758</v>
      </c>
      <c r="B335" s="166" t="s">
        <v>2757</v>
      </c>
      <c r="C335" s="956" t="s">
        <v>144</v>
      </c>
      <c r="D335" s="956" t="s">
        <v>107</v>
      </c>
      <c r="E335" s="1009" t="s">
        <v>1917</v>
      </c>
      <c r="F335" s="1009"/>
      <c r="G335" s="1009" t="str">
        <f>+VLOOKUP(Data_Validation!$A335,BV_Data_An_Cour!$L:$Q,6,0)</f>
        <v>7-Dépenses</v>
      </c>
      <c r="H335" s="165"/>
    </row>
    <row r="336" spans="1:8" ht="15" customHeight="1">
      <c r="A336" s="169" t="s">
        <v>2611</v>
      </c>
      <c r="B336" s="169" t="s">
        <v>938</v>
      </c>
      <c r="C336" s="956" t="s">
        <v>144</v>
      </c>
      <c r="D336" s="956" t="s">
        <v>109</v>
      </c>
      <c r="E336" s="1009" t="s">
        <v>1917</v>
      </c>
      <c r="F336" s="1009"/>
      <c r="G336" s="1009" t="str">
        <f>+VLOOKUP(Data_Validation!$A336,BV_Data_An_Cour!$L:$Q,6,0)</f>
        <v>7-Dépenses</v>
      </c>
      <c r="H336" s="165"/>
    </row>
    <row r="337" spans="1:8" ht="15" customHeight="1">
      <c r="A337" s="167" t="s">
        <v>2695</v>
      </c>
      <c r="B337" s="166" t="s">
        <v>1407</v>
      </c>
      <c r="C337" s="956" t="s">
        <v>144</v>
      </c>
      <c r="D337" s="956" t="s">
        <v>105</v>
      </c>
      <c r="E337" s="1009" t="s">
        <v>1917</v>
      </c>
      <c r="F337" s="1009"/>
      <c r="G337" s="1009" t="str">
        <f>+VLOOKUP(Data_Validation!$A337,BV_Data_An_Cour!$L:$Q,6,0)</f>
        <v>7-Dépenses</v>
      </c>
      <c r="H337" s="165"/>
    </row>
    <row r="338" spans="1:8" ht="15" customHeight="1">
      <c r="A338" s="167" t="s">
        <v>2774</v>
      </c>
      <c r="B338" s="166" t="s">
        <v>1374</v>
      </c>
      <c r="C338" s="956" t="s">
        <v>144</v>
      </c>
      <c r="D338" s="956" t="s">
        <v>108</v>
      </c>
      <c r="E338" s="1009" t="s">
        <v>1917</v>
      </c>
      <c r="F338" s="1009"/>
      <c r="G338" s="1009" t="str">
        <f>+VLOOKUP(Data_Validation!$A338,BV_Data_An_Cour!$L:$Q,6,0)</f>
        <v>7-Dépenses</v>
      </c>
      <c r="H338" s="165"/>
    </row>
    <row r="339" spans="1:8" ht="15" customHeight="1">
      <c r="A339" s="169" t="s">
        <v>2149</v>
      </c>
      <c r="B339" s="169" t="s">
        <v>2148</v>
      </c>
      <c r="C339" s="956" t="s">
        <v>144</v>
      </c>
      <c r="D339" s="956" t="s">
        <v>108</v>
      </c>
      <c r="E339" s="1009" t="s">
        <v>1917</v>
      </c>
      <c r="F339" s="1009"/>
      <c r="G339" s="1009" t="str">
        <f>+VLOOKUP(Data_Validation!$A339,BV_Data_An_Cour!$L:$Q,6,0)</f>
        <v>7-Dépenses</v>
      </c>
      <c r="H339" s="165"/>
    </row>
    <row r="340" spans="1:8" ht="15" customHeight="1">
      <c r="A340" s="166" t="s">
        <v>2674</v>
      </c>
      <c r="B340" s="166" t="s">
        <v>1259</v>
      </c>
      <c r="C340" s="956" t="s">
        <v>144</v>
      </c>
      <c r="D340" s="956" t="s">
        <v>213</v>
      </c>
      <c r="E340" s="1009" t="s">
        <v>1917</v>
      </c>
      <c r="F340" s="1009"/>
      <c r="G340" s="1009" t="str">
        <f>+VLOOKUP(Data_Validation!$A340,BV_Data_An_Cour!$L:$Q,6,0)</f>
        <v>7-Dépenses</v>
      </c>
      <c r="H340" s="165"/>
    </row>
    <row r="341" spans="1:8" ht="15" customHeight="1">
      <c r="A341" s="167" t="s">
        <v>2748</v>
      </c>
      <c r="B341" s="166" t="s">
        <v>2624</v>
      </c>
      <c r="C341" s="956" t="s">
        <v>144</v>
      </c>
      <c r="D341" s="956" t="s">
        <v>112</v>
      </c>
      <c r="E341" s="1009" t="s">
        <v>1917</v>
      </c>
      <c r="F341" s="1009"/>
      <c r="G341" s="1009" t="str">
        <f>+VLOOKUP(Data_Validation!$A341,BV_Data_An_Cour!$L:$Q,6,0)</f>
        <v>7-Dépenses</v>
      </c>
    </row>
    <row r="342" spans="1:8" ht="15" customHeight="1">
      <c r="A342" s="167" t="s">
        <v>2707</v>
      </c>
      <c r="B342" s="166" t="s">
        <v>1342</v>
      </c>
      <c r="C342" s="956" t="s">
        <v>144</v>
      </c>
      <c r="D342" s="956" t="s">
        <v>113</v>
      </c>
      <c r="E342" s="1009" t="s">
        <v>1917</v>
      </c>
      <c r="F342" s="1009"/>
      <c r="G342" s="1009" t="str">
        <f>+VLOOKUP(Data_Validation!$A342,BV_Data_An_Cour!$L:$Q,6,0)</f>
        <v>7-Dépenses</v>
      </c>
    </row>
    <row r="343" spans="1:8" ht="15" customHeight="1">
      <c r="A343" s="167" t="s">
        <v>2776</v>
      </c>
      <c r="B343" s="166" t="s">
        <v>1412</v>
      </c>
      <c r="C343" s="956" t="s">
        <v>144</v>
      </c>
      <c r="D343" s="956" t="s">
        <v>114</v>
      </c>
      <c r="E343" s="1009" t="s">
        <v>1917</v>
      </c>
      <c r="F343" s="1009"/>
      <c r="G343" s="1009" t="str">
        <f>+VLOOKUP(Data_Validation!$A343,BV_Data_An_Cour!$L:$Q,6,0)</f>
        <v>7-Dépenses</v>
      </c>
      <c r="H343" s="165"/>
    </row>
    <row r="344" spans="1:8" ht="15" customHeight="1">
      <c r="A344" s="167" t="s">
        <v>2712</v>
      </c>
      <c r="B344" s="166" t="s">
        <v>1211</v>
      </c>
      <c r="C344" s="956" t="s">
        <v>144</v>
      </c>
      <c r="D344" s="956" t="s">
        <v>116</v>
      </c>
      <c r="E344" s="1009" t="s">
        <v>1917</v>
      </c>
      <c r="F344" s="1009"/>
      <c r="G344" s="1009" t="str">
        <f>+VLOOKUP(Data_Validation!$A344,BV_Data_An_Cour!$L:$Q,6,0)</f>
        <v>7-Dépenses</v>
      </c>
      <c r="H344" s="165"/>
    </row>
    <row r="345" spans="1:8" ht="15" customHeight="1">
      <c r="A345" s="167" t="s">
        <v>2697</v>
      </c>
      <c r="B345" s="166" t="s">
        <v>1252</v>
      </c>
      <c r="C345" s="956" t="s">
        <v>144</v>
      </c>
      <c r="D345" s="956" t="s">
        <v>119</v>
      </c>
      <c r="E345" s="1009" t="s">
        <v>1917</v>
      </c>
      <c r="F345" s="1009"/>
      <c r="G345" s="1009" t="str">
        <f>+VLOOKUP(Data_Validation!$A345,BV_Data_An_Cour!$L:$Q,6,0)</f>
        <v>7-Dépenses</v>
      </c>
      <c r="H345" s="165"/>
    </row>
    <row r="346" spans="1:8" ht="15" customHeight="1">
      <c r="A346" s="167" t="s">
        <v>2717</v>
      </c>
      <c r="B346" s="166" t="s">
        <v>1283</v>
      </c>
      <c r="C346" s="956" t="s">
        <v>144</v>
      </c>
      <c r="D346" s="956" t="s">
        <v>117</v>
      </c>
      <c r="E346" s="1009" t="s">
        <v>1917</v>
      </c>
      <c r="F346" s="1009"/>
      <c r="G346" s="1009" t="str">
        <f>+VLOOKUP(Data_Validation!$A346,BV_Data_An_Cour!$L:$Q,6,0)</f>
        <v>7-Dépenses</v>
      </c>
      <c r="H346" s="165"/>
    </row>
    <row r="347" spans="1:8" ht="15" customHeight="1">
      <c r="A347" s="167" t="s">
        <v>2719</v>
      </c>
      <c r="B347" s="166" t="s">
        <v>1305</v>
      </c>
      <c r="C347" s="956" t="s">
        <v>144</v>
      </c>
      <c r="D347" s="956" t="s">
        <v>118</v>
      </c>
      <c r="E347" s="1009" t="s">
        <v>1917</v>
      </c>
      <c r="F347" s="1009"/>
      <c r="G347" s="1009" t="str">
        <f>+VLOOKUP(Data_Validation!$A347,BV_Data_An_Cour!$L:$Q,6,0)</f>
        <v>7-Dépenses</v>
      </c>
      <c r="H347" s="165"/>
    </row>
    <row r="348" spans="1:8" ht="15" customHeight="1">
      <c r="A348" s="167" t="s">
        <v>2565</v>
      </c>
      <c r="B348" s="166" t="s">
        <v>1157</v>
      </c>
      <c r="C348" s="956" t="s">
        <v>144</v>
      </c>
      <c r="D348" s="956" t="s">
        <v>127</v>
      </c>
      <c r="E348" s="1009" t="s">
        <v>1917</v>
      </c>
      <c r="F348" s="1009"/>
      <c r="G348" s="1009" t="e">
        <f>+VLOOKUP(Data_Validation!$A348,BV_Data_An_Cour!$L:$Q,6,0)</f>
        <v>#N/A</v>
      </c>
      <c r="H348" s="165"/>
    </row>
    <row r="349" spans="1:8" ht="15" customHeight="1">
      <c r="A349" s="167" t="s">
        <v>2464</v>
      </c>
      <c r="B349" s="166" t="s">
        <v>932</v>
      </c>
      <c r="C349" s="956" t="s">
        <v>144</v>
      </c>
      <c r="D349" s="956" t="s">
        <v>128</v>
      </c>
      <c r="E349" s="1009" t="s">
        <v>1917</v>
      </c>
      <c r="F349" s="1009"/>
      <c r="G349" s="1009" t="e">
        <f>+VLOOKUP(Data_Validation!$A349,BV_Data_An_Cour!$L:$Q,6,0)</f>
        <v>#N/A</v>
      </c>
      <c r="H349" s="165"/>
    </row>
    <row r="350" spans="1:8" ht="15" customHeight="1">
      <c r="A350" s="169" t="s">
        <v>2564</v>
      </c>
      <c r="B350" s="169" t="s">
        <v>934</v>
      </c>
      <c r="C350" s="956" t="s">
        <v>144</v>
      </c>
      <c r="D350" s="956" t="s">
        <v>133</v>
      </c>
      <c r="E350" s="1009" t="s">
        <v>1917</v>
      </c>
      <c r="F350" s="1009"/>
      <c r="G350" s="1009" t="str">
        <f>+VLOOKUP(Data_Validation!$A350,BV_Data_An_Cour!$L:$Q,6,0)</f>
        <v>7-Dépenses</v>
      </c>
      <c r="H350" s="165"/>
    </row>
    <row r="351" spans="1:8" ht="15" customHeight="1">
      <c r="A351" s="167" t="s">
        <v>2649</v>
      </c>
      <c r="B351" s="166" t="s">
        <v>1186</v>
      </c>
      <c r="C351" s="956" t="s">
        <v>144</v>
      </c>
      <c r="D351" s="956" t="s">
        <v>123</v>
      </c>
      <c r="E351" s="1009" t="s">
        <v>1917</v>
      </c>
      <c r="F351" s="1009"/>
      <c r="G351" s="1009" t="str">
        <f>+VLOOKUP(Data_Validation!$A351,BV_Data_An_Cour!$L:$Q,6,0)</f>
        <v>7-Dépenses</v>
      </c>
      <c r="H351" s="165"/>
    </row>
    <row r="352" spans="1:8" ht="15" customHeight="1">
      <c r="A352" s="169" t="s">
        <v>2584</v>
      </c>
      <c r="B352" s="169" t="s">
        <v>1180</v>
      </c>
      <c r="C352" s="956" t="s">
        <v>144</v>
      </c>
      <c r="D352" s="956" t="s">
        <v>131</v>
      </c>
      <c r="E352" s="1009" t="s">
        <v>1917</v>
      </c>
      <c r="F352" s="1012"/>
      <c r="G352" s="1012" t="str">
        <f>+VLOOKUP(Data_Validation!$A352,BV_Data_An_Cour!$L:$Q,6,0)</f>
        <v>7-Dépenses</v>
      </c>
      <c r="H352" s="165"/>
    </row>
    <row r="353" spans="1:8" ht="15" customHeight="1">
      <c r="A353" s="167" t="s">
        <v>2723</v>
      </c>
      <c r="B353" s="166" t="s">
        <v>1286</v>
      </c>
      <c r="C353" s="956" t="s">
        <v>144</v>
      </c>
      <c r="D353" s="956" t="s">
        <v>124</v>
      </c>
      <c r="E353" s="1009" t="s">
        <v>1917</v>
      </c>
      <c r="F353" s="1009"/>
      <c r="G353" s="1009" t="str">
        <f>+VLOOKUP(Data_Validation!$A353,BV_Data_An_Cour!$L:$Q,6,0)</f>
        <v>7-Dépenses</v>
      </c>
      <c r="H353" s="165"/>
    </row>
    <row r="354" spans="1:8" ht="15" customHeight="1">
      <c r="A354" s="169" t="s">
        <v>2602</v>
      </c>
      <c r="B354" s="169" t="s">
        <v>1206</v>
      </c>
      <c r="C354" s="956" t="s">
        <v>144</v>
      </c>
      <c r="D354" s="956" t="s">
        <v>129</v>
      </c>
      <c r="E354" s="1009" t="s">
        <v>1917</v>
      </c>
      <c r="F354" s="1009"/>
      <c r="G354" s="1009" t="str">
        <f>+VLOOKUP(Data_Validation!$A354,BV_Data_An_Cour!$L:$Q,6,0)</f>
        <v>7-Dépenses</v>
      </c>
      <c r="H354" s="165"/>
    </row>
    <row r="355" spans="1:8" ht="15" customHeight="1">
      <c r="A355" s="167" t="s">
        <v>2595</v>
      </c>
      <c r="B355" s="166" t="s">
        <v>1154</v>
      </c>
      <c r="C355" s="956" t="s">
        <v>144</v>
      </c>
      <c r="D355" s="956" t="s">
        <v>130</v>
      </c>
      <c r="E355" s="1009" t="s">
        <v>1917</v>
      </c>
      <c r="F355" s="1009"/>
      <c r="G355" s="1009" t="str">
        <f>+VLOOKUP(Data_Validation!$A355,BV_Data_An_Cour!$L:$Q,6,0)</f>
        <v>7-Dépenses</v>
      </c>
      <c r="H355" s="165"/>
    </row>
    <row r="356" spans="1:8" ht="15" customHeight="1">
      <c r="A356" s="168" t="s">
        <v>2666</v>
      </c>
      <c r="B356" s="169" t="s">
        <v>1237</v>
      </c>
      <c r="C356" s="956" t="s">
        <v>144</v>
      </c>
      <c r="D356" s="956" t="s">
        <v>132</v>
      </c>
      <c r="E356" s="1009" t="s">
        <v>1917</v>
      </c>
      <c r="F356" s="1009"/>
      <c r="G356" s="1009" t="str">
        <f>+VLOOKUP(Data_Validation!$A356,BV_Data_An_Cour!$L:$Q,6,0)</f>
        <v>7-Dépenses</v>
      </c>
      <c r="H356" s="165"/>
    </row>
    <row r="357" spans="1:8" ht="15" customHeight="1">
      <c r="A357" s="167" t="s">
        <v>2676</v>
      </c>
      <c r="B357" s="166" t="s">
        <v>1247</v>
      </c>
      <c r="C357" s="956" t="s">
        <v>144</v>
      </c>
      <c r="D357" s="956" t="s">
        <v>125</v>
      </c>
      <c r="E357" s="1009" t="s">
        <v>1917</v>
      </c>
      <c r="F357" s="1009"/>
      <c r="G357" s="1009" t="str">
        <f>+VLOOKUP(Data_Validation!$A357,BV_Data_An_Cour!$L:$Q,6,0)</f>
        <v>7-Dépenses</v>
      </c>
      <c r="H357" s="165"/>
    </row>
    <row r="358" spans="1:8" ht="15" customHeight="1">
      <c r="A358" s="168" t="s">
        <v>2698</v>
      </c>
      <c r="B358" s="169" t="s">
        <v>1308</v>
      </c>
      <c r="C358" s="956" t="s">
        <v>144</v>
      </c>
      <c r="D358" s="956" t="s">
        <v>126</v>
      </c>
      <c r="E358" s="1009" t="s">
        <v>1917</v>
      </c>
      <c r="F358" s="1012"/>
      <c r="G358" s="1012" t="str">
        <f>+VLOOKUP(Data_Validation!$A358,BV_Data_An_Cour!$L:$Q,6,0)</f>
        <v>7-Dépenses</v>
      </c>
      <c r="H358" s="165"/>
    </row>
    <row r="359" spans="1:8" ht="15" customHeight="1">
      <c r="A359" s="167" t="s">
        <v>2680</v>
      </c>
      <c r="B359" s="166" t="s">
        <v>1333</v>
      </c>
      <c r="C359" s="956" t="s">
        <v>144</v>
      </c>
      <c r="D359" s="956" t="s">
        <v>260</v>
      </c>
      <c r="E359" s="1009" t="s">
        <v>1917</v>
      </c>
      <c r="F359" s="1009"/>
      <c r="G359" s="1009" t="str">
        <f>+VLOOKUP(Data_Validation!$A359,BV_Data_An_Cour!$L:$Q,6,0)</f>
        <v>7-Dépenses</v>
      </c>
      <c r="H359" s="165"/>
    </row>
    <row r="360" spans="1:8" ht="15" customHeight="1">
      <c r="A360" s="167" t="s">
        <v>2465</v>
      </c>
      <c r="B360" s="166" t="s">
        <v>936</v>
      </c>
      <c r="C360" s="956" t="s">
        <v>144</v>
      </c>
      <c r="D360" s="956" t="s">
        <v>250</v>
      </c>
      <c r="E360" s="1009" t="s">
        <v>1917</v>
      </c>
      <c r="F360" s="1009"/>
      <c r="G360" s="1009" t="e">
        <f>+VLOOKUP(Data_Validation!$A360,BV_Data_An_Cour!$L:$Q,6,0)</f>
        <v>#N/A</v>
      </c>
      <c r="H360" s="165"/>
    </row>
    <row r="361" spans="1:8" ht="15" customHeight="1">
      <c r="A361" s="168" t="s">
        <v>2633</v>
      </c>
      <c r="B361" s="169" t="s">
        <v>1380</v>
      </c>
      <c r="C361" s="956" t="s">
        <v>144</v>
      </c>
      <c r="D361" s="956" t="s">
        <v>244</v>
      </c>
      <c r="E361" s="1009" t="s">
        <v>1917</v>
      </c>
      <c r="F361" s="1009"/>
      <c r="G361" s="1009" t="str">
        <f>+VLOOKUP(Data_Validation!$A361,BV_Data_An_Cour!$L:$Q,6,0)</f>
        <v>7-Dépenses</v>
      </c>
      <c r="H361" s="165"/>
    </row>
    <row r="362" spans="1:8" ht="15" customHeight="1">
      <c r="A362" s="167" t="s">
        <v>2724</v>
      </c>
      <c r="B362" s="166" t="s">
        <v>1462</v>
      </c>
      <c r="C362" s="956" t="s">
        <v>144</v>
      </c>
      <c r="D362" s="956" t="s">
        <v>235</v>
      </c>
      <c r="E362" s="1009" t="s">
        <v>1917</v>
      </c>
      <c r="F362" s="1009"/>
      <c r="G362" s="1009" t="str">
        <f>+VLOOKUP(Data_Validation!$A362,BV_Data_An_Cour!$L:$Q,6,0)</f>
        <v>7-Dépenses</v>
      </c>
      <c r="H362" s="165"/>
    </row>
    <row r="363" spans="1:8" ht="15" customHeight="1">
      <c r="A363" s="167" t="s">
        <v>2615</v>
      </c>
      <c r="B363" s="166" t="s">
        <v>1290</v>
      </c>
      <c r="C363" s="956" t="s">
        <v>144</v>
      </c>
      <c r="D363" s="956" t="s">
        <v>242</v>
      </c>
      <c r="E363" s="1009" t="s">
        <v>1917</v>
      </c>
      <c r="F363" s="1009"/>
      <c r="G363" s="1009" t="str">
        <f>+VLOOKUP(Data_Validation!$A363,BV_Data_An_Cour!$L:$Q,6,0)</f>
        <v>7-Dépenses</v>
      </c>
      <c r="H363" s="165"/>
    </row>
    <row r="364" spans="1:8" ht="15" customHeight="1">
      <c r="A364" s="168" t="s">
        <v>2651</v>
      </c>
      <c r="B364" s="169" t="s">
        <v>1203</v>
      </c>
      <c r="C364" s="956" t="s">
        <v>144</v>
      </c>
      <c r="D364" s="956" t="s">
        <v>237</v>
      </c>
      <c r="E364" s="1009" t="s">
        <v>1917</v>
      </c>
      <c r="F364" s="1009"/>
      <c r="G364" s="1009" t="str">
        <f>+VLOOKUP(Data_Validation!$A364,BV_Data_An_Cour!$L:$Q,6,0)</f>
        <v>7-Dépenses</v>
      </c>
      <c r="H364" s="165"/>
    </row>
    <row r="365" spans="1:8" ht="15" customHeight="1">
      <c r="A365" s="167" t="s">
        <v>2620</v>
      </c>
      <c r="B365" s="166" t="s">
        <v>1393</v>
      </c>
      <c r="C365" s="956" t="s">
        <v>144</v>
      </c>
      <c r="D365" s="956" t="s">
        <v>239</v>
      </c>
      <c r="E365" s="1009" t="s">
        <v>1917</v>
      </c>
      <c r="F365" s="1009"/>
      <c r="G365" s="1009" t="str">
        <f>+VLOOKUP(Data_Validation!$A365,BV_Data_An_Cour!$L:$Q,6,0)</f>
        <v>7-Dépenses</v>
      </c>
      <c r="H365" s="165"/>
    </row>
    <row r="366" spans="1:8" ht="15" customHeight="1">
      <c r="A366" s="168" t="s">
        <v>2664</v>
      </c>
      <c r="B366" s="169" t="s">
        <v>1318</v>
      </c>
      <c r="C366" s="956" t="s">
        <v>144</v>
      </c>
      <c r="D366" s="956" t="s">
        <v>246</v>
      </c>
      <c r="E366" s="1009" t="s">
        <v>1917</v>
      </c>
      <c r="F366" s="1009"/>
      <c r="G366" s="1009" t="str">
        <f>+VLOOKUP(Data_Validation!$A366,BV_Data_An_Cour!$L:$Q,6,0)</f>
        <v>7-Dépenses</v>
      </c>
      <c r="H366" s="165"/>
    </row>
    <row r="367" spans="1:8" ht="15" customHeight="1">
      <c r="A367" s="167" t="s">
        <v>2743</v>
      </c>
      <c r="B367" s="166" t="s">
        <v>1403</v>
      </c>
      <c r="C367" s="956" t="s">
        <v>155</v>
      </c>
      <c r="D367" s="956" t="s">
        <v>122</v>
      </c>
      <c r="E367" s="1009" t="s">
        <v>1917</v>
      </c>
      <c r="F367" s="1009"/>
      <c r="G367" s="1009" t="str">
        <f>+VLOOKUP(Data_Validation!$A367,BV_Data_An_Cour!$L:$Q,6,0)</f>
        <v>7-Dépenses</v>
      </c>
      <c r="H367" s="165"/>
    </row>
    <row r="368" spans="1:8" ht="15" customHeight="1">
      <c r="A368" s="169" t="s">
        <v>2677</v>
      </c>
      <c r="B368" s="169" t="s">
        <v>1450</v>
      </c>
      <c r="C368" s="956" t="s">
        <v>155</v>
      </c>
      <c r="D368" s="956" t="s">
        <v>122</v>
      </c>
      <c r="E368" s="1009" t="s">
        <v>1917</v>
      </c>
      <c r="F368" s="1009"/>
      <c r="G368" s="1009" t="str">
        <f>+VLOOKUP(Data_Validation!$A368,BV_Data_An_Cour!$L:$Q,6,0)</f>
        <v>7-Dépenses</v>
      </c>
      <c r="H368" s="165"/>
    </row>
    <row r="369" spans="1:12" ht="15" customHeight="1">
      <c r="A369" s="167" t="s">
        <v>2714</v>
      </c>
      <c r="B369" s="166" t="s">
        <v>1374</v>
      </c>
      <c r="C369" s="956" t="s">
        <v>155</v>
      </c>
      <c r="D369" s="956" t="s">
        <v>121</v>
      </c>
      <c r="E369" s="1009" t="s">
        <v>1917</v>
      </c>
      <c r="F369" s="1009"/>
      <c r="G369" s="1009" t="str">
        <f>+VLOOKUP(Data_Validation!$A369,BV_Data_An_Cour!$L:$Q,6,0)</f>
        <v>7-Dépenses</v>
      </c>
      <c r="H369" s="165"/>
    </row>
    <row r="370" spans="1:12" ht="15" customHeight="1">
      <c r="A370" s="169" t="s">
        <v>2711</v>
      </c>
      <c r="B370" s="169" t="s">
        <v>1259</v>
      </c>
      <c r="C370" s="956" t="s">
        <v>155</v>
      </c>
      <c r="D370" s="956" t="s">
        <v>213</v>
      </c>
      <c r="E370" s="1009" t="s">
        <v>1917</v>
      </c>
      <c r="F370" s="1009"/>
      <c r="G370" s="1009" t="str">
        <f>+VLOOKUP(Data_Validation!$A370,BV_Data_An_Cour!$L:$Q,6,0)</f>
        <v>7-Dépenses</v>
      </c>
      <c r="H370" s="165"/>
      <c r="L370" s="2"/>
    </row>
    <row r="371" spans="1:12" ht="15" customHeight="1">
      <c r="A371" s="167" t="s">
        <v>2771</v>
      </c>
      <c r="B371" s="166" t="s">
        <v>2624</v>
      </c>
      <c r="C371" s="956" t="s">
        <v>155</v>
      </c>
      <c r="D371" s="956" t="s">
        <v>112</v>
      </c>
      <c r="E371" s="1009" t="s">
        <v>1917</v>
      </c>
      <c r="F371" s="1009"/>
      <c r="G371" s="1009" t="str">
        <f>+VLOOKUP(Data_Validation!$A371,BV_Data_An_Cour!$L:$Q,6,0)</f>
        <v>7-Dépenses</v>
      </c>
      <c r="H371" s="165"/>
    </row>
    <row r="372" spans="1:12" ht="15" customHeight="1">
      <c r="A372" s="169" t="s">
        <v>2766</v>
      </c>
      <c r="B372" s="169" t="s">
        <v>1266</v>
      </c>
      <c r="C372" s="956" t="s">
        <v>155</v>
      </c>
      <c r="D372" s="956" t="s">
        <v>113</v>
      </c>
      <c r="E372" s="1009" t="s">
        <v>1917</v>
      </c>
      <c r="F372" s="1009"/>
      <c r="G372" s="1009" t="str">
        <f>+VLOOKUP(Data_Validation!$A372,BV_Data_An_Cour!$L:$Q,6,0)</f>
        <v>7-Dépenses</v>
      </c>
      <c r="H372" s="165"/>
    </row>
    <row r="373" spans="1:12" ht="15" customHeight="1">
      <c r="A373" s="167" t="s">
        <v>2805</v>
      </c>
      <c r="B373" s="166" t="s">
        <v>1249</v>
      </c>
      <c r="C373" s="956" t="s">
        <v>155</v>
      </c>
      <c r="D373" s="956" t="s">
        <v>114</v>
      </c>
      <c r="E373" s="1009" t="s">
        <v>1917</v>
      </c>
      <c r="F373" s="1009"/>
      <c r="G373" s="1009" t="str">
        <f>+VLOOKUP(Data_Validation!$A373,BV_Data_An_Cour!$L:$Q,6,0)</f>
        <v>7-Dépenses</v>
      </c>
      <c r="H373" s="165"/>
    </row>
    <row r="374" spans="1:12" ht="15" customHeight="1">
      <c r="A374" s="169" t="s">
        <v>2810</v>
      </c>
      <c r="B374" s="169" t="s">
        <v>1330</v>
      </c>
      <c r="C374" s="956" t="s">
        <v>155</v>
      </c>
      <c r="D374" s="956" t="s">
        <v>115</v>
      </c>
      <c r="E374" s="1009" t="s">
        <v>1917</v>
      </c>
      <c r="F374" s="1009"/>
      <c r="G374" s="1009" t="str">
        <f>+VLOOKUP(Data_Validation!$A374,BV_Data_An_Cour!$L:$Q,6,0)</f>
        <v>7-Dépenses</v>
      </c>
      <c r="H374" s="165"/>
    </row>
    <row r="375" spans="1:12" ht="15" customHeight="1">
      <c r="A375" s="167" t="s">
        <v>2793</v>
      </c>
      <c r="B375" s="166" t="s">
        <v>1448</v>
      </c>
      <c r="C375" s="956" t="s">
        <v>155</v>
      </c>
      <c r="D375" s="956" t="s">
        <v>116</v>
      </c>
      <c r="E375" s="1009" t="s">
        <v>1917</v>
      </c>
      <c r="F375" s="1009"/>
      <c r="G375" s="1009" t="str">
        <f>+VLOOKUP(Data_Validation!$A375,BV_Data_An_Cour!$L:$Q,6,0)</f>
        <v>7-Dépenses</v>
      </c>
      <c r="H375" s="165"/>
    </row>
    <row r="376" spans="1:12" ht="15" customHeight="1">
      <c r="A376" s="169" t="s">
        <v>2732</v>
      </c>
      <c r="B376" s="169" t="s">
        <v>1252</v>
      </c>
      <c r="C376" s="956" t="s">
        <v>155</v>
      </c>
      <c r="D376" s="956" t="s">
        <v>119</v>
      </c>
      <c r="E376" s="1009" t="s">
        <v>1917</v>
      </c>
      <c r="F376" s="1009"/>
      <c r="G376" s="1009" t="str">
        <f>+VLOOKUP(Data_Validation!$A376,BV_Data_An_Cour!$L:$Q,6,0)</f>
        <v>7-Dépenses</v>
      </c>
      <c r="H376" s="165"/>
    </row>
    <row r="377" spans="1:12" ht="15" customHeight="1">
      <c r="A377" s="167" t="s">
        <v>2779</v>
      </c>
      <c r="B377" s="166" t="s">
        <v>1283</v>
      </c>
      <c r="C377" s="956" t="s">
        <v>155</v>
      </c>
      <c r="D377" s="956" t="s">
        <v>117</v>
      </c>
      <c r="E377" s="1009" t="s">
        <v>1917</v>
      </c>
      <c r="F377" s="1009"/>
      <c r="G377" s="1009" t="str">
        <f>+VLOOKUP(Data_Validation!$A377,BV_Data_An_Cour!$L:$Q,6,0)</f>
        <v>7-Dépenses</v>
      </c>
      <c r="H377" s="165"/>
    </row>
    <row r="378" spans="1:12" ht="15" customHeight="1">
      <c r="A378" s="169" t="s">
        <v>2608</v>
      </c>
      <c r="B378" s="169" t="s">
        <v>1220</v>
      </c>
      <c r="C378" s="956" t="s">
        <v>155</v>
      </c>
      <c r="D378" s="956" t="s">
        <v>118</v>
      </c>
      <c r="E378" s="1009" t="s">
        <v>1917</v>
      </c>
      <c r="F378" s="1009"/>
      <c r="G378" s="1009" t="str">
        <f>+VLOOKUP(Data_Validation!$A378,BV_Data_An_Cour!$L:$Q,6,0)</f>
        <v>7-Dépenses</v>
      </c>
      <c r="H378" s="165"/>
    </row>
    <row r="379" spans="1:12" ht="15" customHeight="1">
      <c r="A379" s="167" t="s">
        <v>2742</v>
      </c>
      <c r="B379" s="166" t="s">
        <v>1305</v>
      </c>
      <c r="C379" s="956" t="s">
        <v>155</v>
      </c>
      <c r="D379" s="956" t="s">
        <v>118</v>
      </c>
      <c r="E379" s="1009" t="s">
        <v>1917</v>
      </c>
      <c r="F379" s="1009"/>
      <c r="G379" s="1009" t="str">
        <f>+VLOOKUP(Data_Validation!$A379,BV_Data_An_Cour!$L:$Q,6,0)</f>
        <v>7-Dépenses</v>
      </c>
      <c r="H379" s="165"/>
    </row>
    <row r="380" spans="1:12" ht="15" customHeight="1">
      <c r="A380" s="167" t="s">
        <v>2466</v>
      </c>
      <c r="B380" s="166" t="s">
        <v>1178</v>
      </c>
      <c r="C380" s="956" t="s">
        <v>155</v>
      </c>
      <c r="D380" s="956" t="s">
        <v>122</v>
      </c>
      <c r="E380" s="1009" t="s">
        <v>1917</v>
      </c>
      <c r="F380" s="1009"/>
      <c r="G380" s="1009" t="e">
        <f>+VLOOKUP(Data_Validation!$A380,BV_Data_An_Cour!$L:$Q,6,0)</f>
        <v>#N/A</v>
      </c>
      <c r="H380" s="165"/>
    </row>
    <row r="381" spans="1:12" ht="15" customHeight="1">
      <c r="A381" s="167" t="s">
        <v>2655</v>
      </c>
      <c r="B381" s="166" t="s">
        <v>1157</v>
      </c>
      <c r="C381" s="956" t="s">
        <v>155</v>
      </c>
      <c r="D381" s="956" t="s">
        <v>127</v>
      </c>
      <c r="E381" s="1009" t="s">
        <v>1917</v>
      </c>
      <c r="F381" s="1009"/>
      <c r="G381" s="1009" t="str">
        <f>+VLOOKUP(Data_Validation!$A381,BV_Data_An_Cour!$L:$Q,6,0)</f>
        <v>7-Dépenses</v>
      </c>
      <c r="H381" s="165"/>
    </row>
    <row r="382" spans="1:12" ht="15" customHeight="1">
      <c r="A382" s="169" t="s">
        <v>2158</v>
      </c>
      <c r="B382" s="169" t="s">
        <v>932</v>
      </c>
      <c r="C382" s="956" t="s">
        <v>155</v>
      </c>
      <c r="D382" s="956" t="s">
        <v>128</v>
      </c>
      <c r="E382" s="1009" t="s">
        <v>1917</v>
      </c>
      <c r="F382" s="1009"/>
      <c r="G382" s="1009" t="str">
        <f>+VLOOKUP(Data_Validation!$A382,BV_Data_An_Cour!$L:$Q,6,0)</f>
        <v>7-Dépenses</v>
      </c>
      <c r="H382" s="165"/>
    </row>
    <row r="383" spans="1:12" ht="15" customHeight="1">
      <c r="A383" s="167" t="s">
        <v>2572</v>
      </c>
      <c r="B383" s="166" t="s">
        <v>934</v>
      </c>
      <c r="C383" s="956" t="s">
        <v>155</v>
      </c>
      <c r="D383" s="956" t="s">
        <v>133</v>
      </c>
      <c r="E383" s="1009" t="s">
        <v>1917</v>
      </c>
      <c r="F383" s="1009"/>
      <c r="G383" s="1009" t="str">
        <f>+VLOOKUP(Data_Validation!$A383,BV_Data_An_Cour!$L:$Q,6,0)</f>
        <v>7-Dépenses</v>
      </c>
      <c r="H383" s="165"/>
    </row>
    <row r="384" spans="1:12" ht="15" customHeight="1">
      <c r="A384" s="169" t="s">
        <v>2801</v>
      </c>
      <c r="B384" s="169" t="s">
        <v>1527</v>
      </c>
      <c r="C384" s="956" t="s">
        <v>155</v>
      </c>
      <c r="D384" s="956" t="s">
        <v>123</v>
      </c>
      <c r="E384" s="1009" t="s">
        <v>1917</v>
      </c>
      <c r="F384" s="1009"/>
      <c r="G384" s="1009" t="str">
        <f>+VLOOKUP(Data_Validation!$A384,BV_Data_An_Cour!$L:$Q,6,0)</f>
        <v>7-Dépenses</v>
      </c>
      <c r="H384" s="165"/>
    </row>
    <row r="385" spans="1:8" ht="15" customHeight="1">
      <c r="A385" s="167" t="s">
        <v>2609</v>
      </c>
      <c r="B385" s="166" t="s">
        <v>1180</v>
      </c>
      <c r="C385" s="956" t="s">
        <v>155</v>
      </c>
      <c r="D385" s="956" t="s">
        <v>131</v>
      </c>
      <c r="E385" s="1009" t="s">
        <v>1917</v>
      </c>
      <c r="F385" s="1009"/>
      <c r="G385" s="1009" t="str">
        <f>+VLOOKUP(Data_Validation!$A385,BV_Data_An_Cour!$L:$Q,6,0)</f>
        <v>7-Dépenses</v>
      </c>
      <c r="H385" s="165"/>
    </row>
    <row r="386" spans="1:8" ht="15" customHeight="1">
      <c r="A386" s="169" t="s">
        <v>2745</v>
      </c>
      <c r="B386" s="169" t="s">
        <v>1286</v>
      </c>
      <c r="C386" s="956" t="s">
        <v>155</v>
      </c>
      <c r="D386" s="956" t="s">
        <v>124</v>
      </c>
      <c r="E386" s="1009" t="s">
        <v>1917</v>
      </c>
      <c r="F386" s="1009"/>
      <c r="G386" s="1009" t="str">
        <f>+VLOOKUP(Data_Validation!$A386,BV_Data_An_Cour!$L:$Q,6,0)</f>
        <v>7-Dépenses</v>
      </c>
      <c r="H386" s="165"/>
    </row>
    <row r="387" spans="1:8" ht="15" customHeight="1">
      <c r="A387" s="167" t="s">
        <v>2644</v>
      </c>
      <c r="B387" s="166" t="s">
        <v>1206</v>
      </c>
      <c r="C387" s="956" t="s">
        <v>155</v>
      </c>
      <c r="D387" s="956" t="s">
        <v>129</v>
      </c>
      <c r="E387" s="1009" t="s">
        <v>1917</v>
      </c>
      <c r="F387" s="1009"/>
      <c r="G387" s="1009" t="str">
        <f>+VLOOKUP(Data_Validation!$A387,BV_Data_An_Cour!$L:$Q,6,0)</f>
        <v>7-Dépenses</v>
      </c>
      <c r="H387" s="165"/>
    </row>
    <row r="388" spans="1:8" ht="15" customHeight="1">
      <c r="A388" s="169" t="s">
        <v>2645</v>
      </c>
      <c r="B388" s="169" t="s">
        <v>1154</v>
      </c>
      <c r="C388" s="956" t="s">
        <v>155</v>
      </c>
      <c r="D388" s="956" t="s">
        <v>130</v>
      </c>
      <c r="E388" s="1009" t="s">
        <v>1917</v>
      </c>
      <c r="F388" s="1009"/>
      <c r="G388" s="1009" t="str">
        <f>+VLOOKUP(Data_Validation!$A388,BV_Data_An_Cour!$L:$Q,6,0)</f>
        <v>7-Dépenses</v>
      </c>
      <c r="H388" s="165"/>
    </row>
    <row r="389" spans="1:8" ht="15" customHeight="1">
      <c r="A389" s="167" t="s">
        <v>2700</v>
      </c>
      <c r="B389" s="166" t="s">
        <v>1237</v>
      </c>
      <c r="C389" s="956" t="s">
        <v>155</v>
      </c>
      <c r="D389" s="956" t="s">
        <v>132</v>
      </c>
      <c r="E389" s="1009" t="s">
        <v>1917</v>
      </c>
      <c r="F389" s="1009"/>
      <c r="G389" s="1009" t="str">
        <f>+VLOOKUP(Data_Validation!$A389,BV_Data_An_Cour!$L:$Q,6,0)</f>
        <v>7-Dépenses</v>
      </c>
      <c r="H389" s="165"/>
    </row>
    <row r="390" spans="1:8" ht="15" customHeight="1">
      <c r="A390" s="167" t="s">
        <v>2656</v>
      </c>
      <c r="B390" s="166" t="s">
        <v>1292</v>
      </c>
      <c r="C390" s="956" t="s">
        <v>155</v>
      </c>
      <c r="D390" s="956" t="s">
        <v>125</v>
      </c>
      <c r="E390" s="1009" t="s">
        <v>1917</v>
      </c>
      <c r="F390" s="1009"/>
      <c r="G390" s="1009" t="str">
        <f>+VLOOKUP(Data_Validation!$A390,BV_Data_An_Cour!$L:$Q,6,0)</f>
        <v>7-Dépenses</v>
      </c>
      <c r="H390" s="165"/>
    </row>
    <row r="391" spans="1:8" ht="15" customHeight="1">
      <c r="A391" s="169" t="s">
        <v>2736</v>
      </c>
      <c r="B391" s="169" t="s">
        <v>1308</v>
      </c>
      <c r="C391" s="956" t="s">
        <v>155</v>
      </c>
      <c r="D391" s="956" t="s">
        <v>126</v>
      </c>
      <c r="E391" s="1009" t="s">
        <v>1917</v>
      </c>
      <c r="F391" s="1009"/>
      <c r="G391" s="1009" t="str">
        <f>+VLOOKUP(Data_Validation!$A391,BV_Data_An_Cour!$L:$Q,6,0)</f>
        <v>7-Dépenses</v>
      </c>
      <c r="H391" s="165"/>
    </row>
    <row r="392" spans="1:8" ht="15" customHeight="1">
      <c r="A392" s="167" t="s">
        <v>2716</v>
      </c>
      <c r="B392" s="166" t="s">
        <v>1333</v>
      </c>
      <c r="C392" s="956" t="s">
        <v>155</v>
      </c>
      <c r="D392" s="956" t="s">
        <v>260</v>
      </c>
      <c r="E392" s="1009" t="s">
        <v>1917</v>
      </c>
      <c r="F392" s="1009"/>
      <c r="G392" s="1009" t="str">
        <f>+VLOOKUP(Data_Validation!$A392,BV_Data_An_Cour!$L:$Q,6,0)</f>
        <v>7-Dépenses</v>
      </c>
      <c r="H392" s="165"/>
    </row>
    <row r="393" spans="1:8" ht="15" customHeight="1">
      <c r="A393" s="169" t="s">
        <v>2607</v>
      </c>
      <c r="B393" s="169" t="s">
        <v>936</v>
      </c>
      <c r="C393" s="956" t="s">
        <v>155</v>
      </c>
      <c r="D393" s="956" t="s">
        <v>250</v>
      </c>
      <c r="E393" s="1009" t="s">
        <v>1917</v>
      </c>
      <c r="F393" s="1009"/>
      <c r="G393" s="1009" t="e">
        <f>+VLOOKUP(Data_Validation!$A393,BV_Data_An_Cour!$L:$Q,6,0)</f>
        <v>#N/A</v>
      </c>
      <c r="H393" s="165"/>
    </row>
    <row r="394" spans="1:8" ht="15" customHeight="1">
      <c r="A394" s="167" t="s">
        <v>2638</v>
      </c>
      <c r="B394" s="166" t="s">
        <v>1168</v>
      </c>
      <c r="C394" s="956" t="s">
        <v>155</v>
      </c>
      <c r="D394" s="956" t="s">
        <v>248</v>
      </c>
      <c r="E394" s="1009" t="s">
        <v>1917</v>
      </c>
      <c r="F394" s="1009"/>
      <c r="G394" s="1009" t="str">
        <f>+VLOOKUP(Data_Validation!$A394,BV_Data_An_Cour!$L:$Q,6,0)</f>
        <v>7-Dépenses</v>
      </c>
      <c r="H394" s="165"/>
    </row>
    <row r="395" spans="1:8" ht="15" customHeight="1">
      <c r="A395" s="167" t="s">
        <v>2670</v>
      </c>
      <c r="B395" s="166" t="s">
        <v>1311</v>
      </c>
      <c r="C395" s="956" t="s">
        <v>155</v>
      </c>
      <c r="D395" s="956" t="s">
        <v>244</v>
      </c>
      <c r="E395" s="1009" t="s">
        <v>1917</v>
      </c>
      <c r="F395" s="1009"/>
      <c r="G395" s="1009" t="str">
        <f>+VLOOKUP(Data_Validation!$A395,BV_Data_An_Cour!$L:$Q,6,0)</f>
        <v>7-Dépenses</v>
      </c>
      <c r="H395" s="165"/>
    </row>
    <row r="396" spans="1:8" ht="15" customHeight="1">
      <c r="A396" s="167" t="s">
        <v>2756</v>
      </c>
      <c r="B396" s="166" t="s">
        <v>1452</v>
      </c>
      <c r="C396" s="956" t="s">
        <v>155</v>
      </c>
      <c r="D396" s="956" t="s">
        <v>235</v>
      </c>
      <c r="E396" s="1009" t="s">
        <v>1917</v>
      </c>
      <c r="F396" s="1009"/>
      <c r="G396" s="1009" t="str">
        <f>+VLOOKUP(Data_Validation!$A396,BV_Data_An_Cour!$L:$Q,6,0)</f>
        <v>7-Dépenses</v>
      </c>
      <c r="H396" s="165"/>
    </row>
    <row r="397" spans="1:8" ht="15" customHeight="1">
      <c r="A397" s="169" t="s">
        <v>2657</v>
      </c>
      <c r="B397" s="169" t="s">
        <v>1347</v>
      </c>
      <c r="C397" s="956" t="s">
        <v>155</v>
      </c>
      <c r="D397" s="956" t="s">
        <v>242</v>
      </c>
      <c r="E397" s="1009" t="s">
        <v>1917</v>
      </c>
      <c r="F397" s="1009"/>
      <c r="G397" s="1009" t="str">
        <f>+VLOOKUP(Data_Validation!$A397,BV_Data_An_Cour!$L:$Q,6,0)</f>
        <v>7-Dépenses</v>
      </c>
      <c r="H397" s="165"/>
    </row>
    <row r="398" spans="1:8" ht="15" customHeight="1">
      <c r="A398" s="167" t="s">
        <v>2681</v>
      </c>
      <c r="B398" s="166" t="s">
        <v>1340</v>
      </c>
      <c r="C398" s="956" t="s">
        <v>155</v>
      </c>
      <c r="D398" s="956" t="s">
        <v>237</v>
      </c>
      <c r="E398" s="1009" t="s">
        <v>1917</v>
      </c>
      <c r="F398" s="1009"/>
      <c r="G398" s="1009" t="str">
        <f>+VLOOKUP(Data_Validation!$A398,BV_Data_An_Cour!$L:$Q,6,0)</f>
        <v>7-Dépenses</v>
      </c>
      <c r="H398" s="165"/>
    </row>
    <row r="399" spans="1:8" ht="15" customHeight="1">
      <c r="A399" s="167" t="s">
        <v>2663</v>
      </c>
      <c r="B399" s="166" t="s">
        <v>1274</v>
      </c>
      <c r="C399" s="956" t="s">
        <v>155</v>
      </c>
      <c r="D399" s="956" t="s">
        <v>239</v>
      </c>
      <c r="E399" s="1009" t="s">
        <v>1917</v>
      </c>
      <c r="F399" s="1009"/>
      <c r="G399" s="1009" t="str">
        <f>+VLOOKUP(Data_Validation!$A399,BV_Data_An_Cour!$L:$Q,6,0)</f>
        <v>7-Dépenses</v>
      </c>
      <c r="H399" s="165"/>
    </row>
    <row r="400" spans="1:8" ht="15" customHeight="1">
      <c r="A400" s="167" t="s">
        <v>2699</v>
      </c>
      <c r="B400" s="166" t="s">
        <v>1367</v>
      </c>
      <c r="C400" s="956" t="s">
        <v>155</v>
      </c>
      <c r="D400" s="956" t="s">
        <v>246</v>
      </c>
      <c r="E400" s="1009" t="s">
        <v>1917</v>
      </c>
      <c r="F400" s="1009"/>
      <c r="G400" s="1009" t="str">
        <f>+VLOOKUP(Data_Validation!$A400,BV_Data_An_Cour!$L:$Q,6,0)</f>
        <v>7-Dépenses</v>
      </c>
      <c r="H400" s="165"/>
    </row>
    <row r="401" spans="1:8" ht="15" customHeight="1">
      <c r="A401" s="169" t="s">
        <v>2627</v>
      </c>
      <c r="B401" s="169" t="s">
        <v>399</v>
      </c>
      <c r="C401" s="956" t="s">
        <v>171</v>
      </c>
      <c r="D401" s="956" t="s">
        <v>122</v>
      </c>
      <c r="E401" s="1009" t="s">
        <v>1917</v>
      </c>
      <c r="F401" s="1009"/>
      <c r="G401" s="1009" t="str">
        <f>+VLOOKUP(Data_Validation!$A401,BV_Data_An_Cour!$L:$Q,6,0)</f>
        <v>7-Dépenses</v>
      </c>
      <c r="H401" s="165"/>
    </row>
    <row r="402" spans="1:8" ht="15" customHeight="1">
      <c r="A402" s="167" t="s">
        <v>2559</v>
      </c>
      <c r="B402" s="166" t="s">
        <v>1374</v>
      </c>
      <c r="C402" s="956" t="s">
        <v>171</v>
      </c>
      <c r="D402" s="956" t="s">
        <v>121</v>
      </c>
      <c r="E402" s="1009" t="s">
        <v>1917</v>
      </c>
      <c r="F402" s="1009"/>
      <c r="G402" s="1009" t="str">
        <f>+VLOOKUP(Data_Validation!$A402,BV_Data_An_Cour!$L:$Q,6,0)</f>
        <v>7-Dépenses</v>
      </c>
      <c r="H402" s="165"/>
    </row>
    <row r="403" spans="1:8" ht="15" customHeight="1">
      <c r="A403" s="167" t="s">
        <v>2647</v>
      </c>
      <c r="B403" s="166" t="s">
        <v>1259</v>
      </c>
      <c r="C403" s="956" t="s">
        <v>171</v>
      </c>
      <c r="D403" s="956" t="s">
        <v>213</v>
      </c>
      <c r="E403" s="1009" t="s">
        <v>1917</v>
      </c>
      <c r="F403" s="1009"/>
      <c r="G403" s="1009" t="str">
        <f>+VLOOKUP(Data_Validation!$A403,BV_Data_An_Cour!$L:$Q,6,0)</f>
        <v>7-Dépenses</v>
      </c>
      <c r="H403" s="165"/>
    </row>
    <row r="404" spans="1:8" ht="15" customHeight="1">
      <c r="A404" s="167" t="s">
        <v>2625</v>
      </c>
      <c r="B404" s="166" t="s">
        <v>2624</v>
      </c>
      <c r="C404" s="956" t="s">
        <v>171</v>
      </c>
      <c r="D404" s="956" t="s">
        <v>112</v>
      </c>
      <c r="E404" s="1009" t="s">
        <v>1917</v>
      </c>
      <c r="F404" s="1009"/>
      <c r="G404" s="1009" t="str">
        <f>+VLOOKUP(Data_Validation!$A404,BV_Data_An_Cour!$L:$Q,6,0)</f>
        <v>7-Dépenses</v>
      </c>
      <c r="H404" s="165"/>
    </row>
    <row r="405" spans="1:8" ht="15" customHeight="1">
      <c r="A405" s="167" t="s">
        <v>2678</v>
      </c>
      <c r="B405" s="166" t="s">
        <v>1266</v>
      </c>
      <c r="C405" s="956" t="s">
        <v>171</v>
      </c>
      <c r="D405" s="956" t="s">
        <v>113</v>
      </c>
      <c r="E405" s="1009" t="s">
        <v>1917</v>
      </c>
      <c r="F405" s="1009"/>
      <c r="G405" s="1009" t="str">
        <f>+VLOOKUP(Data_Validation!$A405,BV_Data_An_Cour!$L:$Q,6,0)</f>
        <v>7-Dépenses</v>
      </c>
      <c r="H405" s="165"/>
    </row>
    <row r="406" spans="1:8" ht="15" customHeight="1">
      <c r="A406" s="167" t="s">
        <v>2734</v>
      </c>
      <c r="B406" s="166" t="s">
        <v>1249</v>
      </c>
      <c r="C406" s="956" t="s">
        <v>171</v>
      </c>
      <c r="D406" s="956" t="s">
        <v>114</v>
      </c>
      <c r="E406" s="1009" t="s">
        <v>1917</v>
      </c>
      <c r="F406" s="1009"/>
      <c r="G406" s="1009" t="str">
        <f>+VLOOKUP(Data_Validation!$A406,BV_Data_An_Cour!$L:$Q,6,0)</f>
        <v>7-Dépenses</v>
      </c>
      <c r="H406" s="165"/>
    </row>
    <row r="407" spans="1:8" ht="15" customHeight="1">
      <c r="A407" s="167" t="s">
        <v>2720</v>
      </c>
      <c r="B407" s="166" t="s">
        <v>1330</v>
      </c>
      <c r="C407" s="956" t="s">
        <v>171</v>
      </c>
      <c r="D407" s="956" t="s">
        <v>115</v>
      </c>
      <c r="E407" s="1009" t="s">
        <v>1917</v>
      </c>
      <c r="F407" s="1009"/>
      <c r="G407" s="1009" t="str">
        <f>+VLOOKUP(Data_Validation!$A407,BV_Data_An_Cour!$L:$Q,6,0)</f>
        <v>7-Dépenses</v>
      </c>
      <c r="H407" s="165"/>
    </row>
    <row r="408" spans="1:8" ht="15" customHeight="1">
      <c r="A408" s="168" t="s">
        <v>2640</v>
      </c>
      <c r="B408" s="169" t="s">
        <v>1211</v>
      </c>
      <c r="C408" s="956" t="s">
        <v>171</v>
      </c>
      <c r="D408" s="956" t="s">
        <v>116</v>
      </c>
      <c r="E408" s="1009" t="s">
        <v>1917</v>
      </c>
      <c r="F408" s="1009"/>
      <c r="G408" s="1009" t="str">
        <f>+VLOOKUP(Data_Validation!$A408,BV_Data_An_Cour!$L:$Q,6,0)</f>
        <v>7-Dépenses</v>
      </c>
      <c r="H408" s="165"/>
    </row>
    <row r="409" spans="1:8" ht="15" customHeight="1">
      <c r="A409" s="167" t="s">
        <v>2585</v>
      </c>
      <c r="B409" s="166" t="s">
        <v>1252</v>
      </c>
      <c r="C409" s="956" t="s">
        <v>171</v>
      </c>
      <c r="D409" s="956" t="s">
        <v>119</v>
      </c>
      <c r="E409" s="1009" t="s">
        <v>1917</v>
      </c>
      <c r="F409" s="1009"/>
      <c r="G409" s="1009" t="str">
        <f>+VLOOKUP(Data_Validation!$A409,BV_Data_An_Cour!$L:$Q,6,0)</f>
        <v>7-Dépenses</v>
      </c>
      <c r="H409" s="165"/>
    </row>
    <row r="410" spans="1:8" ht="15" customHeight="1">
      <c r="A410" s="167" t="s">
        <v>2684</v>
      </c>
      <c r="B410" s="166" t="s">
        <v>1283</v>
      </c>
      <c r="C410" s="956" t="s">
        <v>171</v>
      </c>
      <c r="D410" s="956" t="s">
        <v>117</v>
      </c>
      <c r="E410" s="1009" t="s">
        <v>1917</v>
      </c>
      <c r="F410" s="1009"/>
      <c r="G410" s="1009" t="str">
        <f>+VLOOKUP(Data_Validation!$A410,BV_Data_An_Cour!$L:$Q,6,0)</f>
        <v>7-Dépenses</v>
      </c>
      <c r="H410" s="165"/>
    </row>
    <row r="411" spans="1:8" ht="15" customHeight="1">
      <c r="A411" s="167" t="s">
        <v>2693</v>
      </c>
      <c r="B411" s="166" t="s">
        <v>1305</v>
      </c>
      <c r="C411" s="956" t="s">
        <v>171</v>
      </c>
      <c r="D411" s="956" t="s">
        <v>118</v>
      </c>
      <c r="E411" s="1009" t="s">
        <v>1917</v>
      </c>
      <c r="F411" s="1009"/>
      <c r="G411" s="1009" t="str">
        <f>+VLOOKUP(Data_Validation!$A411,BV_Data_An_Cour!$L:$Q,6,0)</f>
        <v>7-Dépenses</v>
      </c>
      <c r="H411" s="165"/>
    </row>
    <row r="412" spans="1:8" ht="15" customHeight="1">
      <c r="A412" s="167" t="s">
        <v>2562</v>
      </c>
      <c r="B412" s="166" t="s">
        <v>1157</v>
      </c>
      <c r="C412" s="956" t="s">
        <v>171</v>
      </c>
      <c r="D412" s="956" t="s">
        <v>127</v>
      </c>
      <c r="E412" s="1009" t="s">
        <v>1917</v>
      </c>
      <c r="F412" s="1009"/>
      <c r="G412" s="1009" t="e">
        <f>+VLOOKUP(Data_Validation!$A412,BV_Data_An_Cour!$L:$Q,6,0)</f>
        <v>#N/A</v>
      </c>
      <c r="H412" s="165"/>
    </row>
    <row r="413" spans="1:8" ht="15" customHeight="1">
      <c r="A413" s="168" t="s">
        <v>2468</v>
      </c>
      <c r="B413" s="169" t="s">
        <v>1196</v>
      </c>
      <c r="C413" s="956" t="s">
        <v>171</v>
      </c>
      <c r="D413" s="956" t="s">
        <v>128</v>
      </c>
      <c r="E413" s="1009" t="s">
        <v>1917</v>
      </c>
      <c r="F413" s="1009"/>
      <c r="G413" s="1009" t="e">
        <f>+VLOOKUP(Data_Validation!$A413,BV_Data_An_Cour!$L:$Q,6,0)</f>
        <v>#N/A</v>
      </c>
      <c r="H413" s="165"/>
    </row>
    <row r="414" spans="1:8" ht="15" customHeight="1">
      <c r="A414" s="167" t="s">
        <v>2560</v>
      </c>
      <c r="B414" s="166" t="s">
        <v>934</v>
      </c>
      <c r="C414" s="956" t="s">
        <v>171</v>
      </c>
      <c r="D414" s="956" t="s">
        <v>133</v>
      </c>
      <c r="E414" s="1009" t="s">
        <v>1917</v>
      </c>
      <c r="F414" s="1009"/>
      <c r="G414" s="1009" t="str">
        <f>+VLOOKUP(Data_Validation!$A414,BV_Data_An_Cour!$L:$Q,6,0)</f>
        <v>7-Dépenses</v>
      </c>
      <c r="H414" s="165"/>
    </row>
    <row r="415" spans="1:8" ht="15" customHeight="1">
      <c r="A415" s="167" t="s">
        <v>2654</v>
      </c>
      <c r="B415" s="166" t="s">
        <v>1186</v>
      </c>
      <c r="C415" s="956" t="s">
        <v>171</v>
      </c>
      <c r="D415" s="956" t="s">
        <v>123</v>
      </c>
      <c r="E415" s="1009" t="s">
        <v>1917</v>
      </c>
      <c r="F415" s="1009"/>
      <c r="G415" s="1009" t="str">
        <f>+VLOOKUP(Data_Validation!$A415,BV_Data_An_Cour!$L:$Q,6,0)</f>
        <v>7-Dépenses</v>
      </c>
      <c r="H415" s="165"/>
    </row>
    <row r="416" spans="1:8" ht="15" customHeight="1">
      <c r="A416" s="168" t="s">
        <v>2580</v>
      </c>
      <c r="B416" s="169" t="s">
        <v>1180</v>
      </c>
      <c r="C416" s="956" t="s">
        <v>171</v>
      </c>
      <c r="D416" s="956" t="s">
        <v>131</v>
      </c>
      <c r="E416" s="1009" t="s">
        <v>1917</v>
      </c>
      <c r="F416" s="1009"/>
      <c r="G416" s="1009" t="str">
        <f>+VLOOKUP(Data_Validation!$A416,BV_Data_An_Cour!$L:$Q,6,0)</f>
        <v>7-Dépenses</v>
      </c>
      <c r="H416" s="165"/>
    </row>
    <row r="417" spans="1:8" ht="15" customHeight="1">
      <c r="A417" s="167" t="s">
        <v>2701</v>
      </c>
      <c r="B417" s="166" t="s">
        <v>1286</v>
      </c>
      <c r="C417" s="956" t="s">
        <v>171</v>
      </c>
      <c r="D417" s="956" t="s">
        <v>124</v>
      </c>
      <c r="E417" s="1009" t="s">
        <v>1917</v>
      </c>
      <c r="F417" s="1009"/>
      <c r="G417" s="1009" t="str">
        <f>+VLOOKUP(Data_Validation!$A417,BV_Data_An_Cour!$L:$Q,6,0)</f>
        <v>7-Dépenses</v>
      </c>
      <c r="H417" s="165"/>
    </row>
    <row r="418" spans="1:8" ht="15" customHeight="1">
      <c r="A418" s="168" t="s">
        <v>2587</v>
      </c>
      <c r="B418" s="169" t="s">
        <v>1206</v>
      </c>
      <c r="C418" s="956" t="s">
        <v>171</v>
      </c>
      <c r="D418" s="956" t="s">
        <v>129</v>
      </c>
      <c r="E418" s="1009" t="s">
        <v>1917</v>
      </c>
      <c r="F418" s="1012"/>
      <c r="G418" s="1012" t="str">
        <f>+VLOOKUP(Data_Validation!$A418,BV_Data_An_Cour!$L:$Q,6,0)</f>
        <v>7-Dépenses</v>
      </c>
      <c r="H418" s="165"/>
    </row>
    <row r="419" spans="1:8" ht="15" customHeight="1">
      <c r="A419" s="167" t="s">
        <v>2591</v>
      </c>
      <c r="B419" s="166" t="s">
        <v>1154</v>
      </c>
      <c r="C419" s="956" t="s">
        <v>171</v>
      </c>
      <c r="D419" s="956" t="s">
        <v>130</v>
      </c>
      <c r="E419" s="1009" t="s">
        <v>1917</v>
      </c>
      <c r="F419" s="1009"/>
      <c r="G419" s="1009" t="str">
        <f>+VLOOKUP(Data_Validation!$A419,BV_Data_An_Cour!$L:$Q,6,0)</f>
        <v>7-Dépenses</v>
      </c>
      <c r="H419" s="165"/>
    </row>
    <row r="420" spans="1:8" ht="15" customHeight="1">
      <c r="A420" s="168" t="s">
        <v>2636</v>
      </c>
      <c r="B420" s="169" t="s">
        <v>1237</v>
      </c>
      <c r="C420" s="956" t="s">
        <v>171</v>
      </c>
      <c r="D420" s="956" t="s">
        <v>132</v>
      </c>
      <c r="E420" s="1009" t="s">
        <v>1917</v>
      </c>
      <c r="F420" s="1012"/>
      <c r="G420" s="1012" t="str">
        <f>+VLOOKUP(Data_Validation!$A420,BV_Data_An_Cour!$L:$Q,6,0)</f>
        <v>7-Dépenses</v>
      </c>
      <c r="H420" s="165"/>
    </row>
    <row r="421" spans="1:8" ht="15" customHeight="1">
      <c r="A421" s="168" t="s">
        <v>2469</v>
      </c>
      <c r="B421" s="169" t="s">
        <v>1217</v>
      </c>
      <c r="C421" s="956" t="s">
        <v>171</v>
      </c>
      <c r="D421" s="956" t="s">
        <v>125</v>
      </c>
      <c r="E421" s="1009" t="s">
        <v>1917</v>
      </c>
      <c r="F421" s="1009"/>
      <c r="G421" s="1009" t="str">
        <f>+VLOOKUP(Data_Validation!$A421,BV_Data_An_Cour!$L:$Q,6,0)</f>
        <v>7-Dépenses</v>
      </c>
      <c r="H421" s="165"/>
    </row>
    <row r="422" spans="1:8" ht="15" customHeight="1">
      <c r="A422" s="168" t="s">
        <v>2661</v>
      </c>
      <c r="B422" s="169" t="s">
        <v>1308</v>
      </c>
      <c r="C422" s="956" t="s">
        <v>171</v>
      </c>
      <c r="D422" s="956" t="s">
        <v>126</v>
      </c>
      <c r="E422" s="1009" t="s">
        <v>1917</v>
      </c>
      <c r="F422" s="1012"/>
      <c r="G422" s="1012" t="str">
        <f>+VLOOKUP(Data_Validation!$A422,BV_Data_An_Cour!$L:$Q,6,0)</f>
        <v>7-Dépenses</v>
      </c>
      <c r="H422" s="165"/>
    </row>
    <row r="423" spans="1:8" ht="15" customHeight="1">
      <c r="A423" s="167" t="s">
        <v>2652</v>
      </c>
      <c r="B423" s="166" t="s">
        <v>1333</v>
      </c>
      <c r="C423" s="956" t="s">
        <v>171</v>
      </c>
      <c r="D423" s="956" t="s">
        <v>260</v>
      </c>
      <c r="E423" s="1009" t="s">
        <v>1917</v>
      </c>
      <c r="F423" s="1009"/>
      <c r="G423" s="1009" t="str">
        <f>+VLOOKUP(Data_Validation!$A423,BV_Data_An_Cour!$L:$Q,6,0)</f>
        <v>7-Dépenses</v>
      </c>
      <c r="H423" s="165"/>
    </row>
    <row r="424" spans="1:8" ht="15" customHeight="1">
      <c r="A424" s="168" t="s">
        <v>2471</v>
      </c>
      <c r="B424" s="169" t="s">
        <v>936</v>
      </c>
      <c r="C424" s="956" t="s">
        <v>171</v>
      </c>
      <c r="D424" s="956" t="s">
        <v>250</v>
      </c>
      <c r="E424" s="1009" t="s">
        <v>1917</v>
      </c>
      <c r="F424" s="1009"/>
      <c r="G424" s="1009" t="e">
        <f>+VLOOKUP(Data_Validation!$A424,BV_Data_An_Cour!$L:$Q,6,0)</f>
        <v>#N/A</v>
      </c>
      <c r="H424" s="165"/>
    </row>
    <row r="425" spans="1:8" ht="15" customHeight="1">
      <c r="A425" s="167" t="s">
        <v>2603</v>
      </c>
      <c r="B425" s="166" t="s">
        <v>1244</v>
      </c>
      <c r="C425" s="956" t="s">
        <v>171</v>
      </c>
      <c r="D425" s="956" t="s">
        <v>244</v>
      </c>
      <c r="E425" s="1009" t="s">
        <v>1917</v>
      </c>
      <c r="F425" s="1009"/>
      <c r="G425" s="1009" t="str">
        <f>+VLOOKUP(Data_Validation!$A425,BV_Data_An_Cour!$L:$Q,6,0)</f>
        <v>7-Dépenses</v>
      </c>
      <c r="H425" s="165"/>
    </row>
    <row r="426" spans="1:8" ht="15" customHeight="1">
      <c r="A426" s="168" t="s">
        <v>2708</v>
      </c>
      <c r="B426" s="169" t="s">
        <v>1398</v>
      </c>
      <c r="C426" s="956" t="s">
        <v>171</v>
      </c>
      <c r="D426" s="956" t="s">
        <v>235</v>
      </c>
      <c r="E426" s="1009" t="s">
        <v>1917</v>
      </c>
      <c r="F426" s="1009"/>
      <c r="G426" s="1009" t="str">
        <f>+VLOOKUP(Data_Validation!$A426,BV_Data_An_Cour!$L:$Q,6,0)</f>
        <v>7-Dépenses</v>
      </c>
      <c r="H426" s="165"/>
    </row>
    <row r="427" spans="1:8" ht="15" customHeight="1">
      <c r="A427" s="166" t="s">
        <v>2593</v>
      </c>
      <c r="B427" s="166" t="s">
        <v>1255</v>
      </c>
      <c r="C427" s="956" t="s">
        <v>171</v>
      </c>
      <c r="D427" s="956" t="s">
        <v>242</v>
      </c>
      <c r="E427" s="1009" t="s">
        <v>1917</v>
      </c>
      <c r="F427" s="1009"/>
      <c r="G427" s="1009" t="str">
        <f>+VLOOKUP(Data_Validation!$A427,BV_Data_An_Cour!$L:$Q,6,0)</f>
        <v>7-Dépenses</v>
      </c>
      <c r="H427" s="165"/>
    </row>
    <row r="428" spans="1:8" ht="15" customHeight="1">
      <c r="A428" s="166" t="s">
        <v>2613</v>
      </c>
      <c r="B428" s="166" t="s">
        <v>1264</v>
      </c>
      <c r="C428" s="956" t="s">
        <v>171</v>
      </c>
      <c r="D428" s="956" t="s">
        <v>237</v>
      </c>
      <c r="E428" s="1009" t="s">
        <v>1917</v>
      </c>
      <c r="F428" s="1009"/>
      <c r="G428" s="1009" t="str">
        <f>+VLOOKUP(Data_Validation!$A428,BV_Data_An_Cour!$L:$Q,6,0)</f>
        <v>7-Dépenses</v>
      </c>
      <c r="H428" s="165"/>
    </row>
    <row r="429" spans="1:8" ht="15" customHeight="1">
      <c r="A429" s="168" t="s">
        <v>2596</v>
      </c>
      <c r="B429" s="169" t="s">
        <v>1225</v>
      </c>
      <c r="C429" s="956" t="s">
        <v>171</v>
      </c>
      <c r="D429" s="956" t="s">
        <v>239</v>
      </c>
      <c r="E429" s="1009" t="s">
        <v>1917</v>
      </c>
      <c r="F429" s="1009"/>
      <c r="G429" s="1009" t="str">
        <f>+VLOOKUP(Data_Validation!$A429,BV_Data_An_Cour!$L:$Q,6,0)</f>
        <v>7-Dépenses</v>
      </c>
      <c r="H429" s="165"/>
    </row>
    <row r="430" spans="1:8" ht="15" customHeight="1">
      <c r="A430" s="168" t="s">
        <v>2634</v>
      </c>
      <c r="B430" s="169" t="s">
        <v>1271</v>
      </c>
      <c r="C430" s="956" t="s">
        <v>171</v>
      </c>
      <c r="D430" s="956" t="s">
        <v>246</v>
      </c>
      <c r="E430" s="1009" t="s">
        <v>1917</v>
      </c>
      <c r="F430" s="1009"/>
      <c r="G430" s="1009" t="str">
        <f>+VLOOKUP(Data_Validation!$A430,BV_Data_An_Cour!$L:$Q,6,0)</f>
        <v>7-Dépenses</v>
      </c>
      <c r="H430" s="165"/>
    </row>
    <row r="431" spans="1:8" ht="15" customHeight="1">
      <c r="A431" s="168" t="s">
        <v>2472</v>
      </c>
      <c r="B431" s="169" t="s">
        <v>399</v>
      </c>
      <c r="C431" s="956" t="s">
        <v>175</v>
      </c>
      <c r="D431" s="956" t="s">
        <v>122</v>
      </c>
      <c r="E431" s="1009" t="s">
        <v>1917</v>
      </c>
      <c r="F431" s="1009"/>
      <c r="G431" s="1009" t="str">
        <f>+VLOOKUP(Data_Validation!$A431,BV_Data_An_Cour!$L:$Q,6,0)</f>
        <v>7-Dépenses</v>
      </c>
      <c r="H431" s="165"/>
    </row>
    <row r="432" spans="1:8" ht="15" customHeight="1">
      <c r="A432" s="167" t="s">
        <v>2473</v>
      </c>
      <c r="B432" s="166" t="s">
        <v>1391</v>
      </c>
      <c r="C432" s="956" t="s">
        <v>175</v>
      </c>
      <c r="D432" s="956" t="s">
        <v>122</v>
      </c>
      <c r="E432" s="1009" t="s">
        <v>1917</v>
      </c>
      <c r="F432" s="1009"/>
      <c r="G432" s="1009" t="e">
        <f>+VLOOKUP(Data_Validation!$A432,BV_Data_An_Cour!$L:$Q,6,0)</f>
        <v>#N/A</v>
      </c>
      <c r="H432" s="165"/>
    </row>
    <row r="433" spans="1:8" ht="15" customHeight="1">
      <c r="A433" s="166" t="s">
        <v>2675</v>
      </c>
      <c r="B433" s="166" t="s">
        <v>1374</v>
      </c>
      <c r="C433" s="956" t="s">
        <v>175</v>
      </c>
      <c r="D433" s="956" t="s">
        <v>121</v>
      </c>
      <c r="E433" s="1009" t="s">
        <v>1917</v>
      </c>
      <c r="F433" s="1009"/>
      <c r="G433" s="1009" t="str">
        <f>+VLOOKUP(Data_Validation!$A433,BV_Data_An_Cour!$L:$Q,6,0)</f>
        <v>7-Dépenses</v>
      </c>
      <c r="H433" s="165"/>
    </row>
    <row r="434" spans="1:8" ht="15" customHeight="1">
      <c r="A434" s="168" t="s">
        <v>2715</v>
      </c>
      <c r="B434" s="169" t="s">
        <v>1357</v>
      </c>
      <c r="C434" s="956" t="s">
        <v>175</v>
      </c>
      <c r="D434" s="956" t="s">
        <v>213</v>
      </c>
      <c r="E434" s="1009" t="s">
        <v>1917</v>
      </c>
      <c r="F434" s="1009"/>
      <c r="G434" s="1009" t="str">
        <f>+VLOOKUP(Data_Validation!$A434,BV_Data_An_Cour!$L:$Q,6,0)</f>
        <v>7-Dépenses</v>
      </c>
      <c r="H434" s="165"/>
    </row>
    <row r="435" spans="1:8" ht="15" customHeight="1">
      <c r="A435" s="166" t="s">
        <v>2765</v>
      </c>
      <c r="B435" s="166" t="s">
        <v>2624</v>
      </c>
      <c r="C435" s="956" t="s">
        <v>175</v>
      </c>
      <c r="D435" s="956" t="s">
        <v>112</v>
      </c>
      <c r="E435" s="1009" t="s">
        <v>1917</v>
      </c>
      <c r="F435" s="1009"/>
      <c r="G435" s="1009" t="str">
        <f>+VLOOKUP(Data_Validation!$A435,BV_Data_An_Cour!$L:$Q,6,0)</f>
        <v>7-Dépenses</v>
      </c>
      <c r="H435" s="165"/>
    </row>
    <row r="436" spans="1:8" ht="15" customHeight="1">
      <c r="A436" s="168" t="s">
        <v>2731</v>
      </c>
      <c r="B436" s="169" t="s">
        <v>1342</v>
      </c>
      <c r="C436" s="956" t="s">
        <v>175</v>
      </c>
      <c r="D436" s="956" t="s">
        <v>113</v>
      </c>
      <c r="E436" s="1009" t="s">
        <v>1917</v>
      </c>
      <c r="F436" s="1009"/>
      <c r="G436" s="1009" t="str">
        <f>+VLOOKUP(Data_Validation!$A436,BV_Data_An_Cour!$L:$Q,6,0)</f>
        <v>7-Dépenses</v>
      </c>
      <c r="H436" s="165"/>
    </row>
    <row r="437" spans="1:8" ht="15" customHeight="1">
      <c r="A437" s="167" t="s">
        <v>2800</v>
      </c>
      <c r="B437" s="166" t="s">
        <v>1249</v>
      </c>
      <c r="C437" s="956" t="s">
        <v>175</v>
      </c>
      <c r="D437" s="956" t="s">
        <v>114</v>
      </c>
      <c r="E437" s="1009" t="s">
        <v>1917</v>
      </c>
      <c r="F437" s="1009"/>
      <c r="G437" s="1009" t="str">
        <f>+VLOOKUP(Data_Validation!$A437,BV_Data_An_Cour!$L:$Q,6,0)</f>
        <v>7-Dépenses</v>
      </c>
      <c r="H437" s="165"/>
    </row>
    <row r="438" spans="1:8" ht="15" customHeight="1">
      <c r="A438" s="168" t="s">
        <v>2722</v>
      </c>
      <c r="B438" s="169" t="s">
        <v>1328</v>
      </c>
      <c r="C438" s="956" t="s">
        <v>175</v>
      </c>
      <c r="D438" s="956" t="s">
        <v>116</v>
      </c>
      <c r="E438" s="1009" t="s">
        <v>1917</v>
      </c>
      <c r="F438" s="1009"/>
      <c r="G438" s="1009" t="str">
        <f>+VLOOKUP(Data_Validation!$A438,BV_Data_An_Cour!$L:$Q,6,0)</f>
        <v>7-Dépenses</v>
      </c>
      <c r="H438" s="165"/>
    </row>
    <row r="439" spans="1:8" ht="15" customHeight="1">
      <c r="A439" s="167" t="s">
        <v>2667</v>
      </c>
      <c r="B439" s="166" t="s">
        <v>1252</v>
      </c>
      <c r="C439" s="956" t="s">
        <v>175</v>
      </c>
      <c r="D439" s="956" t="s">
        <v>116</v>
      </c>
      <c r="E439" s="1009" t="s">
        <v>1917</v>
      </c>
      <c r="F439" s="1009"/>
      <c r="G439" s="1009" t="str">
        <f>+VLOOKUP(Data_Validation!$A439,BV_Data_An_Cour!$L:$Q,6,0)</f>
        <v>7-Dépenses</v>
      </c>
      <c r="H439" s="165"/>
    </row>
    <row r="440" spans="1:8" ht="15" customHeight="1">
      <c r="A440" s="168" t="s">
        <v>2733</v>
      </c>
      <c r="B440" s="169" t="s">
        <v>1283</v>
      </c>
      <c r="C440" s="956" t="s">
        <v>175</v>
      </c>
      <c r="D440" s="956" t="s">
        <v>119</v>
      </c>
      <c r="E440" s="1009" t="s">
        <v>1917</v>
      </c>
      <c r="F440" s="1009"/>
      <c r="G440" s="1009" t="str">
        <f>+VLOOKUP(Data_Validation!$A440,BV_Data_An_Cour!$L:$Q,6,0)</f>
        <v>7-Dépenses</v>
      </c>
      <c r="H440" s="165"/>
    </row>
    <row r="441" spans="1:8" ht="15" customHeight="1">
      <c r="A441" s="167" t="s">
        <v>2578</v>
      </c>
      <c r="B441" s="166" t="s">
        <v>1164</v>
      </c>
      <c r="C441" s="956" t="s">
        <v>175</v>
      </c>
      <c r="D441" s="956" t="s">
        <v>117</v>
      </c>
      <c r="E441" s="1009" t="s">
        <v>1917</v>
      </c>
      <c r="F441" s="1009"/>
      <c r="G441" s="1009" t="str">
        <f>+VLOOKUP(Data_Validation!$A441,BV_Data_An_Cour!$L:$Q,6,0)</f>
        <v>7-Dépenses</v>
      </c>
      <c r="H441" s="165"/>
    </row>
    <row r="442" spans="1:8" ht="15" customHeight="1">
      <c r="A442" s="168" t="s">
        <v>2744</v>
      </c>
      <c r="B442" s="169" t="s">
        <v>1305</v>
      </c>
      <c r="C442" s="956" t="s">
        <v>175</v>
      </c>
      <c r="D442" s="956" t="s">
        <v>118</v>
      </c>
      <c r="E442" s="1009" t="s">
        <v>1917</v>
      </c>
      <c r="F442" s="1009"/>
      <c r="G442" s="1009" t="str">
        <f>+VLOOKUP(Data_Validation!$A442,BV_Data_An_Cour!$L:$Q,6,0)</f>
        <v>7-Dépenses</v>
      </c>
      <c r="H442" s="165"/>
    </row>
    <row r="443" spans="1:8" ht="15" customHeight="1">
      <c r="A443" s="167" t="s">
        <v>2598</v>
      </c>
      <c r="B443" s="166" t="s">
        <v>1157</v>
      </c>
      <c r="C443" s="956" t="s">
        <v>175</v>
      </c>
      <c r="D443" s="956" t="s">
        <v>127</v>
      </c>
      <c r="E443" s="1009" t="s">
        <v>1917</v>
      </c>
      <c r="F443" s="1009"/>
      <c r="G443" s="1009" t="str">
        <f>+VLOOKUP(Data_Validation!$A443,BV_Data_An_Cour!$L:$Q,6,0)</f>
        <v>7-Dépenses</v>
      </c>
      <c r="H443" s="165"/>
    </row>
    <row r="444" spans="1:8" ht="15" customHeight="1">
      <c r="A444" s="168" t="s">
        <v>2474</v>
      </c>
      <c r="B444" s="169" t="s">
        <v>932</v>
      </c>
      <c r="C444" s="956" t="s">
        <v>175</v>
      </c>
      <c r="D444" s="956" t="s">
        <v>128</v>
      </c>
      <c r="E444" s="1009" t="s">
        <v>1917</v>
      </c>
      <c r="F444" s="1009"/>
      <c r="G444" s="1009" t="e">
        <f>+VLOOKUP(Data_Validation!$A444,BV_Data_An_Cour!$L:$Q,6,0)</f>
        <v>#N/A</v>
      </c>
      <c r="H444" s="165"/>
    </row>
    <row r="445" spans="1:8" ht="15" customHeight="1">
      <c r="A445" s="167" t="s">
        <v>2573</v>
      </c>
      <c r="B445" s="166" t="s">
        <v>934</v>
      </c>
      <c r="C445" s="956" t="s">
        <v>175</v>
      </c>
      <c r="D445" s="956" t="s">
        <v>133</v>
      </c>
      <c r="E445" s="1009" t="s">
        <v>1917</v>
      </c>
      <c r="F445" s="1009"/>
      <c r="G445" s="1009" t="str">
        <f>+VLOOKUP(Data_Validation!$A445,BV_Data_An_Cour!$L:$Q,6,0)</f>
        <v>7-Dépenses</v>
      </c>
      <c r="H445" s="165"/>
    </row>
    <row r="446" spans="1:8" ht="15" customHeight="1">
      <c r="A446" s="168" t="s">
        <v>2631</v>
      </c>
      <c r="B446" s="169" t="s">
        <v>1186</v>
      </c>
      <c r="C446" s="956" t="s">
        <v>175</v>
      </c>
      <c r="D446" s="956" t="s">
        <v>123</v>
      </c>
      <c r="E446" s="1009" t="s">
        <v>1917</v>
      </c>
      <c r="F446" s="1009"/>
      <c r="G446" s="1009" t="str">
        <f>+VLOOKUP(Data_Validation!$A446,BV_Data_An_Cour!$L:$Q,6,0)</f>
        <v>7-Dépenses</v>
      </c>
      <c r="H446" s="165"/>
    </row>
    <row r="447" spans="1:8" ht="15" customHeight="1">
      <c r="A447" s="171" t="s">
        <v>2610</v>
      </c>
      <c r="B447" s="171" t="s">
        <v>1180</v>
      </c>
      <c r="C447" s="956" t="s">
        <v>175</v>
      </c>
      <c r="D447" s="956" t="s">
        <v>131</v>
      </c>
      <c r="E447" s="1009" t="s">
        <v>1917</v>
      </c>
      <c r="F447" s="1010"/>
      <c r="G447" s="1009" t="str">
        <f>+VLOOKUP(Data_Validation!$A447,BV_Data_An_Cour!$L:$Q,6,0)</f>
        <v>7-Dépenses</v>
      </c>
      <c r="H447" s="165"/>
    </row>
    <row r="448" spans="1:8" ht="15" customHeight="1">
      <c r="A448" s="951" t="s">
        <v>2739</v>
      </c>
      <c r="B448" s="171" t="s">
        <v>1286</v>
      </c>
      <c r="C448" s="956" t="s">
        <v>175</v>
      </c>
      <c r="D448" s="956" t="s">
        <v>124</v>
      </c>
      <c r="E448" s="1009" t="s">
        <v>1917</v>
      </c>
      <c r="F448" s="1010"/>
      <c r="G448" s="1009" t="str">
        <f>+VLOOKUP(Data_Validation!$A448,BV_Data_An_Cour!$L:$Q,6,0)</f>
        <v>7-Dépenses</v>
      </c>
      <c r="H448" s="165"/>
    </row>
    <row r="449" spans="1:29" ht="15" customHeight="1">
      <c r="A449" s="951" t="s">
        <v>2646</v>
      </c>
      <c r="B449" s="171" t="s">
        <v>1206</v>
      </c>
      <c r="C449" s="956" t="s">
        <v>175</v>
      </c>
      <c r="D449" s="956" t="s">
        <v>129</v>
      </c>
      <c r="E449" s="1009" t="s">
        <v>1917</v>
      </c>
      <c r="F449" s="1010"/>
      <c r="G449" s="1009" t="str">
        <f>+VLOOKUP(Data_Validation!$A449,BV_Data_An_Cour!$L:$Q,6,0)</f>
        <v>7-Dépenses</v>
      </c>
      <c r="H449" s="165"/>
    </row>
    <row r="450" spans="1:29" ht="15" customHeight="1">
      <c r="A450" s="951" t="s">
        <v>2630</v>
      </c>
      <c r="B450" s="171" t="s">
        <v>1154</v>
      </c>
      <c r="C450" s="956" t="s">
        <v>175</v>
      </c>
      <c r="D450" s="956" t="s">
        <v>130</v>
      </c>
      <c r="E450" s="1009" t="s">
        <v>1917</v>
      </c>
      <c r="F450" s="1010"/>
      <c r="G450" s="1009" t="str">
        <f>+VLOOKUP(Data_Validation!$A450,BV_Data_An_Cour!$L:$Q,6,0)</f>
        <v>7-Dépenses</v>
      </c>
      <c r="H450" s="165"/>
    </row>
    <row r="451" spans="1:29" ht="15" customHeight="1">
      <c r="A451" s="951" t="s">
        <v>2704</v>
      </c>
      <c r="B451" s="171" t="s">
        <v>1237</v>
      </c>
      <c r="C451" s="956" t="s">
        <v>175</v>
      </c>
      <c r="D451" s="956" t="s">
        <v>132</v>
      </c>
      <c r="E451" s="1009" t="s">
        <v>1917</v>
      </c>
      <c r="F451" s="1010"/>
      <c r="G451" s="1009" t="str">
        <f>+VLOOKUP(Data_Validation!$A451,BV_Data_An_Cour!$L:$Q,6,0)</f>
        <v>7-Dépenses</v>
      </c>
      <c r="H451" s="165"/>
    </row>
    <row r="452" spans="1:29" ht="15" customHeight="1">
      <c r="A452" s="951" t="s">
        <v>2475</v>
      </c>
      <c r="B452" s="171" t="s">
        <v>1294</v>
      </c>
      <c r="C452" s="956" t="s">
        <v>175</v>
      </c>
      <c r="D452" s="956" t="s">
        <v>125</v>
      </c>
      <c r="E452" s="1009" t="s">
        <v>1917</v>
      </c>
      <c r="F452" s="1010"/>
      <c r="G452" s="1009" t="str">
        <f>+VLOOKUP(Data_Validation!$A452,BV_Data_An_Cour!$L:$Q,6,0)</f>
        <v>7-Dépenses</v>
      </c>
      <c r="H452" s="165"/>
    </row>
    <row r="453" spans="1:29" ht="15" customHeight="1">
      <c r="A453" s="951" t="s">
        <v>2775</v>
      </c>
      <c r="B453" s="171" t="s">
        <v>1308</v>
      </c>
      <c r="C453" s="956" t="s">
        <v>175</v>
      </c>
      <c r="D453" s="956" t="s">
        <v>126</v>
      </c>
      <c r="E453" s="1009" t="s">
        <v>1917</v>
      </c>
      <c r="F453" s="1010"/>
      <c r="G453" s="1009" t="str">
        <f>+VLOOKUP(Data_Validation!$A453,BV_Data_An_Cour!$L:$Q,6,0)</f>
        <v>7-Dépenses</v>
      </c>
      <c r="H453" s="165"/>
    </row>
    <row r="454" spans="1:29" ht="15" customHeight="1">
      <c r="A454" s="167" t="s">
        <v>2718</v>
      </c>
      <c r="B454" s="166" t="s">
        <v>1333</v>
      </c>
      <c r="C454" s="956" t="s">
        <v>175</v>
      </c>
      <c r="D454" s="956" t="s">
        <v>260</v>
      </c>
      <c r="E454" s="1009" t="s">
        <v>1917</v>
      </c>
      <c r="F454" s="1010"/>
      <c r="G454" s="1009" t="str">
        <f>+VLOOKUP(Data_Validation!$A454,BV_Data_An_Cour!$L:$Q,6,0)</f>
        <v>7-Dépenses</v>
      </c>
      <c r="H454" s="165"/>
    </row>
    <row r="455" spans="1:29" ht="15" customHeight="1">
      <c r="A455" s="951" t="s">
        <v>2476</v>
      </c>
      <c r="B455" s="171" t="s">
        <v>936</v>
      </c>
      <c r="C455" s="956" t="s">
        <v>175</v>
      </c>
      <c r="D455" s="956" t="s">
        <v>250</v>
      </c>
      <c r="E455" s="1009" t="s">
        <v>1917</v>
      </c>
      <c r="F455" s="1010"/>
      <c r="G455" s="1009" t="e">
        <f>+VLOOKUP(Data_Validation!$A455,BV_Data_An_Cour!$L:$Q,6,0)</f>
        <v>#N/A</v>
      </c>
      <c r="H455" s="165"/>
    </row>
    <row r="456" spans="1:29" ht="15" customHeight="1">
      <c r="A456" s="951" t="s">
        <v>2671</v>
      </c>
      <c r="B456" s="171" t="s">
        <v>1316</v>
      </c>
      <c r="C456" s="956" t="s">
        <v>175</v>
      </c>
      <c r="D456" s="956" t="s">
        <v>244</v>
      </c>
      <c r="E456" s="1009" t="s">
        <v>1917</v>
      </c>
      <c r="F456" s="1010"/>
      <c r="G456" s="1009" t="str">
        <f>+VLOOKUP(Data_Validation!$A456,BV_Data_An_Cour!$L:$Q,6,0)</f>
        <v>7-Dépenses</v>
      </c>
      <c r="H456" s="165"/>
    </row>
    <row r="457" spans="1:29" ht="15" customHeight="1">
      <c r="A457" s="951" t="s">
        <v>2760</v>
      </c>
      <c r="B457" s="171" t="s">
        <v>1457</v>
      </c>
      <c r="C457" s="956" t="s">
        <v>175</v>
      </c>
      <c r="D457" s="956" t="s">
        <v>235</v>
      </c>
      <c r="E457" s="1009" t="s">
        <v>1917</v>
      </c>
      <c r="F457" s="1010"/>
      <c r="G457" s="1009" t="str">
        <f>+VLOOKUP(Data_Validation!$A457,BV_Data_An_Cour!$L:$Q,6,0)</f>
        <v>7-Dépenses</v>
      </c>
      <c r="H457" s="165"/>
    </row>
    <row r="458" spans="1:29" ht="15" customHeight="1">
      <c r="A458" s="951" t="s">
        <v>2660</v>
      </c>
      <c r="B458" s="171" t="s">
        <v>1352</v>
      </c>
      <c r="C458" s="956" t="s">
        <v>175</v>
      </c>
      <c r="D458" s="956" t="s">
        <v>242</v>
      </c>
      <c r="E458" s="1009" t="s">
        <v>1917</v>
      </c>
      <c r="F458" s="1010"/>
      <c r="G458" s="1009" t="str">
        <f>+VLOOKUP(Data_Validation!$A458,BV_Data_An_Cour!$L:$Q,6,0)</f>
        <v>7-Dépenses</v>
      </c>
      <c r="H458" s="165"/>
    </row>
    <row r="459" spans="1:29" ht="15" customHeight="1">
      <c r="A459" s="951" t="s">
        <v>2686</v>
      </c>
      <c r="B459" s="171" t="s">
        <v>1344</v>
      </c>
      <c r="C459" s="956" t="s">
        <v>175</v>
      </c>
      <c r="D459" s="956" t="s">
        <v>237</v>
      </c>
      <c r="E459" s="1009" t="s">
        <v>1917</v>
      </c>
      <c r="F459" s="1010"/>
      <c r="G459" s="1009" t="str">
        <f>+VLOOKUP(Data_Validation!$A459,BV_Data_An_Cour!$L:$Q,6,0)</f>
        <v>7-Dépenses</v>
      </c>
      <c r="H459" s="165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951" t="s">
        <v>2665</v>
      </c>
      <c r="B460" s="171" t="s">
        <v>1278</v>
      </c>
      <c r="C460" s="956" t="s">
        <v>175</v>
      </c>
      <c r="D460" s="956" t="s">
        <v>239</v>
      </c>
      <c r="E460" s="1009" t="s">
        <v>1917</v>
      </c>
      <c r="F460" s="1010"/>
      <c r="G460" s="1009" t="str">
        <f>+VLOOKUP(Data_Validation!$A460,BV_Data_An_Cour!$L:$Q,6,0)</f>
        <v>7-Dépenses</v>
      </c>
      <c r="H460" s="165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951" t="s">
        <v>2703</v>
      </c>
      <c r="B461" s="171" t="s">
        <v>1371</v>
      </c>
      <c r="C461" s="956" t="s">
        <v>175</v>
      </c>
      <c r="D461" s="956" t="s">
        <v>246</v>
      </c>
      <c r="E461" s="1009" t="s">
        <v>1917</v>
      </c>
      <c r="F461" s="1010"/>
      <c r="G461" s="1009" t="str">
        <f>+VLOOKUP(Data_Validation!$A461,BV_Data_An_Cour!$L:$Q,6,0)</f>
        <v>7-Dépenses</v>
      </c>
      <c r="H461" s="165"/>
    </row>
    <row r="462" spans="1:29" ht="15" customHeight="1">
      <c r="A462" s="951" t="s">
        <v>2054</v>
      </c>
      <c r="B462" s="171" t="s">
        <v>2053</v>
      </c>
      <c r="C462" s="956" t="s">
        <v>75</v>
      </c>
      <c r="D462" s="956" t="s">
        <v>140</v>
      </c>
      <c r="E462" s="1009" t="s">
        <v>1917</v>
      </c>
      <c r="F462" s="1010"/>
      <c r="G462" s="1009" t="str">
        <f>+VLOOKUP(Data_Validation!$A462,BV_Data_An_Cour!$L:$Q,6,0)</f>
        <v>8-Autres revenus</v>
      </c>
      <c r="H462" s="165"/>
    </row>
    <row r="463" spans="1:29" ht="15" customHeight="1">
      <c r="A463" s="167" t="s">
        <v>2139</v>
      </c>
      <c r="B463" s="171" t="s">
        <v>2138</v>
      </c>
      <c r="C463" s="956" t="s">
        <v>175</v>
      </c>
      <c r="D463" s="956" t="s">
        <v>183</v>
      </c>
      <c r="E463" s="1009" t="s">
        <v>1917</v>
      </c>
      <c r="F463" s="1010"/>
      <c r="G463" s="1009" t="str">
        <f>+VLOOKUP(Data_Validation!$A463,BV_Data_An_Cour!$L:$Q,6,0)</f>
        <v>8-Autres revenus</v>
      </c>
      <c r="H463" s="165"/>
    </row>
    <row r="464" spans="1:29" ht="15" customHeight="1">
      <c r="A464" s="951" t="s">
        <v>2078</v>
      </c>
      <c r="B464" s="171" t="s">
        <v>2077</v>
      </c>
      <c r="C464" s="956" t="s">
        <v>75</v>
      </c>
      <c r="D464" s="956" t="s">
        <v>137</v>
      </c>
      <c r="E464" s="1009" t="s">
        <v>1917</v>
      </c>
      <c r="F464" s="1010"/>
      <c r="G464" s="1009" t="str">
        <f>+VLOOKUP(Data_Validation!$A464,BV_Data_An_Cour!$L:$Q,6,0)</f>
        <v>8-Autres revenus</v>
      </c>
      <c r="H464" s="165"/>
    </row>
    <row r="465" spans="1:29" ht="15" customHeight="1">
      <c r="A465" s="951" t="s">
        <v>2076</v>
      </c>
      <c r="B465" s="171" t="s">
        <v>2170</v>
      </c>
      <c r="C465" s="956" t="s">
        <v>75</v>
      </c>
      <c r="D465" s="956" t="s">
        <v>97</v>
      </c>
      <c r="E465" s="1009" t="s">
        <v>1917</v>
      </c>
      <c r="F465" s="1010" t="s">
        <v>2858</v>
      </c>
      <c r="G465" s="1009" t="str">
        <f>+VLOOKUP(Data_Validation!$A465,BV_Data_An_Cour!$L:$Q,6,0)</f>
        <v>8-Autres revenus</v>
      </c>
      <c r="H465" s="165"/>
    </row>
    <row r="466" spans="1:29" ht="15" customHeight="1">
      <c r="A466" s="951" t="s">
        <v>2085</v>
      </c>
      <c r="B466" s="171" t="s">
        <v>2084</v>
      </c>
      <c r="C466" s="956" t="s">
        <v>144</v>
      </c>
      <c r="D466" s="956" t="s">
        <v>97</v>
      </c>
      <c r="E466" s="1009" t="s">
        <v>1917</v>
      </c>
      <c r="F466" s="1010" t="s">
        <v>2858</v>
      </c>
      <c r="G466" s="1009" t="str">
        <f>+VLOOKUP(Data_Validation!$A466,BV_Data_An_Cour!$L:$Q,6,0)</f>
        <v>8-Autres revenus</v>
      </c>
      <c r="H466" s="165"/>
      <c r="K466" s="2"/>
    </row>
    <row r="467" spans="1:29" ht="15" customHeight="1">
      <c r="A467" s="951" t="s">
        <v>2172</v>
      </c>
      <c r="B467" s="171" t="s">
        <v>2171</v>
      </c>
      <c r="C467" s="956" t="s">
        <v>75</v>
      </c>
      <c r="D467" s="956" t="s">
        <v>99</v>
      </c>
      <c r="E467" s="1009" t="s">
        <v>1917</v>
      </c>
      <c r="F467" s="1010" t="s">
        <v>2858</v>
      </c>
      <c r="G467" s="1009" t="str">
        <f>+VLOOKUP(Data_Validation!$A467,BV_Data_An_Cour!$L:$Q,6,0)</f>
        <v>8-Autres revenus</v>
      </c>
      <c r="H467" s="16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951" t="s">
        <v>2180</v>
      </c>
      <c r="B468" s="171" t="s">
        <v>2179</v>
      </c>
      <c r="C468" s="956" t="s">
        <v>144</v>
      </c>
      <c r="D468" s="956" t="s">
        <v>99</v>
      </c>
      <c r="E468" s="1009" t="s">
        <v>1917</v>
      </c>
      <c r="F468" s="1010"/>
      <c r="G468" s="1009" t="str">
        <f>+VLOOKUP(Data_Validation!$A468,BV_Data_An_Cour!$L:$Q,6,0)</f>
        <v>8-Autres revenus</v>
      </c>
      <c r="H468" s="165"/>
    </row>
    <row r="469" spans="1:29" ht="15" customHeight="1">
      <c r="A469" s="951" t="s">
        <v>2093</v>
      </c>
      <c r="B469" s="171" t="s">
        <v>2092</v>
      </c>
      <c r="C469" s="956" t="s">
        <v>75</v>
      </c>
      <c r="D469" s="956" t="s">
        <v>98</v>
      </c>
      <c r="E469" s="1009" t="s">
        <v>1917</v>
      </c>
      <c r="F469" s="1010" t="s">
        <v>2858</v>
      </c>
      <c r="G469" s="1009" t="str">
        <f>+VLOOKUP(Data_Validation!$A469,BV_Data_An_Cour!$L:$Q,6,0)</f>
        <v>8-Autres revenus</v>
      </c>
      <c r="H469" s="165"/>
    </row>
    <row r="470" spans="1:29" ht="15" customHeight="1">
      <c r="A470" s="951" t="s">
        <v>2075</v>
      </c>
      <c r="B470" s="171" t="s">
        <v>2074</v>
      </c>
      <c r="C470" s="956" t="s">
        <v>75</v>
      </c>
      <c r="D470" s="956" t="s">
        <v>98</v>
      </c>
      <c r="E470" s="1009" t="s">
        <v>1917</v>
      </c>
      <c r="F470" s="1010" t="s">
        <v>2858</v>
      </c>
      <c r="G470" s="1009" t="str">
        <f>+VLOOKUP(Data_Validation!$A470,BV_Data_An_Cour!$L:$Q,6,0)</f>
        <v>8-Autres revenus</v>
      </c>
      <c r="H470" s="165"/>
    </row>
    <row r="471" spans="1:29" ht="15" customHeight="1">
      <c r="A471" s="951" t="s">
        <v>2089</v>
      </c>
      <c r="B471" s="171" t="s">
        <v>2088</v>
      </c>
      <c r="C471" s="956" t="s">
        <v>144</v>
      </c>
      <c r="D471" s="956" t="s">
        <v>98</v>
      </c>
      <c r="E471" s="1009" t="s">
        <v>1917</v>
      </c>
      <c r="F471" s="1010"/>
      <c r="G471" s="1009" t="str">
        <f>+VLOOKUP(Data_Validation!$A471,BV_Data_An_Cour!$L:$Q,6,0)</f>
        <v>8-Autres revenus</v>
      </c>
      <c r="H471" s="165"/>
    </row>
    <row r="472" spans="1:29" ht="15" customHeight="1">
      <c r="A472" s="167" t="s">
        <v>2097</v>
      </c>
      <c r="B472" s="171" t="s">
        <v>2096</v>
      </c>
      <c r="C472" s="956" t="s">
        <v>144</v>
      </c>
      <c r="D472" s="956" t="s">
        <v>98</v>
      </c>
      <c r="E472" s="1009" t="s">
        <v>1917</v>
      </c>
      <c r="F472" s="1010"/>
      <c r="G472" s="1009" t="str">
        <f>+VLOOKUP(Data_Validation!$A472,BV_Data_An_Cour!$L:$Q,6,0)</f>
        <v>8-Autres revenus</v>
      </c>
      <c r="H472" s="165"/>
    </row>
    <row r="473" spans="1:29" ht="15" customHeight="1">
      <c r="A473" s="951" t="s">
        <v>2081</v>
      </c>
      <c r="B473" s="171" t="s">
        <v>2080</v>
      </c>
      <c r="C473" s="956" t="s">
        <v>75</v>
      </c>
      <c r="D473" s="956" t="s">
        <v>141</v>
      </c>
      <c r="E473" s="1009" t="s">
        <v>1917</v>
      </c>
      <c r="F473" s="1010"/>
      <c r="G473" s="1009" t="str">
        <f>+VLOOKUP(Data_Validation!$A473,BV_Data_An_Cour!$L:$Q,6,0)</f>
        <v>8-Autres revenus</v>
      </c>
      <c r="H473" s="165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951" t="s">
        <v>2063</v>
      </c>
      <c r="B474" s="171" t="s">
        <v>2062</v>
      </c>
      <c r="C474" s="956" t="s">
        <v>193</v>
      </c>
      <c r="D474" s="956" t="s">
        <v>255</v>
      </c>
      <c r="E474" s="1009" t="s">
        <v>1917</v>
      </c>
      <c r="F474" s="1010"/>
      <c r="G474" s="1009" t="str">
        <f>+VLOOKUP(Data_Validation!$A474,BV_Data_An_Cour!$L:$Q,6,0)</f>
        <v>8-Autres revenus</v>
      </c>
      <c r="H474" s="165"/>
      <c r="K474" s="2"/>
    </row>
    <row r="475" spans="1:29" ht="15" customHeight="1">
      <c r="A475" s="951" t="s">
        <v>2176</v>
      </c>
      <c r="B475" s="171" t="s">
        <v>2650</v>
      </c>
      <c r="C475" s="956" t="s">
        <v>193</v>
      </c>
      <c r="D475" s="956" t="s">
        <v>262</v>
      </c>
      <c r="E475" s="1009" t="s">
        <v>1917</v>
      </c>
      <c r="F475" s="1010"/>
      <c r="G475" s="1009" t="str">
        <f>+VLOOKUP(Data_Validation!$A475,BV_Data_An_Cour!$L:$Q,6,0)</f>
        <v>9-Autres déductions</v>
      </c>
      <c r="H475" s="165"/>
    </row>
    <row r="476" spans="1:29" ht="15" customHeight="1">
      <c r="A476" s="951" t="s">
        <v>2175</v>
      </c>
      <c r="B476" s="171" t="s">
        <v>2174</v>
      </c>
      <c r="C476" s="956" t="s">
        <v>193</v>
      </c>
      <c r="D476" s="956" t="s">
        <v>261</v>
      </c>
      <c r="E476" s="1009" t="s">
        <v>1917</v>
      </c>
      <c r="F476" s="1010"/>
      <c r="G476" s="1009" t="str">
        <f>+VLOOKUP(Data_Validation!$A476,BV_Data_An_Cour!$L:$Q,6,0)</f>
        <v>9-Autres déductions</v>
      </c>
      <c r="H476" s="165"/>
    </row>
    <row r="477" spans="1:29" ht="15" customHeight="1">
      <c r="A477" s="951" t="s">
        <v>2599</v>
      </c>
      <c r="B477" s="171" t="s">
        <v>1389</v>
      </c>
      <c r="C477" s="956" t="s">
        <v>193</v>
      </c>
      <c r="D477" s="956" t="s">
        <v>262</v>
      </c>
      <c r="E477" s="1009" t="s">
        <v>1917</v>
      </c>
      <c r="F477" s="1010"/>
      <c r="G477" s="1009" t="str">
        <f>+VLOOKUP(Data_Validation!$A477,BV_Data_An_Cour!$L:$Q,6,0)</f>
        <v>9-Autres déductions</v>
      </c>
      <c r="H477" s="165"/>
    </row>
    <row r="478" spans="1:29" ht="15" customHeight="1">
      <c r="A478" s="951" t="s">
        <v>2782</v>
      </c>
      <c r="B478" s="171" t="s">
        <v>1385</v>
      </c>
      <c r="C478" s="956" t="s">
        <v>75</v>
      </c>
      <c r="D478" s="956" t="s">
        <v>134</v>
      </c>
      <c r="E478" s="1009" t="s">
        <v>1917</v>
      </c>
      <c r="F478" s="1010"/>
      <c r="G478" s="1009" t="str">
        <f>+VLOOKUP(Data_Validation!$A478,BV_Data_An_Cour!$L:$Q,6,0)</f>
        <v>9-Autres déductions</v>
      </c>
      <c r="H478" s="165"/>
    </row>
    <row r="479" spans="1:29" ht="15" customHeight="1">
      <c r="A479" s="168" t="s">
        <v>2478</v>
      </c>
      <c r="B479" s="169" t="s">
        <v>2477</v>
      </c>
      <c r="C479" s="956" t="s">
        <v>1642</v>
      </c>
      <c r="D479" s="956"/>
      <c r="E479" s="1012" t="s">
        <v>1915</v>
      </c>
      <c r="F479" s="1010"/>
      <c r="G479" s="1009" t="str">
        <f>+VLOOKUP(Data_Validation!$A479,BV_Data_An_Cour!$L:$Q,6,0)</f>
        <v>10-Compte compteur</v>
      </c>
      <c r="H479" s="163"/>
    </row>
    <row r="480" spans="1:29" ht="15" customHeight="1">
      <c r="A480" s="168" t="s">
        <v>2480</v>
      </c>
      <c r="B480" s="169" t="s">
        <v>2479</v>
      </c>
      <c r="C480" s="956" t="s">
        <v>1642</v>
      </c>
      <c r="D480" s="956"/>
      <c r="E480" s="1012" t="s">
        <v>1915</v>
      </c>
      <c r="F480" s="1010"/>
      <c r="G480" s="1009" t="str">
        <f>+VLOOKUP(Data_Validation!$A480,BV_Data_An_Cour!$L:$Q,6,0)</f>
        <v>10-Compte compteur</v>
      </c>
      <c r="H480" s="165"/>
    </row>
    <row r="481" spans="1:29" ht="15" customHeight="1">
      <c r="A481" s="168" t="s">
        <v>2483</v>
      </c>
      <c r="B481" s="169" t="s">
        <v>2482</v>
      </c>
      <c r="C481" s="956" t="s">
        <v>75</v>
      </c>
      <c r="D481" s="956" t="s">
        <v>96</v>
      </c>
      <c r="E481" s="1012" t="s">
        <v>1915</v>
      </c>
      <c r="F481" s="1012"/>
      <c r="G481" s="1009" t="str">
        <f>+VLOOKUP(Data_Validation!$A481,BV_Data_An_Cour!$L:$Q,6,0)</f>
        <v>10-Compte compteur</v>
      </c>
      <c r="H481" s="165"/>
    </row>
    <row r="482" spans="1:29" ht="15" customHeight="1">
      <c r="A482" s="168" t="s">
        <v>2485</v>
      </c>
      <c r="B482" s="169" t="s">
        <v>2484</v>
      </c>
      <c r="C482" s="956" t="s">
        <v>75</v>
      </c>
      <c r="D482" s="956" t="s">
        <v>89</v>
      </c>
      <c r="E482" s="1012" t="s">
        <v>1915</v>
      </c>
      <c r="F482" s="1012"/>
      <c r="G482" s="1009" t="e">
        <f>+VLOOKUP(Data_Validation!$A482,BV_Data_An_Cour!$L:$Q,6,0)</f>
        <v>#N/A</v>
      </c>
      <c r="H482" s="165"/>
    </row>
    <row r="483" spans="1:29" ht="15" customHeight="1">
      <c r="A483" s="168" t="s">
        <v>2487</v>
      </c>
      <c r="B483" s="169" t="s">
        <v>2486</v>
      </c>
      <c r="C483" s="956" t="s">
        <v>75</v>
      </c>
      <c r="D483" s="956" t="s">
        <v>89</v>
      </c>
      <c r="E483" s="1012" t="s">
        <v>1915</v>
      </c>
      <c r="F483" s="1012"/>
      <c r="G483" s="1009" t="e">
        <f>+VLOOKUP(Data_Validation!$A483,BV_Data_An_Cour!$L:$Q,6,0)</f>
        <v>#N/A</v>
      </c>
      <c r="H483" s="165"/>
    </row>
    <row r="484" spans="1:29" ht="15" customHeight="1">
      <c r="A484" s="168" t="s">
        <v>2489</v>
      </c>
      <c r="B484" s="169" t="s">
        <v>2488</v>
      </c>
      <c r="C484" s="956" t="s">
        <v>75</v>
      </c>
      <c r="D484" s="956" t="s">
        <v>89</v>
      </c>
      <c r="E484" s="1012" t="s">
        <v>1915</v>
      </c>
      <c r="F484" s="1012"/>
      <c r="G484" s="1009" t="str">
        <f>+VLOOKUP(Data_Validation!$A484,BV_Data_An_Cour!$L:$Q,6,0)</f>
        <v>10-Compte compteur</v>
      </c>
      <c r="H484" s="165"/>
    </row>
    <row r="485" spans="1:29" ht="15" customHeight="1">
      <c r="A485" s="1024" t="s">
        <v>2491</v>
      </c>
      <c r="B485" s="1027" t="s">
        <v>2490</v>
      </c>
      <c r="C485" s="1023" t="s">
        <v>75</v>
      </c>
      <c r="D485" s="956" t="s">
        <v>89</v>
      </c>
      <c r="E485" s="1012" t="s">
        <v>1915</v>
      </c>
      <c r="F485" s="1012"/>
      <c r="G485" s="1009" t="e">
        <f>+VLOOKUP(Data_Validation!$A485,BV_Data_An_Cour!$L:$Q,6,0)</f>
        <v>#N/A</v>
      </c>
      <c r="H485" s="165"/>
    </row>
    <row r="486" spans="1:29" ht="15" customHeight="1">
      <c r="A486" s="168" t="s">
        <v>2493</v>
      </c>
      <c r="B486" s="169" t="s">
        <v>2492</v>
      </c>
      <c r="C486" s="956" t="s">
        <v>75</v>
      </c>
      <c r="D486" s="956" t="s">
        <v>89</v>
      </c>
      <c r="E486" s="1012" t="s">
        <v>1915</v>
      </c>
      <c r="F486" s="1012"/>
      <c r="G486" s="1009" t="str">
        <f>+VLOOKUP(Data_Validation!$A486,BV_Data_An_Cour!$L:$Q,6,0)</f>
        <v>10-Compte compteur</v>
      </c>
      <c r="H486" s="165"/>
    </row>
    <row r="487" spans="1:29" ht="15" customHeight="1">
      <c r="A487" s="168" t="s">
        <v>2495</v>
      </c>
      <c r="B487" s="169" t="s">
        <v>2494</v>
      </c>
      <c r="C487" s="956" t="s">
        <v>75</v>
      </c>
      <c r="D487" s="956" t="s">
        <v>89</v>
      </c>
      <c r="E487" s="1012" t="s">
        <v>1915</v>
      </c>
      <c r="F487" s="1012"/>
      <c r="G487" s="1009" t="e">
        <f>+VLOOKUP(Data_Validation!$A487,BV_Data_An_Cour!$L:$Q,6,0)</f>
        <v>#N/A</v>
      </c>
      <c r="H487" s="165"/>
    </row>
    <row r="488" spans="1:29" ht="15" customHeight="1">
      <c r="A488" s="168" t="s">
        <v>2497</v>
      </c>
      <c r="B488" s="169" t="s">
        <v>2496</v>
      </c>
      <c r="C488" s="956" t="s">
        <v>75</v>
      </c>
      <c r="D488" s="956" t="s">
        <v>89</v>
      </c>
      <c r="E488" s="1012" t="s">
        <v>1915</v>
      </c>
      <c r="F488" s="1012"/>
      <c r="G488" s="1009" t="e">
        <f>+VLOOKUP(Data_Validation!$A488,BV_Data_An_Cour!$L:$Q,6,0)</f>
        <v>#N/A</v>
      </c>
      <c r="H488" s="165"/>
    </row>
    <row r="489" spans="1:29" ht="15" customHeight="1">
      <c r="A489" s="168" t="s">
        <v>2499</v>
      </c>
      <c r="B489" s="169" t="s">
        <v>2498</v>
      </c>
      <c r="C489" s="956" t="s">
        <v>75</v>
      </c>
      <c r="D489" s="956" t="s">
        <v>90</v>
      </c>
      <c r="E489" s="1012" t="s">
        <v>1915</v>
      </c>
      <c r="F489" s="1012"/>
      <c r="G489" s="1009" t="str">
        <f>+VLOOKUP(Data_Validation!$A489,BV_Data_An_Cour!$L:$Q,6,0)</f>
        <v>10-Compte compteur</v>
      </c>
      <c r="H489" s="165"/>
    </row>
    <row r="490" spans="1:29" ht="15" customHeight="1">
      <c r="A490" s="168" t="s">
        <v>2501</v>
      </c>
      <c r="B490" s="169" t="s">
        <v>2500</v>
      </c>
      <c r="C490" s="956" t="s">
        <v>75</v>
      </c>
      <c r="D490" s="956" t="s">
        <v>89</v>
      </c>
      <c r="E490" s="1012" t="s">
        <v>1915</v>
      </c>
      <c r="F490" s="1012"/>
      <c r="G490" s="1009" t="str">
        <f>+VLOOKUP(Data_Validation!$A490,BV_Data_An_Cour!$L:$Q,6,0)</f>
        <v>10-Compte compteur</v>
      </c>
      <c r="H490" s="165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2503</v>
      </c>
      <c r="B491" s="169" t="s">
        <v>2502</v>
      </c>
      <c r="C491" s="956" t="s">
        <v>75</v>
      </c>
      <c r="D491" s="956" t="s">
        <v>90</v>
      </c>
      <c r="E491" s="1012" t="s">
        <v>1915</v>
      </c>
      <c r="F491" s="1012"/>
      <c r="G491" s="1009" t="str">
        <f>+VLOOKUP(Data_Validation!$A491,BV_Data_An_Cour!$L:$Q,6,0)</f>
        <v>10-Compte compteur</v>
      </c>
      <c r="H491" s="165"/>
    </row>
    <row r="492" spans="1:29" ht="15" customHeight="1">
      <c r="A492" s="168" t="s">
        <v>2505</v>
      </c>
      <c r="B492" s="169" t="s">
        <v>2504</v>
      </c>
      <c r="C492" s="956" t="s">
        <v>75</v>
      </c>
      <c r="D492" s="956" t="s">
        <v>89</v>
      </c>
      <c r="E492" s="1012" t="s">
        <v>1915</v>
      </c>
      <c r="F492" s="1012"/>
      <c r="G492" s="1009" t="str">
        <f>+VLOOKUP(Data_Validation!$A492,BV_Data_An_Cour!$L:$Q,6,0)</f>
        <v>10-Compte compteur</v>
      </c>
      <c r="H492" s="165"/>
    </row>
    <row r="493" spans="1:29" ht="15" customHeight="1">
      <c r="A493" s="168" t="s">
        <v>2508</v>
      </c>
      <c r="B493" s="169" t="s">
        <v>2507</v>
      </c>
      <c r="C493" s="956" t="s">
        <v>75</v>
      </c>
      <c r="D493" s="956" t="s">
        <v>95</v>
      </c>
      <c r="E493" s="1012" t="s">
        <v>1915</v>
      </c>
      <c r="F493" s="1012"/>
      <c r="G493" s="1009" t="str">
        <f>+VLOOKUP(Data_Validation!$A493,BV_Data_An_Cour!$L:$Q,6,0)</f>
        <v>10-Compte compteur</v>
      </c>
      <c r="H493" s="165"/>
    </row>
    <row r="494" spans="1:29" ht="15" customHeight="1">
      <c r="A494" s="169" t="s">
        <v>2510</v>
      </c>
      <c r="B494" s="169" t="s">
        <v>2509</v>
      </c>
      <c r="C494" s="956" t="s">
        <v>75</v>
      </c>
      <c r="D494" s="956" t="s">
        <v>94</v>
      </c>
      <c r="E494" s="1012" t="s">
        <v>1915</v>
      </c>
      <c r="F494" s="1012"/>
      <c r="G494" s="1009" t="str">
        <f>+VLOOKUP(Data_Validation!$A494,BV_Data_An_Cour!$L:$Q,6,0)</f>
        <v>10-Compte compteur</v>
      </c>
      <c r="H494" s="165"/>
    </row>
    <row r="495" spans="1:29" ht="15" customHeight="1">
      <c r="A495" s="168" t="s">
        <v>2512</v>
      </c>
      <c r="B495" s="169" t="s">
        <v>2511</v>
      </c>
      <c r="C495" s="956" t="s">
        <v>144</v>
      </c>
      <c r="D495" s="956" t="s">
        <v>146</v>
      </c>
      <c r="E495" s="1012" t="s">
        <v>1915</v>
      </c>
      <c r="F495" s="1012"/>
      <c r="G495" s="1009" t="str">
        <f>+VLOOKUP(Data_Validation!$A495,BV_Data_An_Cour!$L:$Q,6,0)</f>
        <v>10-Compte compteur</v>
      </c>
      <c r="H495" s="165"/>
    </row>
    <row r="496" spans="1:29" ht="15" customHeight="1">
      <c r="A496" s="168" t="s">
        <v>2514</v>
      </c>
      <c r="B496" s="169" t="s">
        <v>2513</v>
      </c>
      <c r="C496" s="956" t="s">
        <v>144</v>
      </c>
      <c r="D496" s="956" t="s">
        <v>147</v>
      </c>
      <c r="E496" s="1012" t="s">
        <v>1915</v>
      </c>
      <c r="F496" s="1012"/>
      <c r="G496" s="1009" t="e">
        <f>+VLOOKUP(Data_Validation!$A496,BV_Data_An_Cour!$L:$Q,6,0)</f>
        <v>#N/A</v>
      </c>
      <c r="H496" s="165"/>
    </row>
    <row r="497" spans="1:8" ht="15" customHeight="1">
      <c r="A497" s="168" t="s">
        <v>2516</v>
      </c>
      <c r="B497" s="169" t="s">
        <v>2515</v>
      </c>
      <c r="C497" s="956" t="s">
        <v>144</v>
      </c>
      <c r="D497" s="956" t="s">
        <v>147</v>
      </c>
      <c r="E497" s="1012" t="s">
        <v>1915</v>
      </c>
      <c r="F497" s="1012"/>
      <c r="G497" s="1009" t="str">
        <f>+VLOOKUP(Data_Validation!$A497,BV_Data_An_Cour!$L:$Q,6,0)</f>
        <v>10-Compte compteur</v>
      </c>
      <c r="H497" s="165"/>
    </row>
    <row r="498" spans="1:8" ht="15" customHeight="1">
      <c r="A498" s="168" t="s">
        <v>2518</v>
      </c>
      <c r="B498" s="169" t="s">
        <v>2517</v>
      </c>
      <c r="C498" s="956" t="s">
        <v>144</v>
      </c>
      <c r="D498" s="956" t="s">
        <v>150</v>
      </c>
      <c r="E498" s="1012" t="s">
        <v>1915</v>
      </c>
      <c r="F498" s="1012"/>
      <c r="G498" s="1009" t="str">
        <f>+VLOOKUP(Data_Validation!$A498,BV_Data_An_Cour!$L:$Q,6,0)</f>
        <v>10-Compte compteur</v>
      </c>
      <c r="H498" s="165"/>
    </row>
    <row r="499" spans="1:8" ht="15" customHeight="1">
      <c r="A499" s="168" t="s">
        <v>2519</v>
      </c>
      <c r="B499" s="169" t="s">
        <v>2011</v>
      </c>
      <c r="C499" s="956" t="s">
        <v>155</v>
      </c>
      <c r="D499" s="956" t="s">
        <v>159</v>
      </c>
      <c r="E499" s="1012" t="s">
        <v>1915</v>
      </c>
      <c r="F499" s="1012"/>
      <c r="G499" s="1009" t="str">
        <f>+VLOOKUP(Data_Validation!$A499,BV_Data_An_Cour!$L:$Q,6,0)</f>
        <v>10-Compte compteur</v>
      </c>
      <c r="H499" s="165"/>
    </row>
    <row r="500" spans="1:8" ht="15" customHeight="1">
      <c r="A500" s="168" t="s">
        <v>2521</v>
      </c>
      <c r="B500" s="169" t="s">
        <v>2520</v>
      </c>
      <c r="C500" s="956" t="s">
        <v>155</v>
      </c>
      <c r="D500" s="956" t="s">
        <v>163</v>
      </c>
      <c r="E500" s="1012" t="s">
        <v>1915</v>
      </c>
      <c r="F500" s="1012"/>
      <c r="G500" s="1009" t="e">
        <f>+VLOOKUP(Data_Validation!$A500,BV_Data_An_Cour!$L:$Q,6,0)</f>
        <v>#N/A</v>
      </c>
      <c r="H500" s="165"/>
    </row>
    <row r="501" spans="1:8" ht="15" customHeight="1">
      <c r="A501" s="168" t="s">
        <v>2522</v>
      </c>
      <c r="B501" s="169" t="s">
        <v>2041</v>
      </c>
      <c r="C501" s="956" t="s">
        <v>155</v>
      </c>
      <c r="D501" s="956" t="s">
        <v>161</v>
      </c>
      <c r="E501" s="1012" t="s">
        <v>1915</v>
      </c>
      <c r="F501" s="1012"/>
      <c r="G501" s="1009" t="str">
        <f>+VLOOKUP(Data_Validation!$A501,BV_Data_An_Cour!$L:$Q,6,0)</f>
        <v>10-Compte compteur</v>
      </c>
      <c r="H501" s="165"/>
    </row>
    <row r="502" spans="1:8" ht="15" customHeight="1">
      <c r="A502" s="168" t="s">
        <v>2523</v>
      </c>
      <c r="B502" s="169" t="s">
        <v>2051</v>
      </c>
      <c r="C502" s="956" t="s">
        <v>155</v>
      </c>
      <c r="D502" s="956" t="s">
        <v>162</v>
      </c>
      <c r="E502" s="1012" t="s">
        <v>1915</v>
      </c>
      <c r="F502" s="1012"/>
      <c r="G502" s="1009" t="str">
        <f>+VLOOKUP(Data_Validation!$A502,BV_Data_An_Cour!$L:$Q,6,0)</f>
        <v>10-Compte compteur</v>
      </c>
      <c r="H502" s="165"/>
    </row>
    <row r="503" spans="1:8" ht="15" customHeight="1">
      <c r="A503" s="1018" t="s">
        <v>2525</v>
      </c>
      <c r="B503" s="1019" t="s">
        <v>2524</v>
      </c>
      <c r="C503" s="956" t="s">
        <v>155</v>
      </c>
      <c r="D503" s="956" t="s">
        <v>159</v>
      </c>
      <c r="E503" s="1012" t="s">
        <v>1915</v>
      </c>
      <c r="F503" s="1012"/>
      <c r="G503" s="1009" t="e">
        <f>+VLOOKUP(Data_Validation!$A503,BV_Data_An_Cour!$L:$Q,6,0)</f>
        <v>#N/A</v>
      </c>
      <c r="H503" s="165"/>
    </row>
    <row r="504" spans="1:8" ht="15" customHeight="1">
      <c r="A504" s="168" t="s">
        <v>2526</v>
      </c>
      <c r="B504" s="169" t="s">
        <v>2071</v>
      </c>
      <c r="C504" s="956" t="s">
        <v>175</v>
      </c>
      <c r="D504" s="956" t="s">
        <v>187</v>
      </c>
      <c r="E504" s="1012" t="s">
        <v>1915</v>
      </c>
      <c r="F504" s="1012"/>
      <c r="G504" s="1009" t="str">
        <f>+VLOOKUP(Data_Validation!$A504,BV_Data_An_Cour!$L:$Q,6,0)</f>
        <v>10-Compte compteur</v>
      </c>
      <c r="H504" s="165"/>
    </row>
    <row r="505" spans="1:8" ht="15" customHeight="1">
      <c r="A505" s="168" t="s">
        <v>2527</v>
      </c>
      <c r="B505" s="169" t="s">
        <v>2144</v>
      </c>
      <c r="C505" s="956" t="s">
        <v>155</v>
      </c>
      <c r="D505" s="956" t="s">
        <v>167</v>
      </c>
      <c r="E505" s="1012" t="s">
        <v>1915</v>
      </c>
      <c r="F505" s="1012"/>
      <c r="G505" s="1009" t="str">
        <f>+VLOOKUP(Data_Validation!$A505,BV_Data_An_Cour!$L:$Q,6,0)</f>
        <v>10-Compte compteur</v>
      </c>
      <c r="H505" s="165"/>
    </row>
    <row r="506" spans="1:8" ht="15" customHeight="1">
      <c r="A506" s="168" t="s">
        <v>2529</v>
      </c>
      <c r="B506" s="169" t="s">
        <v>2528</v>
      </c>
      <c r="C506" s="956" t="s">
        <v>155</v>
      </c>
      <c r="D506" s="956" t="s">
        <v>167</v>
      </c>
      <c r="E506" s="1012" t="s">
        <v>1915</v>
      </c>
      <c r="F506" s="1012"/>
      <c r="G506" s="1009" t="str">
        <f>+VLOOKUP(Data_Validation!$A506,BV_Data_An_Cour!$L:$Q,6,0)</f>
        <v>10-Compte compteur</v>
      </c>
      <c r="H506" s="165"/>
    </row>
    <row r="507" spans="1:8" ht="15" customHeight="1">
      <c r="A507" s="168" t="s">
        <v>2531</v>
      </c>
      <c r="B507" s="169" t="s">
        <v>2530</v>
      </c>
      <c r="C507" s="956" t="s">
        <v>155</v>
      </c>
      <c r="D507" s="956" t="s">
        <v>167</v>
      </c>
      <c r="E507" s="1012" t="s">
        <v>1915</v>
      </c>
      <c r="F507" s="1012"/>
      <c r="G507" s="1009" t="str">
        <f>+VLOOKUP(Data_Validation!$A507,BV_Data_An_Cour!$L:$Q,6,0)</f>
        <v>10-Compte compteur</v>
      </c>
      <c r="H507" s="165"/>
    </row>
    <row r="508" spans="1:8" ht="15" customHeight="1">
      <c r="A508" s="1018" t="s">
        <v>2533</v>
      </c>
      <c r="B508" s="1027" t="s">
        <v>2532</v>
      </c>
      <c r="C508" s="1023" t="s">
        <v>171</v>
      </c>
      <c r="D508" s="956" t="s">
        <v>172</v>
      </c>
      <c r="E508" s="1012" t="s">
        <v>1915</v>
      </c>
      <c r="F508" s="1012"/>
      <c r="G508" s="1009" t="str">
        <f>+VLOOKUP(Data_Validation!$A508,BV_Data_An_Cour!$L:$Q,6,0)</f>
        <v>10-Compte compteur</v>
      </c>
      <c r="H508" s="165"/>
    </row>
    <row r="509" spans="1:8" ht="15" customHeight="1">
      <c r="A509" s="168" t="s">
        <v>2535</v>
      </c>
      <c r="B509" s="169" t="s">
        <v>2534</v>
      </c>
      <c r="C509" s="956" t="s">
        <v>171</v>
      </c>
      <c r="D509" s="956" t="s">
        <v>172</v>
      </c>
      <c r="E509" s="1012" t="s">
        <v>1915</v>
      </c>
      <c r="F509" s="1012"/>
      <c r="G509" s="1009" t="str">
        <f>+VLOOKUP(Data_Validation!$A509,BV_Data_An_Cour!$L:$Q,6,0)</f>
        <v>10-Compte compteur</v>
      </c>
      <c r="H509" s="165"/>
    </row>
    <row r="510" spans="1:8" ht="15" customHeight="1">
      <c r="A510" s="1019" t="s">
        <v>2537</v>
      </c>
      <c r="B510" s="1028" t="s">
        <v>2536</v>
      </c>
      <c r="C510" s="956" t="s">
        <v>171</v>
      </c>
      <c r="D510" s="956" t="s">
        <v>172</v>
      </c>
      <c r="E510" s="1012" t="s">
        <v>1915</v>
      </c>
      <c r="F510" s="1012"/>
      <c r="G510" s="1009" t="str">
        <f>+VLOOKUP(Data_Validation!$A510,BV_Data_An_Cour!$L:$Q,6,0)</f>
        <v>10-Compte compteur</v>
      </c>
      <c r="H510" s="165"/>
    </row>
    <row r="511" spans="1:8" ht="15" customHeight="1">
      <c r="A511" s="1018" t="s">
        <v>2539</v>
      </c>
      <c r="B511" s="1027" t="s">
        <v>2538</v>
      </c>
      <c r="C511" s="1023" t="s">
        <v>175</v>
      </c>
      <c r="D511" s="956" t="s">
        <v>177</v>
      </c>
      <c r="E511" s="1012" t="s">
        <v>1915</v>
      </c>
      <c r="F511" s="1012"/>
      <c r="G511" s="1009" t="str">
        <f>+VLOOKUP(Data_Validation!$A511,BV_Data_An_Cour!$L:$Q,6,0)</f>
        <v>10-Compte compteur</v>
      </c>
      <c r="H511" s="165"/>
    </row>
    <row r="512" spans="1:8" ht="15" customHeight="1">
      <c r="A512" s="168" t="s">
        <v>2541</v>
      </c>
      <c r="B512" s="1027" t="s">
        <v>2540</v>
      </c>
      <c r="C512" s="1023" t="s">
        <v>175</v>
      </c>
      <c r="D512" s="956" t="s">
        <v>179</v>
      </c>
      <c r="E512" s="1012" t="s">
        <v>1915</v>
      </c>
      <c r="F512" s="1010"/>
      <c r="G512" s="1009" t="str">
        <f>+VLOOKUP(Data_Validation!$A512,BV_Data_An_Cour!$L:$Q,6,0)</f>
        <v>10-Compte compteur</v>
      </c>
      <c r="H512" s="165"/>
    </row>
    <row r="513" spans="1:11" ht="15" customHeight="1">
      <c r="A513" s="168" t="s">
        <v>2543</v>
      </c>
      <c r="B513" s="169" t="s">
        <v>2542</v>
      </c>
      <c r="C513" s="956" t="s">
        <v>175</v>
      </c>
      <c r="D513" s="956" t="s">
        <v>180</v>
      </c>
      <c r="E513" s="1012" t="s">
        <v>1915</v>
      </c>
      <c r="F513" s="1010"/>
      <c r="G513" s="1009" t="str">
        <f>+VLOOKUP(Data_Validation!$A513,BV_Data_An_Cour!$L:$Q,6,0)</f>
        <v>10-Compte compteur</v>
      </c>
      <c r="H513" s="165"/>
    </row>
    <row r="514" spans="1:11" ht="15" customHeight="1">
      <c r="A514" s="169" t="s">
        <v>2545</v>
      </c>
      <c r="B514" s="169" t="s">
        <v>2544</v>
      </c>
      <c r="C514" s="956" t="s">
        <v>175</v>
      </c>
      <c r="D514" s="956" t="s">
        <v>177</v>
      </c>
      <c r="E514" s="1012" t="s">
        <v>1915</v>
      </c>
      <c r="F514" s="1010"/>
      <c r="G514" s="1009" t="str">
        <f>+VLOOKUP(Data_Validation!$A514,BV_Data_An_Cour!$L:$Q,6,0)</f>
        <v>10-Compte compteur</v>
      </c>
      <c r="H514" s="165"/>
    </row>
    <row r="515" spans="1:11" ht="15" customHeight="1">
      <c r="A515" s="168" t="s">
        <v>2547</v>
      </c>
      <c r="B515" s="169" t="s">
        <v>2546</v>
      </c>
      <c r="C515" s="956" t="s">
        <v>175</v>
      </c>
      <c r="D515" s="956" t="s">
        <v>177</v>
      </c>
      <c r="E515" s="1012" t="s">
        <v>1915</v>
      </c>
      <c r="F515" s="1010"/>
      <c r="G515" s="1009" t="e">
        <f>+VLOOKUP(Data_Validation!$A515,BV_Data_An_Cour!$L:$Q,6,0)</f>
        <v>#N/A</v>
      </c>
      <c r="H515" s="165"/>
    </row>
    <row r="516" spans="1:11" ht="15" customHeight="1">
      <c r="A516" s="168" t="s">
        <v>2549</v>
      </c>
      <c r="B516" s="169" t="s">
        <v>2548</v>
      </c>
      <c r="C516" s="956" t="s">
        <v>175</v>
      </c>
      <c r="D516" s="956" t="s">
        <v>178</v>
      </c>
      <c r="E516" s="1012" t="s">
        <v>1915</v>
      </c>
      <c r="F516" s="1010"/>
      <c r="G516" s="1009" t="str">
        <f>+VLOOKUP(Data_Validation!$A516,BV_Data_An_Cour!$L:$Q,6,0)</f>
        <v>10-Compte compteur</v>
      </c>
      <c r="H516" s="165"/>
      <c r="K516" s="2"/>
    </row>
    <row r="517" spans="1:11" ht="15" customHeight="1">
      <c r="A517" s="954" t="s">
        <v>2551</v>
      </c>
      <c r="B517" s="959" t="s">
        <v>2550</v>
      </c>
      <c r="C517" s="956" t="s">
        <v>175</v>
      </c>
      <c r="D517" s="956" t="s">
        <v>178</v>
      </c>
      <c r="E517" s="1012" t="s">
        <v>1915</v>
      </c>
      <c r="F517" s="1010"/>
      <c r="G517" s="1009" t="str">
        <f>+VLOOKUP(Data_Validation!$A517,BV_Data_An_Cour!$L:$Q,6,0)</f>
        <v>10-Compte compteur</v>
      </c>
      <c r="H517" s="165"/>
    </row>
    <row r="518" spans="1:11" ht="15" customHeight="1">
      <c r="A518" s="954" t="s">
        <v>2553</v>
      </c>
      <c r="B518" s="959" t="s">
        <v>2552</v>
      </c>
      <c r="C518" s="956" t="s">
        <v>175</v>
      </c>
      <c r="D518" s="956" t="s">
        <v>178</v>
      </c>
      <c r="E518" s="1012" t="s">
        <v>1915</v>
      </c>
      <c r="F518" s="1010"/>
      <c r="G518" s="1009" t="str">
        <f>+VLOOKUP(Data_Validation!$A518,BV_Data_An_Cour!$L:$Q,6,0)</f>
        <v>10-Compte compteur</v>
      </c>
      <c r="H518" s="165"/>
    </row>
    <row r="519" spans="1:11" ht="15" customHeight="1">
      <c r="A519" s="954" t="s">
        <v>2555</v>
      </c>
      <c r="B519" s="959" t="s">
        <v>2554</v>
      </c>
      <c r="C519" s="956" t="s">
        <v>175</v>
      </c>
      <c r="D519" s="956" t="s">
        <v>181</v>
      </c>
      <c r="E519" s="1012" t="s">
        <v>1915</v>
      </c>
      <c r="F519" s="1010"/>
      <c r="G519" s="1009" t="str">
        <f>+VLOOKUP(Data_Validation!$A519,BV_Data_An_Cour!$L:$Q,6,0)</f>
        <v>10-Compte compteur</v>
      </c>
      <c r="H519" s="165"/>
    </row>
    <row r="520" spans="1:11" ht="15" customHeight="1">
      <c r="A520" s="954" t="s">
        <v>2557</v>
      </c>
      <c r="B520" s="959" t="s">
        <v>2556</v>
      </c>
      <c r="C520" s="956" t="s">
        <v>175</v>
      </c>
      <c r="D520" s="956" t="s">
        <v>182</v>
      </c>
      <c r="E520" s="1012" t="s">
        <v>1915</v>
      </c>
      <c r="F520" s="1010"/>
      <c r="G520" s="1009" t="str">
        <f>+VLOOKUP(Data_Validation!$A520,BV_Data_An_Cour!$L:$Q,6,0)</f>
        <v>10-Compte compteur</v>
      </c>
      <c r="H520" s="165"/>
    </row>
    <row r="521" spans="1:11" ht="15" customHeight="1">
      <c r="A521" s="954" t="s">
        <v>2558</v>
      </c>
      <c r="B521" s="959" t="s">
        <v>2034</v>
      </c>
      <c r="C521" s="956" t="s">
        <v>175</v>
      </c>
      <c r="D521" s="956" t="s">
        <v>186</v>
      </c>
      <c r="E521" s="1012" t="s">
        <v>1915</v>
      </c>
      <c r="F521" s="1010"/>
      <c r="G521" s="1009" t="str">
        <f>+VLOOKUP(Data_Validation!$A521,BV_Data_An_Cour!$L:$Q,6,0)</f>
        <v>10-Compte compteur</v>
      </c>
      <c r="H521" s="165"/>
    </row>
    <row r="522" spans="1:11" ht="15" customHeight="1">
      <c r="A522" s="1020" t="s">
        <v>2909</v>
      </c>
      <c r="B522" s="1014" t="s">
        <v>2908</v>
      </c>
      <c r="C522" s="956" t="s">
        <v>75</v>
      </c>
      <c r="D522" s="956" t="s">
        <v>90</v>
      </c>
      <c r="E522" s="1009" t="s">
        <v>1917</v>
      </c>
      <c r="F522" s="1010" t="s">
        <v>2858</v>
      </c>
      <c r="G522" s="1009" t="str">
        <f>+VLOOKUP(Data_Validation!$A522,BV_Data_An_Cour!$L:$Q,6,0)</f>
        <v>5-Ventes</v>
      </c>
      <c r="H522" s="165"/>
    </row>
    <row r="523" spans="1:11" ht="15" customHeight="1">
      <c r="A523" s="1020" t="s">
        <v>2911</v>
      </c>
      <c r="B523" s="1014" t="s">
        <v>2910</v>
      </c>
      <c r="C523" s="956" t="s">
        <v>75</v>
      </c>
      <c r="D523" s="956" t="s">
        <v>90</v>
      </c>
      <c r="E523" s="1012" t="s">
        <v>1915</v>
      </c>
      <c r="F523" s="1010"/>
      <c r="G523" s="1009" t="str">
        <f>+VLOOKUP(Data_Validation!$A523,BV_Data_An_Cour!$L:$Q,6,0)</f>
        <v>10-Compte compteur</v>
      </c>
      <c r="H523" s="165"/>
    </row>
    <row r="524" spans="1:11" ht="15" customHeight="1">
      <c r="A524" s="1020" t="s">
        <v>2913</v>
      </c>
      <c r="B524" s="1014" t="s">
        <v>2912</v>
      </c>
      <c r="C524" s="956" t="s">
        <v>75</v>
      </c>
      <c r="D524" s="956" t="s">
        <v>90</v>
      </c>
      <c r="E524" s="1009" t="s">
        <v>1917</v>
      </c>
      <c r="F524" s="1010"/>
      <c r="G524" s="1009" t="str">
        <f>+VLOOKUP(Data_Validation!$A524,BV_Data_An_Cour!$L:$Q,6,0)</f>
        <v>6-Coût des ventes</v>
      </c>
      <c r="H524" s="165"/>
    </row>
    <row r="525" spans="1:11" ht="15" customHeight="1">
      <c r="A525" s="951"/>
      <c r="B525" s="171"/>
      <c r="C525" s="956"/>
      <c r="D525" s="956"/>
      <c r="E525" s="1009"/>
      <c r="F525" s="1010"/>
      <c r="G525" s="1009">
        <f>+VLOOKUP(Data_Validation!$A525,BV_Data_An_Cour!$L:$Q,6,0)</f>
        <v>0</v>
      </c>
      <c r="H525" s="165"/>
    </row>
    <row r="526" spans="1:11" ht="15" customHeight="1">
      <c r="A526" s="951"/>
      <c r="B526" s="171"/>
      <c r="C526" s="956"/>
      <c r="D526" s="956"/>
      <c r="E526" s="1009"/>
      <c r="F526" s="1010"/>
      <c r="G526" s="1009">
        <f>+VLOOKUP(Data_Validation!$A526,BV_Data_An_Cour!$L:$Q,6,0)</f>
        <v>0</v>
      </c>
      <c r="H526" s="165"/>
    </row>
    <row r="527" spans="1:11" ht="15" customHeight="1">
      <c r="A527" s="951"/>
      <c r="B527" s="171"/>
      <c r="C527" s="956"/>
      <c r="D527" s="956"/>
      <c r="E527" s="1009"/>
      <c r="F527" s="1010"/>
      <c r="G527" s="1009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09"/>
      <c r="F528" s="1010"/>
      <c r="G528" s="1009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09"/>
      <c r="F529" s="1010"/>
      <c r="G529" s="1009">
        <f>+VLOOKUP(Data_Validation!$A529,BV_Data_An_Cour!$L:$Q,6,0)</f>
        <v>0</v>
      </c>
      <c r="H529" s="165"/>
      <c r="K529" s="2"/>
    </row>
    <row r="530" spans="1:11" ht="15" customHeight="1">
      <c r="A530" s="951"/>
      <c r="B530" s="171"/>
      <c r="C530" s="956"/>
      <c r="D530" s="956"/>
      <c r="E530" s="1009"/>
      <c r="F530" s="1010"/>
      <c r="G530" s="1009">
        <f>+VLOOKUP(Data_Validation!$A530,BV_Data_An_Cour!$L:$Q,6,0)</f>
        <v>0</v>
      </c>
      <c r="H530" s="165"/>
    </row>
    <row r="531" spans="1:11" ht="15" customHeight="1">
      <c r="A531" s="167"/>
      <c r="B531" s="171"/>
      <c r="C531" s="956"/>
      <c r="D531" s="956"/>
      <c r="E531" s="1009"/>
      <c r="F531" s="1010"/>
      <c r="G531" s="1009">
        <f>+VLOOKUP(Data_Validation!$A531,BV_Data_An_Cour!$L:$Q,6,0)</f>
        <v>0</v>
      </c>
      <c r="H531" s="165"/>
    </row>
    <row r="532" spans="1:11" ht="15" customHeight="1">
      <c r="A532" s="951"/>
      <c r="B532" s="171"/>
      <c r="C532" s="956"/>
      <c r="D532" s="956"/>
      <c r="E532" s="1009"/>
      <c r="F532" s="1010"/>
      <c r="G532" s="1009">
        <f>+VLOOKUP(Data_Validation!$A532,BV_Data_An_Cour!$L:$Q,6,0)</f>
        <v>0</v>
      </c>
      <c r="H532" s="165"/>
    </row>
    <row r="533" spans="1:11" ht="15" customHeight="1">
      <c r="A533" s="171"/>
      <c r="B533" s="171"/>
      <c r="C533" s="956"/>
      <c r="D533" s="956"/>
      <c r="E533" s="1009"/>
      <c r="F533" s="1010"/>
      <c r="G533" s="1009">
        <f>+VLOOKUP(Data_Validation!$A533,BV_Data_An_Cour!$L:$Q,6,0)</f>
        <v>0</v>
      </c>
      <c r="H533" s="165"/>
    </row>
    <row r="534" spans="1:11" ht="15" customHeight="1">
      <c r="A534" s="167"/>
      <c r="B534" s="166"/>
      <c r="C534" s="956"/>
      <c r="D534" s="956"/>
      <c r="E534" s="1009"/>
      <c r="F534" s="1010"/>
      <c r="G534" s="1009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09"/>
      <c r="F535" s="1010"/>
      <c r="G535" s="1009">
        <f>+VLOOKUP(Data_Validation!$A535,BV_Data_An_Cour!$L:$Q,6,0)</f>
        <v>0</v>
      </c>
      <c r="H535" s="165"/>
    </row>
    <row r="536" spans="1:11" ht="15" customHeight="1">
      <c r="A536" s="171"/>
      <c r="B536" s="171"/>
      <c r="C536" s="956"/>
      <c r="D536" s="956"/>
      <c r="E536" s="1009"/>
      <c r="F536" s="1010"/>
      <c r="G536" s="1009">
        <f>+VLOOKUP(Data_Validation!$A536,BV_Data_An_Cour!$L:$Q,6,0)</f>
        <v>0</v>
      </c>
      <c r="H536" s="165"/>
    </row>
    <row r="537" spans="1:11" ht="15" customHeight="1">
      <c r="A537" s="951"/>
      <c r="B537" s="171"/>
      <c r="C537" s="956"/>
      <c r="D537" s="956"/>
      <c r="E537" s="1009"/>
      <c r="F537" s="1010"/>
      <c r="G537" s="1009">
        <f>+VLOOKUP(Data_Validation!$A537,BV_Data_An_Cour!$L:$Q,6,0)</f>
        <v>0</v>
      </c>
      <c r="H537" s="165"/>
    </row>
    <row r="538" spans="1:11" ht="15" customHeight="1">
      <c r="A538" s="167"/>
      <c r="B538" s="166"/>
      <c r="C538" s="956"/>
      <c r="D538" s="956"/>
      <c r="E538" s="1009"/>
      <c r="F538" s="1010"/>
      <c r="G538" s="1009">
        <f>+VLOOKUP(Data_Validation!$A538,BV_Data_An_Cour!$L:$Q,6,0)</f>
        <v>0</v>
      </c>
      <c r="H538" s="165"/>
    </row>
    <row r="539" spans="1:11" ht="15" customHeight="1">
      <c r="A539" s="168"/>
      <c r="B539" s="169"/>
      <c r="C539" s="956"/>
      <c r="D539" s="956"/>
      <c r="E539" s="1009"/>
      <c r="F539" s="1010"/>
      <c r="G539" s="1009">
        <f>+VLOOKUP(Data_Validation!$A539,BV_Data_An_Cour!$L:$Q,6,0)</f>
        <v>0</v>
      </c>
      <c r="H539" s="165"/>
    </row>
    <row r="540" spans="1:11" ht="15" customHeight="1">
      <c r="A540" s="168"/>
      <c r="B540" s="169"/>
      <c r="C540" s="956"/>
      <c r="D540" s="956"/>
      <c r="E540" s="1009"/>
      <c r="F540" s="1010"/>
      <c r="G540" s="1009">
        <f>+VLOOKUP(Data_Validation!$A540,BV_Data_An_Cour!$L:$Q,6,0)</f>
        <v>0</v>
      </c>
      <c r="H540" s="165"/>
    </row>
    <row r="541" spans="1:11" ht="15" customHeight="1">
      <c r="A541" s="167"/>
      <c r="B541" s="171"/>
      <c r="C541" s="956"/>
      <c r="D541" s="956"/>
      <c r="E541" s="1009"/>
      <c r="F541" s="1010"/>
      <c r="G541" s="1009">
        <f>+VLOOKUP(Data_Validation!$A541,BV_Data_An_Cour!$L:$Q,6,0)</f>
        <v>0</v>
      </c>
      <c r="H541" s="165"/>
    </row>
    <row r="542" spans="1:11" ht="15" customHeight="1">
      <c r="A542" s="951"/>
      <c r="B542" s="171"/>
      <c r="C542" s="956"/>
      <c r="D542" s="956"/>
      <c r="E542" s="1009"/>
      <c r="F542" s="1010"/>
      <c r="G542" s="1009">
        <f>+VLOOKUP(Data_Validation!$A542,BV_Data_An_Cour!$L:$Q,6,0)</f>
        <v>0</v>
      </c>
      <c r="H542" s="165"/>
    </row>
    <row r="543" spans="1:11" ht="15" customHeight="1">
      <c r="A543" s="951"/>
      <c r="B543" s="171"/>
      <c r="C543" s="956"/>
      <c r="D543" s="956"/>
      <c r="E543" s="1009"/>
      <c r="F543" s="1010"/>
      <c r="G543" s="1009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09"/>
      <c r="F544" s="1010"/>
      <c r="G544" s="1009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09"/>
      <c r="F545" s="1010"/>
      <c r="G545" s="1009">
        <f>+VLOOKUP(Data_Validation!$A545,BV_Data_An_Cour!$L:$Q,6,0)</f>
        <v>0</v>
      </c>
      <c r="H545" s="165"/>
    </row>
    <row r="546" spans="1:8" ht="15" customHeight="1">
      <c r="A546" s="167"/>
      <c r="B546" s="166"/>
      <c r="C546" s="956"/>
      <c r="D546" s="956"/>
      <c r="E546" s="1009"/>
      <c r="F546" s="1010"/>
      <c r="G546" s="1009">
        <f>+VLOOKUP(Data_Validation!$A546,BV_Data_An_Cour!$L:$Q,6,0)</f>
        <v>0</v>
      </c>
      <c r="H546" s="165"/>
    </row>
    <row r="547" spans="1:8" ht="15" customHeight="1">
      <c r="A547" s="167"/>
      <c r="B547" s="166"/>
      <c r="C547" s="956"/>
      <c r="D547" s="956"/>
      <c r="E547" s="1009"/>
      <c r="F547" s="1010"/>
      <c r="G547" s="1009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09"/>
      <c r="F548" s="1010"/>
      <c r="G548" s="1009">
        <f>+VLOOKUP(Data_Validation!$A548,BV_Data_An_Cour!$L:$Q,6,0)</f>
        <v>0</v>
      </c>
      <c r="H548" s="165"/>
    </row>
    <row r="549" spans="1:8" ht="15" customHeight="1">
      <c r="A549" s="1029"/>
      <c r="B549" s="1030"/>
      <c r="C549" s="956"/>
      <c r="D549" s="956"/>
      <c r="E549" s="1009"/>
      <c r="F549" s="1010"/>
      <c r="G549" s="1009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09"/>
      <c r="F550" s="1010"/>
      <c r="G550" s="1009">
        <f>+VLOOKUP(Data_Validation!$A550,BV_Data_An_Cour!$L:$Q,6,0)</f>
        <v>0</v>
      </c>
      <c r="H550" s="165"/>
    </row>
    <row r="551" spans="1:8" ht="15" customHeight="1">
      <c r="A551" s="167"/>
      <c r="B551" s="166"/>
      <c r="C551" s="956"/>
      <c r="D551" s="956"/>
      <c r="E551" s="1009"/>
      <c r="F551" s="1010"/>
      <c r="G551" s="1009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09"/>
      <c r="F552" s="1010"/>
      <c r="G552" s="1009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09"/>
      <c r="F553" s="1010"/>
      <c r="G553" s="1009">
        <f>+VLOOKUP(Data_Validation!$A553,BV_Data_An_Cour!$L:$Q,6,0)</f>
        <v>0</v>
      </c>
      <c r="H553" s="165"/>
    </row>
    <row r="554" spans="1:8" ht="15" customHeight="1">
      <c r="A554" s="166"/>
      <c r="B554" s="166"/>
      <c r="C554" s="956"/>
      <c r="D554" s="956"/>
      <c r="E554" s="1009"/>
      <c r="F554" s="1010"/>
      <c r="G554" s="1009">
        <f>+VLOOKUP(Data_Validation!$A554,BV_Data_An_Cour!$L:$Q,6,0)</f>
        <v>0</v>
      </c>
      <c r="H554" s="165"/>
    </row>
    <row r="555" spans="1:8" ht="15" customHeight="1">
      <c r="A555" s="166"/>
      <c r="B555" s="166"/>
      <c r="C555" s="956"/>
      <c r="D555" s="956"/>
      <c r="E555" s="1009"/>
      <c r="F555" s="1010"/>
      <c r="G555" s="1009">
        <f>+VLOOKUP(Data_Validation!$A555,BV_Data_An_Cour!$L:$Q,6,0)</f>
        <v>0</v>
      </c>
      <c r="H555" s="165"/>
    </row>
    <row r="556" spans="1:8" ht="15" customHeight="1">
      <c r="A556" s="167"/>
      <c r="B556" s="166"/>
      <c r="C556" s="956"/>
      <c r="D556" s="956"/>
      <c r="E556" s="1009"/>
      <c r="F556" s="1010"/>
      <c r="G556" s="1009">
        <f>+VLOOKUP(Data_Validation!$A556,BV_Data_An_Cour!$L:$Q,6,0)</f>
        <v>0</v>
      </c>
      <c r="H556" s="165"/>
    </row>
    <row r="557" spans="1:8" ht="15" customHeight="1">
      <c r="A557" s="167"/>
      <c r="B557" s="166"/>
      <c r="C557" s="956"/>
      <c r="D557" s="956"/>
      <c r="E557" s="1009"/>
      <c r="F557" s="1010"/>
      <c r="G557" s="1009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09"/>
      <c r="F558" s="1010"/>
      <c r="G558" s="1009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09"/>
      <c r="F559" s="1010"/>
      <c r="G559" s="1009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09"/>
      <c r="F560" s="1010"/>
      <c r="G560" s="1009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09"/>
      <c r="F561" s="1010"/>
      <c r="G561" s="1009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09"/>
      <c r="F562" s="1010"/>
      <c r="G562" s="1009">
        <f>+VLOOKUP(Data_Validation!$A562,BV_Data_An_Cour!$L:$Q,6,0)</f>
        <v>0</v>
      </c>
      <c r="H562" s="165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7"/>
      <c r="B563" s="166"/>
      <c r="C563" s="956"/>
      <c r="D563" s="956"/>
      <c r="E563" s="1009"/>
      <c r="F563" s="1010"/>
      <c r="G563" s="1009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09"/>
      <c r="F564" s="1010"/>
      <c r="G564" s="1009">
        <f>+VLOOKUP(Data_Validation!$A564,BV_Data_An_Cour!$L:$Q,6,0)</f>
        <v>0</v>
      </c>
      <c r="H564" s="165"/>
    </row>
    <row r="565" spans="1:29" ht="15" customHeight="1">
      <c r="A565" s="167"/>
      <c r="B565" s="166"/>
      <c r="C565" s="956"/>
      <c r="D565" s="956"/>
      <c r="E565" s="1009"/>
      <c r="F565" s="1010"/>
      <c r="G565" s="1009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09"/>
      <c r="F566" s="1010"/>
      <c r="G566" s="1009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09"/>
      <c r="F567" s="1010"/>
      <c r="G567" s="1009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09"/>
      <c r="F568" s="1010"/>
      <c r="G568" s="1009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09"/>
      <c r="F569" s="1010"/>
      <c r="G569" s="1009">
        <f>+VLOOKUP(Data_Validation!$A569,BV_Data_An_Cour!$L:$Q,6,0)</f>
        <v>0</v>
      </c>
      <c r="H569" s="165"/>
      <c r="K569" s="2"/>
    </row>
    <row r="570" spans="1:29" ht="15" customHeight="1">
      <c r="A570" s="167"/>
      <c r="B570" s="166"/>
      <c r="C570" s="956"/>
      <c r="D570" s="956"/>
      <c r="E570" s="1009"/>
      <c r="F570" s="1010"/>
      <c r="G570" s="1009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09"/>
      <c r="F571" s="1010"/>
      <c r="G571" s="1009">
        <f>+VLOOKUP(Data_Validation!$A571,BV_Data_An_Cour!$L:$Q,6,0)</f>
        <v>0</v>
      </c>
      <c r="H571" s="165"/>
    </row>
    <row r="572" spans="1:29" ht="15" customHeight="1">
      <c r="A572" s="167"/>
      <c r="B572" s="166"/>
      <c r="C572" s="956"/>
      <c r="D572" s="956"/>
      <c r="E572" s="1009"/>
      <c r="F572" s="1010"/>
      <c r="G572" s="1009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09"/>
      <c r="F573" s="1010"/>
      <c r="G573" s="1009">
        <f>+VLOOKUP(Data_Validation!$A573,BV_Data_An_Cour!$L:$Q,6,0)</f>
        <v>0</v>
      </c>
      <c r="H573" s="165"/>
    </row>
    <row r="574" spans="1:29" ht="15" customHeight="1">
      <c r="A574" s="166"/>
      <c r="B574" s="166"/>
      <c r="C574" s="956"/>
      <c r="D574" s="956"/>
      <c r="E574" s="1009"/>
      <c r="F574" s="1010"/>
      <c r="G574" s="1009">
        <f>+VLOOKUP(Data_Validation!$A574,BV_Data_An_Cour!$L:$Q,6,0)</f>
        <v>0</v>
      </c>
      <c r="H574" s="165"/>
    </row>
    <row r="575" spans="1:29" ht="15" customHeight="1">
      <c r="A575" s="166"/>
      <c r="B575" s="166"/>
      <c r="C575" s="956"/>
      <c r="D575" s="956"/>
      <c r="E575" s="1009"/>
      <c r="F575" s="1010"/>
      <c r="G575" s="1009">
        <f>+VLOOKUP(Data_Validation!$A575,BV_Data_An_Cour!$L:$Q,6,0)</f>
        <v>0</v>
      </c>
      <c r="H575" s="165"/>
    </row>
    <row r="576" spans="1:29" ht="15" customHeight="1">
      <c r="A576" s="167"/>
      <c r="B576" s="166"/>
      <c r="C576" s="956"/>
      <c r="D576" s="956"/>
      <c r="E576" s="1009"/>
      <c r="F576" s="1010"/>
      <c r="G576" s="1009">
        <f>+VLOOKUP(Data_Validation!$A576,BV_Data_An_Cour!$L:$Q,6,0)</f>
        <v>0</v>
      </c>
      <c r="H576" s="165"/>
    </row>
    <row r="577" spans="1:8" ht="15" customHeight="1">
      <c r="A577" s="167"/>
      <c r="B577" s="166"/>
      <c r="C577" s="956"/>
      <c r="D577" s="956"/>
      <c r="E577" s="1009"/>
      <c r="F577" s="1010"/>
      <c r="G577" s="1009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09"/>
      <c r="F578" s="1010"/>
      <c r="G578" s="1009">
        <f>+VLOOKUP(Data_Validation!$A578,BV_Data_An_Cour!$L:$Q,6,0)</f>
        <v>0</v>
      </c>
      <c r="H578" s="165"/>
    </row>
    <row r="579" spans="1:8" ht="15" customHeight="1">
      <c r="A579" s="167"/>
      <c r="B579" s="1031"/>
      <c r="C579" s="1023"/>
      <c r="D579" s="956"/>
      <c r="E579" s="1009"/>
      <c r="F579" s="1010"/>
      <c r="G579" s="1009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09"/>
      <c r="F580" s="1010"/>
      <c r="G580" s="1009">
        <f>+VLOOKUP(Data_Validation!$A580,BV_Data_An_Cour!$L:$Q,6,0)</f>
        <v>0</v>
      </c>
      <c r="H580" s="165"/>
    </row>
    <row r="581" spans="1:8" ht="15" customHeight="1">
      <c r="A581" s="167"/>
      <c r="B581" s="166"/>
      <c r="C581" s="956"/>
      <c r="D581" s="956"/>
      <c r="E581" s="1009"/>
      <c r="F581" s="1010"/>
      <c r="G581" s="1009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09"/>
      <c r="F582" s="1010"/>
      <c r="G582" s="1009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09"/>
      <c r="F583" s="1010"/>
      <c r="G583" s="1009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09"/>
      <c r="F584" s="1010"/>
      <c r="G584" s="1009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09"/>
      <c r="F585" s="1010"/>
      <c r="G585" s="1009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09"/>
      <c r="F586" s="1010"/>
      <c r="G586" s="1009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09"/>
      <c r="F587" s="1010"/>
      <c r="G587" s="1009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09"/>
      <c r="F588" s="1010"/>
      <c r="G588" s="1009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09"/>
      <c r="F589" s="1010"/>
      <c r="G589" s="1009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09"/>
      <c r="F590" s="1010"/>
      <c r="G590" s="1009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09"/>
      <c r="F591" s="1010"/>
      <c r="G591" s="1009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09"/>
      <c r="F592" s="1010"/>
      <c r="G592" s="1009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09"/>
      <c r="F593" s="1010"/>
      <c r="G593" s="1009">
        <f>+VLOOKUP(Data_Validation!$A593,BV_Data_An_Cour!$L:$Q,6,0)</f>
        <v>0</v>
      </c>
      <c r="H593" s="165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7"/>
      <c r="B594" s="166"/>
      <c r="C594" s="956"/>
      <c r="D594" s="956"/>
      <c r="E594" s="1009"/>
      <c r="F594" s="1010"/>
      <c r="G594" s="1009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09"/>
      <c r="F595" s="1010"/>
      <c r="G595" s="1009">
        <f>+VLOOKUP(Data_Validation!$A595,BV_Data_An_Cour!$L:$Q,6,0)</f>
        <v>0</v>
      </c>
      <c r="H595" s="165"/>
    </row>
    <row r="596" spans="1:29" ht="15" customHeight="1">
      <c r="A596" s="167"/>
      <c r="B596" s="166"/>
      <c r="C596" s="956"/>
      <c r="D596" s="956"/>
      <c r="E596" s="1009"/>
      <c r="F596" s="1010"/>
      <c r="G596" s="1009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09"/>
      <c r="F597" s="1010"/>
      <c r="G597" s="1009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09"/>
      <c r="F598" s="1010"/>
      <c r="G598" s="1009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09"/>
      <c r="F599" s="1010"/>
      <c r="G599" s="1009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09"/>
      <c r="F600" s="1010"/>
      <c r="G600" s="1009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09"/>
      <c r="F601" s="1010"/>
      <c r="G601" s="1009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09"/>
      <c r="F602" s="1010"/>
      <c r="G602" s="1009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09"/>
      <c r="F603" s="1010"/>
      <c r="G603" s="1009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09"/>
      <c r="F604" s="1010"/>
      <c r="G604" s="1009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09"/>
      <c r="F605" s="1010"/>
      <c r="G605" s="1009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09"/>
      <c r="F606" s="1010"/>
      <c r="G606" s="1009">
        <f>+VLOOKUP(Data_Validation!$A606,BV_Data_An_Cour!$L:$Q,6,0)</f>
        <v>0</v>
      </c>
      <c r="H606" s="165"/>
    </row>
    <row r="607" spans="1:29" ht="15" customHeight="1">
      <c r="A607" s="167"/>
      <c r="B607" s="1030"/>
      <c r="C607" s="956"/>
      <c r="D607" s="956"/>
      <c r="E607" s="1009"/>
      <c r="F607" s="1010"/>
      <c r="G607" s="1009">
        <f>+VLOOKUP(Data_Validation!$A607,BV_Data_An_Cour!$L:$Q,6,0)</f>
        <v>0</v>
      </c>
      <c r="H607" s="165"/>
    </row>
    <row r="608" spans="1:29" ht="15" customHeight="1">
      <c r="A608" s="167"/>
      <c r="B608" s="1030"/>
      <c r="C608" s="956"/>
      <c r="D608" s="956"/>
      <c r="E608" s="1009"/>
      <c r="F608" s="1010"/>
      <c r="G608" s="1009">
        <f>+VLOOKUP(Data_Validation!$A608,BV_Data_An_Cour!$L:$Q,6,0)</f>
        <v>0</v>
      </c>
      <c r="H608" s="165"/>
    </row>
    <row r="609" spans="1:8" ht="15" customHeight="1">
      <c r="A609" s="167"/>
      <c r="B609" s="166"/>
      <c r="C609" s="956"/>
      <c r="D609" s="956"/>
      <c r="E609" s="1009"/>
      <c r="F609" s="1010"/>
      <c r="G609" s="1009">
        <f>+VLOOKUP(Data_Validation!$A609,BV_Data_An_Cour!$L:$Q,6,0)</f>
        <v>0</v>
      </c>
      <c r="H609" s="165"/>
    </row>
    <row r="610" spans="1:8" ht="15" customHeight="1">
      <c r="A610" s="167"/>
      <c r="B610" s="166"/>
      <c r="C610" s="956"/>
      <c r="D610" s="956"/>
      <c r="E610" s="1009"/>
      <c r="F610" s="1010"/>
      <c r="G610" s="1009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09"/>
      <c r="F611" s="1010"/>
      <c r="G611" s="1009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09"/>
      <c r="F612" s="1010"/>
      <c r="G612" s="1009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09"/>
      <c r="F613" s="1010"/>
      <c r="G613" s="1009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09"/>
      <c r="F614" s="1010"/>
      <c r="G614" s="1009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09"/>
      <c r="F615" s="1010"/>
      <c r="G615" s="1009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09"/>
      <c r="F616" s="1010"/>
      <c r="G616" s="1009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09"/>
      <c r="F617" s="1010"/>
      <c r="G617" s="1009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09"/>
      <c r="F618" s="1010"/>
      <c r="G618" s="1009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09"/>
      <c r="F619" s="1010"/>
      <c r="G619" s="1009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09"/>
      <c r="F620" s="1010"/>
      <c r="G620" s="1009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09"/>
      <c r="F621" s="1010"/>
      <c r="G621" s="1009">
        <f>+VLOOKUP(Data_Validation!$A621,BV_Data_An_Cour!$L:$Q,6,0)</f>
        <v>0</v>
      </c>
      <c r="H621" s="165"/>
    </row>
    <row r="622" spans="1:8" ht="15" customHeight="1">
      <c r="A622" s="168"/>
      <c r="B622" s="169"/>
      <c r="C622" s="956"/>
      <c r="D622" s="956"/>
      <c r="E622" s="1009"/>
      <c r="F622" s="1010"/>
      <c r="G622" s="1009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09"/>
      <c r="F623" s="1010"/>
      <c r="G623" s="1009">
        <f>+VLOOKUP(Data_Validation!$A623,BV_Data_An_Cour!$L:$Q,6,0)</f>
        <v>0</v>
      </c>
      <c r="H623" s="165"/>
    </row>
    <row r="624" spans="1:8" ht="15" customHeight="1">
      <c r="A624" s="169"/>
      <c r="B624" s="169"/>
      <c r="C624" s="956"/>
      <c r="D624" s="956"/>
      <c r="E624" s="1009"/>
      <c r="F624" s="1010"/>
      <c r="G624" s="1009">
        <f>+VLOOKUP(Data_Validation!$A624,BV_Data_An_Cour!$L:$Q,6,0)</f>
        <v>0</v>
      </c>
      <c r="H624" s="165"/>
    </row>
    <row r="625" spans="1:29" ht="15" customHeight="1">
      <c r="A625" s="166"/>
      <c r="B625" s="166"/>
      <c r="C625" s="956"/>
      <c r="D625" s="956"/>
      <c r="E625" s="1009"/>
      <c r="F625" s="1010"/>
      <c r="G625" s="1009">
        <f>+VLOOKUP(Data_Validation!$A625,BV_Data_An_Cour!$L:$Q,6,0)</f>
        <v>0</v>
      </c>
      <c r="H625" s="165"/>
    </row>
    <row r="626" spans="1:29" ht="15" customHeight="1">
      <c r="A626" s="168"/>
      <c r="B626" s="169"/>
      <c r="C626" s="956"/>
      <c r="D626" s="956"/>
      <c r="E626" s="1009"/>
      <c r="F626" s="1010"/>
      <c r="G626" s="1009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09"/>
      <c r="F627" s="1010"/>
      <c r="G627" s="1009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09"/>
      <c r="F628" s="1010"/>
      <c r="G628" s="1009">
        <f>+VLOOKUP(Data_Validation!$A628,BV_Data_An_Cour!$L:$Q,6,0)</f>
        <v>0</v>
      </c>
      <c r="H628" s="165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6"/>
      <c r="B629" s="166"/>
      <c r="C629" s="956"/>
      <c r="D629" s="956"/>
      <c r="E629" s="1009"/>
      <c r="F629" s="1010"/>
      <c r="G629" s="1009">
        <f>+VLOOKUP(Data_Validation!$A629,BV_Data_An_Cour!$L:$Q,6,0)</f>
        <v>0</v>
      </c>
      <c r="H629" s="165"/>
    </row>
    <row r="630" spans="1:29" ht="15" customHeight="1">
      <c r="A630" s="167"/>
      <c r="B630" s="166"/>
      <c r="C630" s="956"/>
      <c r="D630" s="956"/>
      <c r="E630" s="1009"/>
      <c r="F630" s="1010"/>
      <c r="G630" s="1009">
        <f>+VLOOKUP(Data_Validation!$A630,BV_Data_An_Cour!$L:$Q,6,0)</f>
        <v>0</v>
      </c>
      <c r="H630" s="165"/>
    </row>
    <row r="631" spans="1:29" ht="15" customHeight="1">
      <c r="A631" s="167"/>
      <c r="B631" s="166"/>
      <c r="C631" s="956"/>
      <c r="D631" s="956"/>
      <c r="E631" s="1009"/>
      <c r="F631" s="1010"/>
      <c r="G631" s="1009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09"/>
      <c r="F632" s="1010"/>
      <c r="G632" s="1009">
        <f>+VLOOKUP(Data_Validation!$A632,BV_Data_An_Cour!$L:$Q,6,0)</f>
        <v>0</v>
      </c>
      <c r="H632" s="165"/>
    </row>
    <row r="633" spans="1:29" ht="15" customHeight="1">
      <c r="A633" s="166"/>
      <c r="B633" s="166"/>
      <c r="C633" s="956"/>
      <c r="D633" s="956"/>
      <c r="E633" s="1009"/>
      <c r="F633" s="1010"/>
      <c r="G633" s="1009">
        <f>+VLOOKUP(Data_Validation!$A633,BV_Data_An_Cour!$L:$Q,6,0)</f>
        <v>0</v>
      </c>
      <c r="H633" s="165"/>
    </row>
    <row r="634" spans="1:29" ht="15" customHeight="1">
      <c r="A634" s="166"/>
      <c r="B634" s="166"/>
      <c r="C634" s="956"/>
      <c r="D634" s="956"/>
      <c r="E634" s="1009"/>
      <c r="F634" s="1010"/>
      <c r="G634" s="1009">
        <f>+VLOOKUP(Data_Validation!$A634,BV_Data_An_Cour!$L:$Q,6,0)</f>
        <v>0</v>
      </c>
      <c r="H634" s="165"/>
    </row>
    <row r="635" spans="1:29" ht="15" customHeight="1">
      <c r="A635" s="167"/>
      <c r="B635" s="166"/>
      <c r="C635" s="956"/>
      <c r="D635" s="956"/>
      <c r="E635" s="1009"/>
      <c r="F635" s="1010"/>
      <c r="G635" s="1009">
        <f>+VLOOKUP(Data_Validation!$A635,BV_Data_An_Cour!$L:$Q,6,0)</f>
        <v>0</v>
      </c>
      <c r="H635" s="165"/>
    </row>
    <row r="636" spans="1:29" ht="15" customHeight="1">
      <c r="A636" s="167"/>
      <c r="B636" s="166"/>
      <c r="C636" s="956"/>
      <c r="D636" s="956"/>
      <c r="E636" s="1009"/>
      <c r="F636" s="1010"/>
      <c r="G636" s="1009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09"/>
      <c r="F637" s="1010"/>
      <c r="G637" s="1009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09"/>
      <c r="F638" s="1010"/>
      <c r="G638" s="1009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09"/>
      <c r="F639" s="1010"/>
      <c r="G639" s="1009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09"/>
      <c r="F640" s="1010"/>
      <c r="G640" s="1009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09"/>
      <c r="F641" s="1010"/>
      <c r="G641" s="1009">
        <f>+VLOOKUP(Data_Validation!$A641,BV_Data_An_Cour!$L:$Q,6,0)</f>
        <v>0</v>
      </c>
      <c r="H641" s="165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7"/>
      <c r="B642" s="166"/>
      <c r="C642" s="956"/>
      <c r="D642" s="956"/>
      <c r="E642" s="1009"/>
      <c r="F642" s="1010"/>
      <c r="G642" s="1009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09"/>
      <c r="F643" s="1010"/>
      <c r="G643" s="1009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09"/>
      <c r="F644" s="1010"/>
      <c r="G644" s="1009">
        <f>+VLOOKUP(Data_Validation!$A644,BV_Data_An_Cour!$L:$Q,6,0)</f>
        <v>0</v>
      </c>
      <c r="H644" s="165"/>
      <c r="K644" s="2"/>
    </row>
    <row r="645" spans="1:29" ht="15" customHeight="1">
      <c r="A645" s="167"/>
      <c r="B645" s="166"/>
      <c r="C645" s="956"/>
      <c r="D645" s="956"/>
      <c r="E645" s="1009"/>
      <c r="F645" s="1010"/>
      <c r="G645" s="1009">
        <f>+VLOOKUP(Data_Validation!$A645,BV_Data_An_Cour!$L:$Q,6,0)</f>
        <v>0</v>
      </c>
      <c r="H645" s="165"/>
    </row>
    <row r="646" spans="1:29" ht="15" customHeight="1">
      <c r="A646" s="176"/>
      <c r="B646" s="1031"/>
      <c r="C646" s="1023"/>
      <c r="D646" s="956"/>
      <c r="E646" s="1009"/>
      <c r="F646" s="1010"/>
      <c r="G646" s="1009">
        <f>+VLOOKUP(Data_Validation!$A646,BV_Data_An_Cour!$L:$Q,6,0)</f>
        <v>0</v>
      </c>
      <c r="H646" s="165"/>
    </row>
    <row r="647" spans="1:29" ht="15" customHeight="1">
      <c r="A647" s="167"/>
      <c r="B647" s="166"/>
      <c r="C647" s="956"/>
      <c r="D647" s="956"/>
      <c r="E647" s="1009"/>
      <c r="F647" s="1010"/>
      <c r="G647" s="1009">
        <f>+VLOOKUP(Data_Validation!$A647,BV_Data_An_Cour!$L:$Q,6,0)</f>
        <v>0</v>
      </c>
      <c r="H647" s="165"/>
    </row>
    <row r="648" spans="1:29" ht="15" customHeight="1">
      <c r="A648" s="167"/>
      <c r="B648" s="166"/>
      <c r="C648" s="956"/>
      <c r="D648" s="956"/>
      <c r="E648" s="1009"/>
      <c r="F648" s="1010"/>
      <c r="G648" s="1009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09"/>
      <c r="F649" s="1010"/>
      <c r="G649" s="1009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09"/>
      <c r="F650" s="1010"/>
      <c r="G650" s="1009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09"/>
      <c r="F651" s="1010"/>
      <c r="G651" s="1009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09"/>
      <c r="F652" s="1010"/>
      <c r="G652" s="1009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09"/>
      <c r="F653" s="1010"/>
      <c r="G653" s="1009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09"/>
      <c r="F654" s="1010"/>
      <c r="G654" s="1009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09"/>
      <c r="F655" s="1010"/>
      <c r="G655" s="1009">
        <f>+VLOOKUP(Data_Validation!$A655,BV_Data_An_Cour!$L:$Q,6,0)</f>
        <v>0</v>
      </c>
      <c r="H655" s="165"/>
    </row>
    <row r="656" spans="1:29" ht="15" customHeight="1">
      <c r="A656" s="176"/>
      <c r="B656" s="571"/>
      <c r="C656" s="956"/>
      <c r="D656" s="956"/>
      <c r="E656" s="1009"/>
      <c r="F656" s="1010"/>
      <c r="G656" s="1009">
        <f>+VLOOKUP(Data_Validation!$A656,BV_Data_An_Cour!$L:$Q,6,0)</f>
        <v>0</v>
      </c>
      <c r="H656" s="165"/>
    </row>
    <row r="657" spans="1:8" ht="15" customHeight="1">
      <c r="A657" s="167"/>
      <c r="B657" s="171"/>
      <c r="C657" s="956"/>
      <c r="D657" s="956"/>
      <c r="E657" s="1009"/>
      <c r="F657" s="1010"/>
      <c r="G657" s="1009">
        <f>+VLOOKUP(Data_Validation!$A657,BV_Data_An_Cour!$L:$Q,6,0)</f>
        <v>0</v>
      </c>
      <c r="H657" s="165"/>
    </row>
    <row r="658" spans="1:8" ht="15" customHeight="1">
      <c r="A658" s="167"/>
      <c r="B658" s="166"/>
      <c r="C658" s="956"/>
      <c r="D658" s="956"/>
      <c r="E658" s="1009"/>
      <c r="F658" s="1010"/>
      <c r="G658" s="1009">
        <f>+VLOOKUP(Data_Validation!$A658,BV_Data_An_Cour!$L:$Q,6,0)</f>
        <v>0</v>
      </c>
      <c r="H658" s="165"/>
    </row>
    <row r="659" spans="1:8" ht="15" customHeight="1">
      <c r="A659" s="167"/>
      <c r="B659" s="166"/>
      <c r="C659" s="956"/>
      <c r="D659" s="956"/>
      <c r="E659" s="1009"/>
      <c r="F659" s="1010"/>
      <c r="G659" s="1009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09"/>
      <c r="F660" s="1010"/>
      <c r="G660" s="1009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09"/>
      <c r="F661" s="1010"/>
      <c r="G661" s="1009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09"/>
      <c r="F662" s="1010"/>
      <c r="G662" s="1009">
        <f>+VLOOKUP(Data_Validation!$A662,BV_Data_An_Cour!$L:$Q,6,0)</f>
        <v>0</v>
      </c>
      <c r="H662" s="165"/>
    </row>
    <row r="663" spans="1:8" ht="15" customHeight="1">
      <c r="A663" s="168"/>
      <c r="B663" s="169"/>
      <c r="C663" s="956"/>
      <c r="D663" s="956"/>
      <c r="E663" s="1009"/>
      <c r="F663" s="1010"/>
      <c r="G663" s="1009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09"/>
      <c r="F664" s="1010"/>
      <c r="G664" s="1009">
        <f>+VLOOKUP(Data_Validation!$A664,BV_Data_An_Cour!$L:$Q,6,0)</f>
        <v>0</v>
      </c>
      <c r="H664" s="165"/>
    </row>
    <row r="665" spans="1:8" ht="15" customHeight="1">
      <c r="A665" s="167"/>
      <c r="B665" s="166"/>
      <c r="C665" s="956"/>
      <c r="D665" s="956"/>
      <c r="E665" s="1009"/>
      <c r="F665" s="1010"/>
      <c r="G665" s="1009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09"/>
      <c r="F666" s="1010"/>
      <c r="G666" s="1009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09"/>
      <c r="F667" s="1010"/>
      <c r="G667" s="1009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09"/>
      <c r="F668" s="1010"/>
      <c r="G668" s="1009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09"/>
      <c r="F669" s="1010"/>
      <c r="G669" s="1009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09"/>
      <c r="F670" s="1010"/>
      <c r="G670" s="1009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09"/>
      <c r="F671" s="1010"/>
      <c r="G671" s="1009">
        <f>+VLOOKUP(Data_Validation!$A671,BV_Data_An_Cour!$L:$Q,6,0)</f>
        <v>0</v>
      </c>
      <c r="H671" s="165"/>
    </row>
    <row r="672" spans="1:8" ht="15" customHeight="1">
      <c r="A672" s="167"/>
      <c r="B672" s="1031"/>
      <c r="C672" s="1023"/>
      <c r="D672" s="956"/>
      <c r="E672" s="1009"/>
      <c r="F672" s="1010"/>
      <c r="G672" s="1009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09"/>
      <c r="F673" s="1010"/>
      <c r="G673" s="1009">
        <f>+VLOOKUP(Data_Validation!$A673,BV_Data_An_Cour!$L:$Q,6,0)</f>
        <v>0</v>
      </c>
      <c r="H673" s="165"/>
    </row>
    <row r="674" spans="1:11" ht="15" customHeight="1">
      <c r="A674" s="167"/>
      <c r="B674" s="166"/>
      <c r="C674" s="956"/>
      <c r="D674" s="956"/>
      <c r="E674" s="1009"/>
      <c r="F674" s="1010"/>
      <c r="G674" s="1009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09"/>
      <c r="F675" s="1010"/>
      <c r="G675" s="1009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09"/>
      <c r="F676" s="1010"/>
      <c r="G676" s="1009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09"/>
      <c r="F677" s="1010"/>
      <c r="G677" s="1009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09"/>
      <c r="F678" s="1010"/>
      <c r="G678" s="1009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09"/>
      <c r="F679" s="1010"/>
      <c r="G679" s="1009">
        <f>+VLOOKUP(Data_Validation!$A679,BV_Data_An_Cour!$L:$Q,6,0)</f>
        <v>0</v>
      </c>
      <c r="H679" s="165"/>
      <c r="K679" s="2"/>
    </row>
    <row r="680" spans="1:11" ht="15" customHeight="1">
      <c r="A680" s="166"/>
      <c r="B680" s="166"/>
      <c r="C680" s="956"/>
      <c r="D680" s="956"/>
      <c r="E680" s="1009"/>
      <c r="F680" s="1010"/>
      <c r="G680" s="1009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09"/>
      <c r="F681" s="1010"/>
      <c r="G681" s="1009">
        <f>+VLOOKUP(Data_Validation!$A681,BV_Data_An_Cour!$L:$Q,6,0)</f>
        <v>0</v>
      </c>
      <c r="H681" s="165"/>
    </row>
    <row r="682" spans="1:11" ht="15" customHeight="1">
      <c r="A682" s="167"/>
      <c r="B682" s="166"/>
      <c r="C682" s="956"/>
      <c r="D682" s="956"/>
      <c r="E682" s="1009"/>
      <c r="F682" s="1010"/>
      <c r="G682" s="1009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09"/>
      <c r="F683" s="1010"/>
      <c r="G683" s="1009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09"/>
      <c r="F684" s="1010"/>
      <c r="G684" s="1009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09"/>
      <c r="F685" s="1010"/>
      <c r="G685" s="1009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09"/>
      <c r="F686" s="1010"/>
      <c r="G686" s="1009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09"/>
      <c r="F687" s="1010"/>
      <c r="G687" s="1009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09"/>
      <c r="F688" s="1010"/>
      <c r="G688" s="1009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09"/>
      <c r="F689" s="1010"/>
      <c r="G689" s="1009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09"/>
      <c r="F690" s="1010"/>
      <c r="G690" s="1009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09"/>
      <c r="F691" s="1010"/>
      <c r="G691" s="1009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09"/>
      <c r="F692" s="1010"/>
      <c r="G692" s="1009">
        <f>+VLOOKUP(Data_Validation!$A692,BV_Data_An_Cour!$L:$Q,6,0)</f>
        <v>0</v>
      </c>
      <c r="H692" s="165"/>
      <c r="K692" s="2"/>
    </row>
    <row r="693" spans="1:29" ht="15" customHeight="1">
      <c r="A693" s="167"/>
      <c r="B693" s="166"/>
      <c r="C693" s="956"/>
      <c r="D693" s="956"/>
      <c r="E693" s="1009"/>
      <c r="F693" s="1010"/>
      <c r="G693" s="1009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09"/>
      <c r="F694" s="1010"/>
      <c r="G694" s="1009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09"/>
      <c r="F695" s="1010"/>
      <c r="G695" s="1009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09"/>
      <c r="F696" s="1010"/>
      <c r="G696" s="1009">
        <f>+VLOOKUP(Data_Validation!$A696,BV_Data_An_Cour!$L:$Q,6,0)</f>
        <v>0</v>
      </c>
      <c r="H696" s="165"/>
    </row>
    <row r="697" spans="1:29" ht="15" customHeight="1">
      <c r="A697" s="167"/>
      <c r="B697" s="166"/>
      <c r="C697" s="956"/>
      <c r="D697" s="956"/>
      <c r="E697" s="1009"/>
      <c r="F697" s="1010"/>
      <c r="G697" s="1009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09"/>
      <c r="F698" s="1010"/>
      <c r="G698" s="1009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09"/>
      <c r="F699" s="1010"/>
      <c r="G699" s="1009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09"/>
      <c r="F700" s="1010"/>
      <c r="G700" s="1009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09"/>
      <c r="F701" s="1010"/>
      <c r="G701" s="1009">
        <f>+VLOOKUP(Data_Validation!$A701,BV_Data_An_Cour!$L:$Q,6,0)</f>
        <v>0</v>
      </c>
      <c r="H701" s="165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67"/>
      <c r="B702" s="166"/>
      <c r="C702" s="956"/>
      <c r="D702" s="956"/>
      <c r="E702" s="1009"/>
      <c r="F702" s="1010"/>
      <c r="G702" s="1009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09"/>
      <c r="F703" s="1010"/>
      <c r="G703" s="1009">
        <f>+VLOOKUP(Data_Validation!$A703,BV_Data_An_Cour!$L:$Q,6,0)</f>
        <v>0</v>
      </c>
      <c r="H703" s="165"/>
    </row>
    <row r="704" spans="1:29" ht="15" customHeight="1">
      <c r="A704" s="167"/>
      <c r="B704" s="166"/>
      <c r="C704" s="956"/>
      <c r="D704" s="956"/>
      <c r="E704" s="1009"/>
      <c r="F704" s="1010"/>
      <c r="G704" s="1009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09"/>
      <c r="F705" s="1010"/>
      <c r="G705" s="1009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09"/>
      <c r="F706" s="1010"/>
      <c r="G706" s="1009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09"/>
      <c r="F707" s="1010"/>
      <c r="G707" s="1009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09"/>
      <c r="F708" s="1010"/>
      <c r="G708" s="1009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09"/>
      <c r="F709" s="1010"/>
      <c r="G709" s="1009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09"/>
      <c r="F710" s="1010"/>
      <c r="G710" s="1009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09"/>
      <c r="F711" s="1010"/>
      <c r="G711" s="1009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09"/>
      <c r="F712" s="1010"/>
      <c r="G712" s="1009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09"/>
      <c r="F713" s="1010"/>
      <c r="G713" s="1009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09"/>
      <c r="F714" s="1010"/>
      <c r="G714" s="1009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09"/>
      <c r="F715" s="1010"/>
      <c r="G715" s="1009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09"/>
      <c r="F716" s="1010"/>
      <c r="G716" s="1009">
        <f>+VLOOKUP(Data_Validation!$A716,BV_Data_An_Cour!$L:$Q,6,0)</f>
        <v>0</v>
      </c>
      <c r="H716" s="165"/>
    </row>
    <row r="717" spans="1:8" ht="15" customHeight="1">
      <c r="A717" s="166"/>
      <c r="B717" s="166"/>
      <c r="C717" s="956"/>
      <c r="D717" s="956"/>
      <c r="E717" s="1009"/>
      <c r="F717" s="1010"/>
      <c r="G717" s="1009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09"/>
      <c r="F718" s="1010"/>
      <c r="G718" s="1009">
        <f>+VLOOKUP(Data_Validation!$A718,BV_Data_An_Cour!$L:$Q,6,0)</f>
        <v>0</v>
      </c>
      <c r="H718" s="165"/>
    </row>
    <row r="719" spans="1:8" ht="15" customHeight="1">
      <c r="A719" s="167"/>
      <c r="B719" s="166"/>
      <c r="C719" s="956"/>
      <c r="D719" s="956"/>
      <c r="E719" s="1009"/>
      <c r="F719" s="1010"/>
      <c r="G719" s="1009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09"/>
      <c r="F720" s="1010"/>
      <c r="G720" s="1009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09"/>
      <c r="F721" s="1010"/>
      <c r="G721" s="1009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09"/>
      <c r="F722" s="1010"/>
      <c r="G722" s="1009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09"/>
      <c r="F723" s="1010"/>
      <c r="G723" s="1009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09"/>
      <c r="F724" s="1010"/>
      <c r="G724" s="1009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09"/>
      <c r="F725" s="1010"/>
      <c r="G725" s="1009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09"/>
      <c r="F726" s="1010"/>
      <c r="G726" s="1009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09"/>
      <c r="F727" s="1010"/>
      <c r="G727" s="1009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09"/>
      <c r="F728" s="1010"/>
      <c r="G728" s="1009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09"/>
      <c r="F729" s="1010"/>
      <c r="G729" s="1009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09"/>
      <c r="F730" s="1010"/>
      <c r="G730" s="1009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09"/>
      <c r="F731" s="1010"/>
      <c r="G731" s="1009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09"/>
      <c r="F732" s="1010"/>
      <c r="G732" s="1009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09"/>
      <c r="F733" s="1010"/>
      <c r="G733" s="1009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09"/>
      <c r="F734" s="1010"/>
      <c r="G734" s="1009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09"/>
      <c r="F735" s="1010"/>
      <c r="G735" s="1009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09"/>
      <c r="F736" s="1010"/>
      <c r="G736" s="1009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09"/>
      <c r="F737" s="1010"/>
      <c r="G737" s="1009">
        <f>+VLOOKUP(Data_Validation!$A737,BV_Data_An_Cour!$L:$Q,6,0)</f>
        <v>0</v>
      </c>
      <c r="H737" s="165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7"/>
      <c r="B738" s="166"/>
      <c r="C738" s="956"/>
      <c r="D738" s="956"/>
      <c r="E738" s="1009"/>
      <c r="F738" s="1010"/>
      <c r="G738" s="1009">
        <f>+VLOOKUP(Data_Validation!$A738,BV_Data_An_Cour!$L:$Q,6,0)</f>
        <v>0</v>
      </c>
      <c r="H738" s="165"/>
    </row>
    <row r="739" spans="1:29" ht="15" customHeight="1">
      <c r="A739" s="167"/>
      <c r="B739" s="571"/>
      <c r="C739" s="956"/>
      <c r="D739" s="956"/>
      <c r="E739" s="1009"/>
      <c r="F739" s="1010"/>
      <c r="G739" s="1009">
        <f>+VLOOKUP(Data_Validation!$A739,BV_Data_An_Cour!$L:$Q,6,0)</f>
        <v>0</v>
      </c>
      <c r="H739" s="165"/>
    </row>
    <row r="740" spans="1:29" ht="15" customHeight="1">
      <c r="A740" s="167"/>
      <c r="B740" s="166"/>
      <c r="C740" s="956"/>
      <c r="D740" s="956"/>
      <c r="E740" s="1009"/>
      <c r="F740" s="1010"/>
      <c r="G740" s="1009">
        <f>+VLOOKUP(Data_Validation!$A740,BV_Data_An_Cour!$L:$Q,6,0)</f>
        <v>0</v>
      </c>
      <c r="H740" s="165"/>
    </row>
    <row r="741" spans="1:29" ht="15" customHeight="1">
      <c r="A741" s="167"/>
      <c r="B741" s="166"/>
      <c r="C741" s="956"/>
      <c r="D741" s="956"/>
      <c r="E741" s="1009"/>
      <c r="F741" s="1010"/>
      <c r="G741" s="1009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09"/>
      <c r="F742" s="1010"/>
      <c r="G742" s="1009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09"/>
      <c r="F743" s="1010"/>
      <c r="G743" s="1009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09"/>
      <c r="F744" s="1010"/>
      <c r="G744" s="1009">
        <f>+VLOOKUP(Data_Validation!$A744,BV_Data_An_Cour!$L:$Q,6,0)</f>
        <v>0</v>
      </c>
      <c r="H744" s="165"/>
      <c r="K744" s="2"/>
    </row>
    <row r="745" spans="1:29" ht="15" customHeight="1">
      <c r="A745" s="167"/>
      <c r="B745" s="166"/>
      <c r="C745" s="956"/>
      <c r="D745" s="956"/>
      <c r="E745" s="1009"/>
      <c r="F745" s="1010"/>
      <c r="G745" s="1009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09"/>
      <c r="F746" s="1010"/>
      <c r="G746" s="1009">
        <f>+VLOOKUP(Data_Validation!$A746,BV_Data_An_Cour!$L:$Q,6,0)</f>
        <v>0</v>
      </c>
      <c r="H746" s="165"/>
    </row>
    <row r="747" spans="1:29" ht="15" customHeight="1">
      <c r="A747" s="167"/>
      <c r="B747" s="166"/>
      <c r="C747" s="956"/>
      <c r="D747" s="956"/>
      <c r="E747" s="1009"/>
      <c r="F747" s="1010"/>
      <c r="G747" s="1009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09"/>
      <c r="F748" s="1010"/>
      <c r="G748" s="1009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09"/>
      <c r="F749" s="1010"/>
      <c r="G749" s="1009">
        <f>+VLOOKUP(Data_Validation!$A749,BV_Data_An_Cour!$L:$Q,6,0)</f>
        <v>0</v>
      </c>
    </row>
    <row r="750" spans="1:29" ht="15" customHeight="1">
      <c r="A750" s="166"/>
      <c r="B750" s="166"/>
      <c r="C750" s="956"/>
      <c r="D750" s="956"/>
      <c r="E750" s="1009"/>
      <c r="F750" s="1010"/>
      <c r="G750" s="1009">
        <f>+VLOOKUP(Data_Validation!$A750,BV_Data_An_Cour!$L:$Q,6,0)</f>
        <v>0</v>
      </c>
    </row>
    <row r="751" spans="1:29" ht="15" customHeight="1">
      <c r="A751" s="166"/>
      <c r="B751" s="166"/>
      <c r="C751" s="956"/>
      <c r="D751" s="956"/>
      <c r="E751" s="1009"/>
      <c r="F751" s="1010"/>
      <c r="G751" s="1009">
        <f>+VLOOKUP(Data_Validation!$A751,BV_Data_An_Cour!$L:$Q,6,0)</f>
        <v>0</v>
      </c>
      <c r="H751" s="165"/>
    </row>
    <row r="752" spans="1:29" ht="15" customHeight="1">
      <c r="A752" s="167"/>
      <c r="B752" s="166"/>
      <c r="C752" s="956"/>
      <c r="D752" s="956"/>
      <c r="E752" s="1009"/>
      <c r="F752" s="1010"/>
      <c r="G752" s="1009">
        <f>+VLOOKUP(Data_Validation!$A752,BV_Data_An_Cour!$L:$Q,6,0)</f>
        <v>0</v>
      </c>
      <c r="H752" s="165"/>
    </row>
    <row r="753" spans="1:29" ht="15" customHeight="1">
      <c r="A753" s="167"/>
      <c r="B753" s="166"/>
      <c r="C753" s="956"/>
      <c r="D753" s="956"/>
      <c r="E753" s="1009"/>
      <c r="F753" s="1010"/>
      <c r="G753" s="1009">
        <f>+VLOOKUP(Data_Validation!$A753,BV_Data_An_Cour!$L:$Q,6,0)</f>
        <v>0</v>
      </c>
      <c r="H753" s="16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167"/>
      <c r="B754" s="166"/>
      <c r="C754" s="956"/>
      <c r="D754" s="956"/>
      <c r="E754" s="1009"/>
      <c r="F754" s="1010"/>
      <c r="G754" s="1009">
        <f>+VLOOKUP(Data_Validation!$A754,BV_Data_An_Cour!$L:$Q,6,0)</f>
        <v>0</v>
      </c>
      <c r="H754" s="165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7"/>
      <c r="B755" s="166"/>
      <c r="C755" s="956"/>
      <c r="D755" s="956"/>
      <c r="E755" s="1009"/>
      <c r="F755" s="1010"/>
      <c r="G755" s="1009">
        <f>+VLOOKUP(Data_Validation!$A755,BV_Data_An_Cour!$L:$Q,6,0)</f>
        <v>0</v>
      </c>
      <c r="H755" s="165"/>
    </row>
    <row r="756" spans="1:29" ht="15" customHeight="1">
      <c r="A756" s="167"/>
      <c r="B756" s="166"/>
      <c r="C756" s="956"/>
      <c r="D756" s="956"/>
      <c r="E756" s="1009"/>
      <c r="F756" s="1010"/>
      <c r="G756" s="1009">
        <f>+VLOOKUP(Data_Validation!$A756,BV_Data_An_Cour!$L:$Q,6,0)</f>
        <v>0</v>
      </c>
      <c r="H756" s="165"/>
    </row>
    <row r="757" spans="1:29" ht="15" customHeight="1">
      <c r="A757" s="167"/>
      <c r="B757" s="166"/>
      <c r="C757" s="956"/>
      <c r="D757" s="956"/>
      <c r="E757" s="1009"/>
      <c r="F757" s="1010"/>
      <c r="G757" s="1009">
        <f>+VLOOKUP(Data_Validation!$A757,BV_Data_An_Cour!$L:$Q,6,0)</f>
        <v>0</v>
      </c>
      <c r="H757" s="165"/>
    </row>
    <row r="758" spans="1:29" ht="15" customHeight="1">
      <c r="A758" s="167"/>
      <c r="B758" s="1031"/>
      <c r="C758" s="1023"/>
      <c r="D758" s="956"/>
      <c r="E758" s="1009"/>
      <c r="F758" s="1010"/>
      <c r="G758" s="1009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09"/>
      <c r="F759" s="1010"/>
      <c r="G759" s="1009">
        <f>+VLOOKUP(Data_Validation!$A759,BV_Data_An_Cour!$L:$Q,6,0)</f>
        <v>0</v>
      </c>
      <c r="H759" s="188"/>
    </row>
    <row r="760" spans="1:29" ht="15" customHeight="1">
      <c r="A760" s="167"/>
      <c r="B760" s="166"/>
      <c r="C760" s="956"/>
      <c r="D760" s="956"/>
      <c r="E760" s="1009"/>
      <c r="F760" s="1010"/>
      <c r="G760" s="1009">
        <f>+VLOOKUP(Data_Validation!$A760,BV_Data_An_Cour!$L:$Q,6,0)</f>
        <v>0</v>
      </c>
      <c r="H760" s="188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7"/>
      <c r="B761" s="166"/>
      <c r="C761" s="956"/>
      <c r="D761" s="956"/>
      <c r="E761" s="1009"/>
      <c r="F761" s="1010"/>
      <c r="G761" s="1009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09"/>
      <c r="F762" s="1010"/>
      <c r="G762" s="1009">
        <f>+VLOOKUP(Data_Validation!$A762,BV_Data_An_Cour!$L:$Q,6,0)</f>
        <v>0</v>
      </c>
      <c r="H762" s="188"/>
    </row>
    <row r="763" spans="1:29" ht="15" customHeight="1">
      <c r="A763" s="167"/>
      <c r="B763" s="166"/>
      <c r="C763" s="956"/>
      <c r="D763" s="956"/>
      <c r="E763" s="1009"/>
      <c r="F763" s="1010"/>
      <c r="G763" s="1009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09"/>
      <c r="F764" s="1010"/>
      <c r="G764" s="1009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09"/>
      <c r="F765" s="1010"/>
      <c r="G765" s="1009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09"/>
      <c r="F766" s="1010"/>
      <c r="G766" s="1009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09"/>
      <c r="F767" s="1010"/>
      <c r="G767" s="1009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09"/>
      <c r="F768" s="1010"/>
      <c r="G768" s="1009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09"/>
      <c r="F769" s="1010"/>
      <c r="G769" s="1009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09"/>
      <c r="F770" s="1010"/>
      <c r="G770" s="1009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09"/>
      <c r="F771" s="1010"/>
      <c r="G771" s="1009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09"/>
      <c r="F772" s="1010"/>
      <c r="G772" s="1009">
        <f>+VLOOKUP(Data_Validation!$A772,BV_Data_An_Cour!$L:$Q,6,0)</f>
        <v>0</v>
      </c>
      <c r="H772" s="165"/>
    </row>
    <row r="773" spans="1:8" ht="15" customHeight="1">
      <c r="A773" s="167"/>
      <c r="B773" s="166"/>
      <c r="C773" s="956"/>
      <c r="D773" s="956"/>
      <c r="E773" s="1009"/>
      <c r="F773" s="1010"/>
      <c r="G773" s="1009">
        <f>+VLOOKUP(Data_Validation!$A773,BV_Data_An_Cour!$L:$Q,6,0)</f>
        <v>0</v>
      </c>
      <c r="H773" s="165"/>
    </row>
    <row r="774" spans="1:8" ht="15" customHeight="1">
      <c r="A774" s="167"/>
      <c r="B774" s="166"/>
      <c r="C774" s="956"/>
      <c r="D774" s="956"/>
      <c r="E774" s="1009"/>
      <c r="F774" s="1010"/>
      <c r="G774" s="1009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09"/>
      <c r="F775" s="1010"/>
      <c r="G775" s="1009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09"/>
      <c r="F776" s="1010"/>
      <c r="G776" s="1009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09"/>
      <c r="F777" s="1010"/>
      <c r="G777" s="1009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09"/>
      <c r="F778" s="1010"/>
      <c r="G778" s="1009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09"/>
      <c r="F779" s="1010"/>
      <c r="G779" s="1009">
        <f>+VLOOKUP(Data_Validation!$A779,BV_Data_An_Cour!$L:$Q,6,0)</f>
        <v>0</v>
      </c>
      <c r="H779" s="165"/>
    </row>
    <row r="780" spans="1:8" ht="15" customHeight="1">
      <c r="A780" s="176"/>
      <c r="B780" s="1030"/>
      <c r="C780" s="956"/>
      <c r="D780" s="956"/>
      <c r="E780" s="1009"/>
      <c r="F780" s="1010"/>
      <c r="G780" s="1009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09"/>
      <c r="F781" s="1010"/>
      <c r="G781" s="1009">
        <f>+VLOOKUP(Data_Validation!$A781,BV_Data_An_Cour!$L:$Q,6,0)</f>
        <v>0</v>
      </c>
      <c r="H781" s="165"/>
    </row>
    <row r="782" spans="1:8" ht="15" customHeight="1">
      <c r="A782" s="167"/>
      <c r="B782" s="166"/>
      <c r="C782" s="956"/>
      <c r="D782" s="956"/>
      <c r="E782" s="1009"/>
      <c r="F782" s="1010"/>
      <c r="G782" s="1009">
        <f>+VLOOKUP(Data_Validation!$A782,BV_Data_An_Cour!$L:$Q,6,0)</f>
        <v>0</v>
      </c>
      <c r="H782" s="188"/>
    </row>
    <row r="783" spans="1:8" ht="15" customHeight="1">
      <c r="A783" s="167"/>
      <c r="B783" s="166"/>
      <c r="C783" s="956"/>
      <c r="D783" s="956"/>
      <c r="E783" s="1009"/>
      <c r="F783" s="1010"/>
      <c r="G783" s="1009">
        <f>+VLOOKUP(Data_Validation!$A783,BV_Data_An_Cour!$L:$Q,6,0)</f>
        <v>0</v>
      </c>
      <c r="H783" s="188"/>
    </row>
    <row r="784" spans="1:8" ht="15" customHeight="1">
      <c r="A784" s="167"/>
      <c r="B784" s="166"/>
      <c r="C784" s="956"/>
      <c r="D784" s="956"/>
      <c r="E784" s="1009"/>
      <c r="F784" s="1010"/>
      <c r="G784" s="1009">
        <f>+VLOOKUP(Data_Validation!$A784,BV_Data_An_Cour!$L:$Q,6,0)</f>
        <v>0</v>
      </c>
      <c r="H784" s="188"/>
    </row>
    <row r="785" spans="1:8" ht="15" customHeight="1">
      <c r="A785" s="166"/>
      <c r="B785" s="166"/>
      <c r="C785" s="956"/>
      <c r="D785" s="956"/>
      <c r="E785" s="1009"/>
      <c r="F785" s="1010"/>
      <c r="G785" s="1009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09"/>
      <c r="F786" s="1010"/>
      <c r="G786" s="1009">
        <f>+VLOOKUP(Data_Validation!$A786,BV_Data_An_Cour!$L:$Q,6,0)</f>
        <v>0</v>
      </c>
      <c r="H786" s="188"/>
    </row>
    <row r="787" spans="1:8" ht="15" customHeight="1">
      <c r="A787" s="167"/>
      <c r="B787" s="166"/>
      <c r="C787" s="956"/>
      <c r="D787" s="956"/>
      <c r="E787" s="1009"/>
      <c r="F787" s="1010"/>
      <c r="G787" s="1009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09"/>
      <c r="F788" s="1010"/>
      <c r="G788" s="1009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09"/>
      <c r="F789" s="1010"/>
      <c r="G789" s="1009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09"/>
      <c r="F790" s="1010"/>
      <c r="G790" s="1009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09"/>
      <c r="F791" s="1010"/>
      <c r="G791" s="1009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09"/>
      <c r="F792" s="1010"/>
      <c r="G792" s="1009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09"/>
      <c r="F793" s="1010"/>
      <c r="G793" s="1009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09"/>
      <c r="F794" s="1010"/>
      <c r="G794" s="1009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09"/>
      <c r="F795" s="1010"/>
      <c r="G795" s="1009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09"/>
      <c r="F796" s="1010"/>
      <c r="G796" s="1009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09"/>
      <c r="F797" s="1010"/>
      <c r="G797" s="1009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09"/>
      <c r="F798" s="1010"/>
      <c r="G798" s="1009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09"/>
      <c r="F799" s="1010"/>
      <c r="G799" s="1009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09"/>
      <c r="F800" s="1010"/>
      <c r="G800" s="1009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09"/>
      <c r="F801" s="1010"/>
      <c r="G801" s="1009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09"/>
      <c r="F802" s="1010"/>
      <c r="G802" s="1009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09"/>
      <c r="F803" s="1010"/>
      <c r="G803" s="1009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09"/>
      <c r="F804" s="1010"/>
      <c r="G804" s="1009">
        <f>+VLOOKUP(Data_Validation!$A804,BV_Data_An_Cour!$L:$Q,6,0)</f>
        <v>0</v>
      </c>
      <c r="H804" s="188"/>
      <c r="K804" s="2"/>
    </row>
    <row r="805" spans="1:29" ht="15" customHeight="1">
      <c r="A805" s="167"/>
      <c r="B805" s="166"/>
      <c r="C805" s="956"/>
      <c r="D805" s="956"/>
      <c r="E805" s="1009"/>
      <c r="F805" s="1010"/>
      <c r="G805" s="1009">
        <f>+VLOOKUP(Data_Validation!$A805,BV_Data_An_Cour!$L:$Q,6,0)</f>
        <v>0</v>
      </c>
      <c r="H805" s="188"/>
      <c r="K805" s="2"/>
    </row>
    <row r="806" spans="1:29" ht="15" customHeight="1">
      <c r="A806" s="166"/>
      <c r="B806" s="166"/>
      <c r="C806" s="956"/>
      <c r="D806" s="956"/>
      <c r="E806" s="1009"/>
      <c r="F806" s="1010"/>
      <c r="G806" s="1009">
        <f>+VLOOKUP(Data_Validation!$A806,BV_Data_An_Cour!$L:$Q,6,0)</f>
        <v>0</v>
      </c>
      <c r="H806" s="188"/>
    </row>
    <row r="807" spans="1:29" ht="15" customHeight="1">
      <c r="A807" s="167"/>
      <c r="B807" s="166"/>
      <c r="C807" s="956"/>
      <c r="D807" s="956"/>
      <c r="E807" s="1009"/>
      <c r="F807" s="1010"/>
      <c r="G807" s="1009">
        <f>+VLOOKUP(Data_Validation!$A807,BV_Data_An_Cour!$L:$Q,6,0)</f>
        <v>0</v>
      </c>
      <c r="H807" s="188"/>
    </row>
    <row r="808" spans="1:29" ht="15" customHeight="1">
      <c r="A808" s="167"/>
      <c r="B808" s="166"/>
      <c r="C808" s="956"/>
      <c r="D808" s="956"/>
      <c r="E808" s="1009"/>
      <c r="F808" s="1010"/>
      <c r="G808" s="1009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09"/>
      <c r="F809" s="1010"/>
      <c r="G809" s="1009">
        <f>+VLOOKUP(Data_Validation!$A809,BV_Data_An_Cour!$L:$Q,6,0)</f>
        <v>0</v>
      </c>
      <c r="H809" s="188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customHeight="1">
      <c r="A810" s="167"/>
      <c r="B810" s="166"/>
      <c r="C810" s="956"/>
      <c r="D810" s="956"/>
      <c r="E810" s="1009"/>
      <c r="F810" s="1010"/>
      <c r="G810" s="1009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09"/>
      <c r="F811" s="1010"/>
      <c r="G811" s="1009">
        <f>+VLOOKUP(Data_Validation!$A811,BV_Data_An_Cour!$L:$Q,6,0)</f>
        <v>0</v>
      </c>
      <c r="H811" s="188"/>
      <c r="K811" s="2"/>
    </row>
    <row r="812" spans="1:29" ht="15" customHeight="1">
      <c r="A812" s="167"/>
      <c r="B812" s="166"/>
      <c r="C812" s="956"/>
      <c r="D812" s="956"/>
      <c r="E812" s="1009"/>
      <c r="F812" s="1010"/>
      <c r="G812" s="1009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09"/>
      <c r="F813" s="1010"/>
      <c r="G813" s="1009">
        <f>+VLOOKUP(Data_Validation!$A813,BV_Data_An_Cour!$L:$Q,6,0)</f>
        <v>0</v>
      </c>
      <c r="H813" s="188"/>
    </row>
    <row r="814" spans="1:29" ht="15" customHeight="1">
      <c r="A814" s="167"/>
      <c r="B814" s="166"/>
      <c r="C814" s="956"/>
      <c r="D814" s="956"/>
      <c r="E814" s="1009"/>
      <c r="F814" s="1010"/>
      <c r="G814" s="1009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09"/>
      <c r="F815" s="1010"/>
      <c r="G815" s="1009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09"/>
      <c r="F816" s="1010"/>
      <c r="G816" s="1009">
        <f>+VLOOKUP(Data_Validation!$A816,BV_Data_An_Cour!$L:$Q,6,0)</f>
        <v>0</v>
      </c>
      <c r="H816" s="188"/>
      <c r="K816" s="2"/>
    </row>
    <row r="817" spans="1:8" ht="15" customHeight="1">
      <c r="A817" s="166"/>
      <c r="B817" s="166"/>
      <c r="C817" s="956"/>
      <c r="D817" s="956"/>
      <c r="E817" s="1009"/>
      <c r="F817" s="1010"/>
      <c r="G817" s="1009">
        <f>+VLOOKUP(Data_Validation!$A817,BV_Data_An_Cour!$L:$Q,6,0)</f>
        <v>0</v>
      </c>
      <c r="H817" s="188"/>
    </row>
    <row r="818" spans="1:8" ht="15" customHeight="1">
      <c r="A818" s="166"/>
      <c r="B818" s="166"/>
      <c r="C818" s="956"/>
      <c r="D818" s="956"/>
      <c r="E818" s="1009"/>
      <c r="F818" s="1010"/>
      <c r="G818" s="1009">
        <f>+VLOOKUP(Data_Validation!$A818,BV_Data_An_Cour!$L:$Q,6,0)</f>
        <v>0</v>
      </c>
      <c r="H818" s="188"/>
    </row>
    <row r="819" spans="1:8" ht="15" customHeight="1">
      <c r="A819" s="167"/>
      <c r="B819" s="166"/>
      <c r="C819" s="956"/>
      <c r="D819" s="956"/>
      <c r="E819" s="1009"/>
      <c r="F819" s="1010"/>
      <c r="G819" s="1009">
        <f>+VLOOKUP(Data_Validation!$A819,BV_Data_An_Cour!$L:$Q,6,0)</f>
        <v>0</v>
      </c>
      <c r="H819" s="188"/>
    </row>
    <row r="820" spans="1:8" ht="15" customHeight="1">
      <c r="A820" s="167"/>
      <c r="B820" s="166"/>
      <c r="C820" s="956"/>
      <c r="D820" s="956"/>
      <c r="E820" s="1009"/>
      <c r="F820" s="1010"/>
      <c r="G820" s="1009">
        <f>+VLOOKUP(Data_Validation!$A820,BV_Data_An_Cour!$L:$Q,6,0)</f>
        <v>0</v>
      </c>
      <c r="H820" s="188"/>
    </row>
    <row r="821" spans="1:8" ht="15" customHeight="1">
      <c r="A821" s="167"/>
      <c r="B821" s="166"/>
      <c r="C821" s="956"/>
      <c r="D821" s="956"/>
      <c r="E821" s="1009"/>
      <c r="F821" s="1010"/>
      <c r="G821" s="1009">
        <f>+VLOOKUP(Data_Validation!$A821,BV_Data_An_Cour!$L:$Q,6,0)</f>
        <v>0</v>
      </c>
      <c r="H821" s="188"/>
    </row>
    <row r="822" spans="1:8" ht="15" customHeight="1">
      <c r="A822" s="167"/>
      <c r="B822" s="166"/>
      <c r="C822" s="956"/>
      <c r="D822" s="956"/>
      <c r="E822" s="1009"/>
      <c r="F822" s="1010"/>
      <c r="G822" s="1009">
        <f>+VLOOKUP(Data_Validation!$A822,BV_Data_An_Cour!$L:$Q,6,0)</f>
        <v>0</v>
      </c>
      <c r="H822" s="188"/>
    </row>
    <row r="823" spans="1:8" ht="15" customHeight="1">
      <c r="A823" s="167"/>
      <c r="B823" s="166"/>
      <c r="C823" s="956"/>
      <c r="D823" s="956"/>
      <c r="E823" s="1009"/>
      <c r="F823" s="1010"/>
      <c r="G823" s="1009">
        <f>+VLOOKUP(Data_Validation!$A823,BV_Data_An_Cour!$L:$Q,6,0)</f>
        <v>0</v>
      </c>
      <c r="H823" s="188"/>
    </row>
    <row r="824" spans="1:8" ht="15" customHeight="1">
      <c r="A824" s="167"/>
      <c r="B824" s="166"/>
      <c r="C824" s="956"/>
      <c r="D824" s="956"/>
      <c r="E824" s="1009"/>
      <c r="F824" s="1010"/>
      <c r="G824" s="1009">
        <f>+VLOOKUP(Data_Validation!$A824,BV_Data_An_Cour!$L:$Q,6,0)</f>
        <v>0</v>
      </c>
      <c r="H824" s="188"/>
    </row>
    <row r="825" spans="1:8" ht="15" customHeight="1">
      <c r="A825" s="167"/>
      <c r="B825" s="166"/>
      <c r="C825" s="956"/>
      <c r="D825" s="956"/>
      <c r="E825" s="1009"/>
      <c r="F825" s="1010"/>
      <c r="G825" s="1009">
        <f>+VLOOKUP(Data_Validation!$A825,BV_Data_An_Cour!$L:$Q,6,0)</f>
        <v>0</v>
      </c>
      <c r="H825" s="188"/>
    </row>
    <row r="826" spans="1:8" ht="15" customHeight="1">
      <c r="A826" s="167"/>
      <c r="B826" s="166"/>
      <c r="C826" s="956"/>
      <c r="D826" s="956"/>
      <c r="E826" s="1009"/>
      <c r="F826" s="1010"/>
      <c r="G826" s="1009">
        <f>+VLOOKUP(Data_Validation!$A826,BV_Data_An_Cour!$L:$Q,6,0)</f>
        <v>0</v>
      </c>
      <c r="H826" s="188"/>
    </row>
    <row r="827" spans="1:8" ht="15" customHeight="1">
      <c r="A827" s="167"/>
      <c r="B827" s="166"/>
      <c r="C827" s="956"/>
      <c r="D827" s="956"/>
      <c r="E827" s="1009"/>
      <c r="F827" s="1010"/>
      <c r="G827" s="1009">
        <f>+VLOOKUP(Data_Validation!$A827,BV_Data_An_Cour!$L:$Q,6,0)</f>
        <v>0</v>
      </c>
      <c r="H827" s="188"/>
    </row>
    <row r="828" spans="1:8" ht="15" customHeight="1">
      <c r="A828" s="167"/>
      <c r="B828" s="166"/>
      <c r="C828" s="956"/>
      <c r="D828" s="956"/>
      <c r="E828" s="1009"/>
      <c r="F828" s="1010"/>
      <c r="G828" s="1009">
        <f>+VLOOKUP(Data_Validation!$A828,BV_Data_An_Cour!$L:$Q,6,0)</f>
        <v>0</v>
      </c>
      <c r="H828" s="188"/>
    </row>
    <row r="829" spans="1:8" ht="15" customHeight="1">
      <c r="A829" s="167"/>
      <c r="B829" s="166"/>
      <c r="C829" s="956"/>
      <c r="D829" s="956"/>
      <c r="E829" s="1009"/>
      <c r="F829" s="1010"/>
      <c r="G829" s="1009">
        <f>+VLOOKUP(Data_Validation!$A829,BV_Data_An_Cour!$L:$Q,6,0)</f>
        <v>0</v>
      </c>
      <c r="H829" s="188"/>
    </row>
    <row r="830" spans="1:8" ht="15" customHeight="1">
      <c r="A830" s="167"/>
      <c r="B830" s="166"/>
      <c r="C830" s="956"/>
      <c r="D830" s="956"/>
      <c r="E830" s="1009"/>
      <c r="F830" s="1010"/>
      <c r="G830" s="1009">
        <f>+VLOOKUP(Data_Validation!$A830,BV_Data_An_Cour!$L:$Q,6,0)</f>
        <v>0</v>
      </c>
      <c r="H830" s="188"/>
    </row>
    <row r="831" spans="1:8" ht="15" customHeight="1">
      <c r="A831" s="167"/>
      <c r="B831" s="166"/>
      <c r="C831" s="956"/>
      <c r="D831" s="956"/>
      <c r="E831" s="1009"/>
      <c r="F831" s="1010"/>
      <c r="G831" s="1009">
        <f>+VLOOKUP(Data_Validation!$A831,BV_Data_An_Cour!$L:$Q,6,0)</f>
        <v>0</v>
      </c>
      <c r="H831" s="188"/>
    </row>
    <row r="832" spans="1:8" ht="15" customHeight="1">
      <c r="A832" s="167"/>
      <c r="B832" s="166"/>
      <c r="C832" s="956"/>
      <c r="D832" s="956"/>
      <c r="E832" s="1009"/>
      <c r="F832" s="1010"/>
      <c r="G832" s="1009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09"/>
      <c r="F833" s="1010"/>
      <c r="G833" s="1009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09"/>
      <c r="F834" s="1010"/>
      <c r="G834" s="1009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09"/>
      <c r="F835" s="1010"/>
      <c r="G835" s="1009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09"/>
      <c r="F836" s="1010"/>
      <c r="G836" s="1009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09"/>
      <c r="F837" s="1010"/>
      <c r="G837" s="1009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09"/>
      <c r="F838" s="1010"/>
      <c r="G838" s="1009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09"/>
      <c r="F839" s="1010"/>
      <c r="G839" s="1009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09"/>
      <c r="F840" s="1010"/>
      <c r="G840" s="1009">
        <f>+VLOOKUP(Data_Validation!$A840,BV_Data_An_Cour!$L:$Q,6,0)</f>
        <v>0</v>
      </c>
      <c r="H840" s="188"/>
    </row>
    <row r="841" spans="1:8" ht="15" customHeight="1">
      <c r="A841" s="168"/>
      <c r="B841" s="169"/>
      <c r="C841" s="956"/>
      <c r="D841" s="956"/>
      <c r="E841" s="1009"/>
      <c r="F841" s="1010"/>
      <c r="G841" s="1009">
        <f>+VLOOKUP(Data_Validation!$A841,BV_Data_An_Cour!$L:$Q,6,0)</f>
        <v>0</v>
      </c>
      <c r="H841" s="188"/>
    </row>
    <row r="842" spans="1:8" ht="15" customHeight="1">
      <c r="A842" s="166"/>
      <c r="B842" s="166"/>
      <c r="C842" s="956"/>
      <c r="D842" s="956"/>
      <c r="E842" s="1009"/>
      <c r="F842" s="1010"/>
      <c r="G842" s="1009">
        <f>+VLOOKUP(Data_Validation!$A842,BV_Data_An_Cour!$L:$Q,6,0)</f>
        <v>0</v>
      </c>
      <c r="H842" s="188"/>
    </row>
    <row r="843" spans="1:8" ht="15" customHeight="1">
      <c r="A843" s="166"/>
      <c r="B843" s="166"/>
      <c r="C843" s="956"/>
      <c r="D843" s="956"/>
      <c r="E843" s="1009"/>
      <c r="F843" s="1010"/>
      <c r="G843" s="1009">
        <f>+VLOOKUP(Data_Validation!$A843,BV_Data_An_Cour!$L:$Q,6,0)</f>
        <v>0</v>
      </c>
      <c r="H843" s="188"/>
    </row>
    <row r="844" spans="1:8" ht="15" customHeight="1">
      <c r="A844" s="167"/>
      <c r="B844" s="166"/>
      <c r="C844" s="956"/>
      <c r="D844" s="956"/>
      <c r="E844" s="1009"/>
      <c r="F844" s="1010"/>
      <c r="G844" s="1009">
        <f>+VLOOKUP(Data_Validation!$A844,BV_Data_An_Cour!$L:$Q,6,0)</f>
        <v>0</v>
      </c>
      <c r="H844" s="188"/>
    </row>
    <row r="845" spans="1:8" ht="15" customHeight="1">
      <c r="A845" s="167"/>
      <c r="B845" s="166"/>
      <c r="C845" s="956"/>
      <c r="D845" s="956"/>
      <c r="E845" s="1009"/>
      <c r="F845" s="1010"/>
      <c r="G845" s="1009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09"/>
      <c r="F846" s="1010"/>
      <c r="G846" s="1009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09"/>
      <c r="F847" s="1010"/>
      <c r="G847" s="1009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09"/>
      <c r="F848" s="1010"/>
      <c r="G848" s="1009">
        <f>+VLOOKUP(Data_Validation!$A848,BV_Data_An_Cour!$L:$Q,6,0)</f>
        <v>0</v>
      </c>
      <c r="H848" s="188"/>
    </row>
    <row r="849" spans="1:29" ht="15" customHeight="1">
      <c r="A849" s="168"/>
      <c r="B849" s="169"/>
      <c r="C849" s="956"/>
      <c r="D849" s="956"/>
      <c r="E849" s="1012"/>
      <c r="F849" s="1012"/>
      <c r="G849" s="1012">
        <f>+VLOOKUP(Data_Validation!$A849,BV_Data_An_Cour!$L:$Q,6,0)</f>
        <v>0</v>
      </c>
    </row>
    <row r="850" spans="1:29" ht="15" customHeight="1">
      <c r="A850" s="167"/>
      <c r="B850" s="166"/>
      <c r="C850" s="956"/>
      <c r="D850" s="956"/>
      <c r="E850" s="1009"/>
      <c r="F850" s="1010"/>
      <c r="G850" s="1009">
        <f>+VLOOKUP(Data_Validation!$A850,BV_Data_An_Cour!$L:$Q,6,0)</f>
        <v>0</v>
      </c>
    </row>
    <row r="851" spans="1:29" ht="15" customHeight="1">
      <c r="A851" s="168"/>
      <c r="B851" s="169"/>
      <c r="C851" s="956"/>
      <c r="D851" s="956"/>
      <c r="E851" s="1012"/>
      <c r="F851" s="1012"/>
      <c r="G851" s="1012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09"/>
      <c r="F852" s="1010"/>
      <c r="G852" s="1009">
        <f>+VLOOKUP(Data_Validation!$A852,BV_Data_An_Cour!$L:$Q,6,0)</f>
        <v>0</v>
      </c>
    </row>
    <row r="853" spans="1:29" ht="15" customHeight="1">
      <c r="A853" s="167"/>
      <c r="B853" s="166"/>
      <c r="C853" s="956"/>
      <c r="D853" s="956"/>
      <c r="E853" s="1009"/>
      <c r="F853" s="1010"/>
      <c r="G853" s="1009">
        <f>+VLOOKUP(Data_Validation!$A853,BV_Data_An_Cour!$L:$Q,6,0)</f>
        <v>0</v>
      </c>
    </row>
    <row r="854" spans="1:29" ht="15" customHeight="1">
      <c r="A854" s="168"/>
      <c r="B854" s="169"/>
      <c r="C854" s="956"/>
      <c r="D854" s="956"/>
      <c r="E854" s="1012"/>
      <c r="F854" s="1012"/>
      <c r="G854" s="1012">
        <f>+VLOOKUP(Data_Validation!$A854,BV_Data_An_Cour!$L:$Q,6,0)</f>
        <v>0</v>
      </c>
    </row>
    <row r="855" spans="1:29" ht="15" customHeight="1">
      <c r="A855" s="166"/>
      <c r="B855" s="166"/>
      <c r="C855" s="956"/>
      <c r="D855" s="956"/>
      <c r="E855" s="1009"/>
      <c r="F855" s="1010"/>
      <c r="G855" s="1009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2"/>
      <c r="F856" s="1012"/>
      <c r="G856" s="1012">
        <f>+VLOOKUP(Data_Validation!$A856,BV_Data_An_Cour!$L:$Q,6,0)</f>
        <v>0</v>
      </c>
    </row>
    <row r="857" spans="1:29" ht="15" customHeight="1">
      <c r="A857" s="167"/>
      <c r="B857" s="166"/>
      <c r="C857" s="956"/>
      <c r="D857" s="956"/>
      <c r="E857" s="1009"/>
      <c r="F857" s="1010"/>
      <c r="G857" s="1009">
        <f>+VLOOKUP(Data_Validation!$A857,BV_Data_An_Cour!$L:$Q,6,0)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customHeight="1">
      <c r="A858" s="168"/>
      <c r="B858" s="169"/>
      <c r="C858" s="956"/>
      <c r="D858" s="956"/>
      <c r="E858" s="1012"/>
      <c r="F858" s="1012"/>
      <c r="G858" s="1012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09"/>
      <c r="F859" s="1010"/>
      <c r="G859" s="1009">
        <f>+VLOOKUP(Data_Validation!$A859,BV_Data_An_Cour!$L:$Q,6,0)</f>
        <v>0</v>
      </c>
    </row>
    <row r="860" spans="1:29" ht="15" customHeight="1">
      <c r="A860" s="168"/>
      <c r="B860" s="169"/>
      <c r="C860" s="956"/>
      <c r="D860" s="956"/>
      <c r="E860" s="1012"/>
      <c r="F860" s="1012"/>
      <c r="G860" s="1012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09"/>
      <c r="F861" s="1010"/>
      <c r="G861" s="1009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2"/>
      <c r="F862" s="1012"/>
      <c r="G862" s="1012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09"/>
      <c r="F863" s="1010"/>
      <c r="G863" s="1009">
        <f>+VLOOKUP(Data_Validation!$A863,BV_Data_An_Cour!$L:$Q,6,0)</f>
        <v>0</v>
      </c>
      <c r="H863" s="538"/>
    </row>
    <row r="864" spans="1:29" ht="15" customHeight="1">
      <c r="A864" s="168"/>
      <c r="B864" s="169"/>
      <c r="C864" s="956"/>
      <c r="D864" s="956"/>
      <c r="E864" s="1012"/>
      <c r="F864" s="1012"/>
      <c r="G864" s="1012">
        <f>+VLOOKUP(Data_Validation!$A864,BV_Data_An_Cour!$L:$Q,6,0)</f>
        <v>0</v>
      </c>
      <c r="H864" s="163"/>
    </row>
    <row r="865" spans="1:29" ht="15" customHeight="1">
      <c r="A865" s="166"/>
      <c r="B865" s="166"/>
      <c r="C865" s="956"/>
      <c r="D865" s="956"/>
      <c r="E865" s="1009"/>
      <c r="F865" s="1010"/>
      <c r="G865" s="1009">
        <f>+VLOOKUP(Data_Validation!$A865,BV_Data_An_Cour!$L:$Q,6,0)</f>
        <v>0</v>
      </c>
      <c r="H865" s="163"/>
    </row>
    <row r="866" spans="1:29" ht="15" customHeight="1">
      <c r="A866" s="166"/>
      <c r="B866" s="166"/>
      <c r="C866" s="956"/>
      <c r="D866" s="956"/>
      <c r="E866" s="1009"/>
      <c r="F866" s="1010"/>
      <c r="G866" s="1009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09"/>
      <c r="F867" s="1010"/>
      <c r="G867" s="1009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09"/>
      <c r="F868" s="1010"/>
      <c r="G868" s="1009">
        <f>+VLOOKUP(Data_Validation!$A868,BV_Data_An_Cour!$L:$Q,6,0)</f>
        <v>0</v>
      </c>
      <c r="H868" s="165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customHeight="1">
      <c r="A869" s="166"/>
      <c r="B869" s="166"/>
      <c r="C869" s="956"/>
      <c r="D869" s="956"/>
      <c r="E869" s="1009"/>
      <c r="F869" s="1010"/>
      <c r="G869" s="1009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09"/>
      <c r="F870" s="1010"/>
      <c r="G870" s="1009">
        <f>+VLOOKUP(Data_Validation!$A870,BV_Data_An_Cour!$L:$Q,6,0)</f>
        <v>0</v>
      </c>
      <c r="H870" s="163"/>
    </row>
    <row r="871" spans="1:29" ht="15" customHeight="1">
      <c r="A871" s="167"/>
      <c r="B871" s="171"/>
      <c r="C871" s="956"/>
      <c r="D871" s="956"/>
      <c r="E871" s="1009"/>
      <c r="F871" s="1010"/>
      <c r="G871" s="1009"/>
      <c r="H871" s="163"/>
    </row>
    <row r="872" spans="1:29" ht="15" customHeight="1">
      <c r="A872" s="167"/>
      <c r="B872" s="171"/>
      <c r="C872" s="956"/>
      <c r="D872" s="956"/>
      <c r="E872" s="1009"/>
      <c r="F872" s="1010"/>
      <c r="G872" s="1009"/>
      <c r="H872" s="163"/>
    </row>
    <row r="873" spans="1:29" ht="15" customHeight="1">
      <c r="A873" s="167"/>
      <c r="B873" s="171"/>
      <c r="C873" s="956"/>
      <c r="D873" s="956"/>
      <c r="E873" s="1009"/>
      <c r="F873" s="1010"/>
      <c r="G873" s="1009"/>
      <c r="H873" s="163"/>
    </row>
    <row r="874" spans="1:29" ht="15" customHeight="1">
      <c r="A874" s="167"/>
      <c r="B874" s="171"/>
      <c r="C874" s="956"/>
      <c r="D874" s="956"/>
      <c r="E874" s="1009"/>
      <c r="F874" s="1010"/>
      <c r="G874" s="1009"/>
      <c r="H874" s="165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customHeight="1">
      <c r="A875" s="167"/>
      <c r="B875" s="171"/>
      <c r="C875" s="956"/>
      <c r="D875" s="956"/>
      <c r="E875" s="1009"/>
      <c r="F875" s="1010"/>
      <c r="G875" s="1009"/>
      <c r="H875" s="163"/>
    </row>
    <row r="876" spans="1:29" ht="15" customHeight="1">
      <c r="A876" s="167"/>
      <c r="B876" s="171"/>
      <c r="C876" s="956"/>
      <c r="D876" s="956"/>
      <c r="E876" s="1009"/>
      <c r="F876" s="1010"/>
      <c r="G876" s="1009"/>
      <c r="H876" s="163"/>
    </row>
    <row r="877" spans="1:29" ht="15" customHeight="1">
      <c r="A877" s="167"/>
      <c r="B877" s="171"/>
      <c r="C877" s="956"/>
      <c r="D877" s="956"/>
      <c r="E877" s="1009"/>
      <c r="F877" s="1010"/>
      <c r="G877" s="1009"/>
      <c r="H877" s="165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customHeight="1">
      <c r="A878" s="1029"/>
      <c r="B878" s="1022"/>
      <c r="C878" s="1023"/>
      <c r="D878" s="956"/>
      <c r="E878" s="1009"/>
      <c r="F878" s="1010"/>
      <c r="G878" s="1009"/>
      <c r="H878" s="163"/>
    </row>
    <row r="879" spans="1:29" ht="15" customHeight="1">
      <c r="A879" s="167"/>
      <c r="B879" s="171"/>
      <c r="C879" s="956"/>
      <c r="D879" s="956"/>
      <c r="E879" s="1009"/>
      <c r="F879" s="1010"/>
      <c r="G879" s="1009"/>
      <c r="H879" s="163"/>
    </row>
    <row r="880" spans="1:29" ht="15" customHeight="1">
      <c r="A880" s="167"/>
      <c r="B880" s="171"/>
      <c r="C880" s="956"/>
      <c r="D880" s="956"/>
      <c r="E880" s="1009"/>
      <c r="F880" s="1010"/>
      <c r="G880" s="1009"/>
      <c r="H880" s="163"/>
    </row>
    <row r="881" spans="1:8" ht="15" customHeight="1">
      <c r="A881" s="167"/>
      <c r="B881" s="171"/>
      <c r="C881" s="956"/>
      <c r="D881" s="956"/>
      <c r="E881" s="1009"/>
      <c r="F881" s="1010"/>
      <c r="G881" s="1009"/>
      <c r="H881" s="163"/>
    </row>
    <row r="882" spans="1:8" ht="15" customHeight="1">
      <c r="A882" s="167"/>
      <c r="B882" s="171"/>
      <c r="C882" s="956"/>
      <c r="D882" s="956"/>
      <c r="E882" s="1009"/>
      <c r="F882" s="1010"/>
      <c r="G882" s="1009"/>
      <c r="H882" s="163"/>
    </row>
    <row r="883" spans="1:8" ht="15" customHeight="1">
      <c r="A883" s="167"/>
      <c r="B883" s="171"/>
      <c r="C883" s="956"/>
      <c r="D883" s="956"/>
      <c r="E883" s="1009"/>
      <c r="F883" s="1010"/>
      <c r="G883" s="1009"/>
      <c r="H883" s="163"/>
    </row>
    <row r="884" spans="1:8" ht="15" customHeight="1">
      <c r="A884" s="167"/>
      <c r="B884" s="171"/>
      <c r="C884" s="956"/>
      <c r="D884" s="956"/>
      <c r="E884" s="1009"/>
      <c r="F884" s="1010"/>
      <c r="G884" s="1009"/>
      <c r="H884" s="163"/>
    </row>
    <row r="885" spans="1:8" ht="15" customHeight="1">
      <c r="A885" s="167"/>
      <c r="B885" s="171"/>
      <c r="C885" s="956"/>
      <c r="D885" s="956"/>
      <c r="E885" s="1009"/>
      <c r="F885" s="1010"/>
      <c r="G885" s="1009"/>
      <c r="H885" s="163"/>
    </row>
    <row r="886" spans="1:8" ht="15" customHeight="1">
      <c r="A886" s="167"/>
      <c r="B886" s="171"/>
      <c r="C886" s="956"/>
      <c r="D886" s="956"/>
      <c r="E886" s="1009"/>
      <c r="F886" s="1010"/>
      <c r="G886" s="1009"/>
      <c r="H886" s="163"/>
    </row>
    <row r="887" spans="1:8" ht="15" customHeight="1">
      <c r="A887" s="167"/>
      <c r="B887" s="171"/>
      <c r="C887" s="956"/>
      <c r="D887" s="956"/>
      <c r="E887" s="1009"/>
      <c r="F887" s="1010"/>
      <c r="G887" s="1009"/>
      <c r="H887" s="163"/>
    </row>
    <row r="888" spans="1:8" ht="15" customHeight="1">
      <c r="A888" s="167"/>
      <c r="B888" s="171"/>
      <c r="C888" s="956"/>
      <c r="D888" s="956"/>
      <c r="E888" s="1009"/>
      <c r="F888" s="1010"/>
      <c r="G888" s="1009"/>
      <c r="H888" s="163"/>
    </row>
    <row r="889" spans="1:8" ht="15" customHeight="1">
      <c r="A889" s="167"/>
      <c r="B889" s="171"/>
      <c r="C889" s="956"/>
      <c r="D889" s="956"/>
      <c r="E889" s="1009"/>
      <c r="F889" s="1010"/>
      <c r="G889" s="1009"/>
      <c r="H889" s="163"/>
    </row>
    <row r="890" spans="1:8" ht="15" customHeight="1">
      <c r="A890" s="964"/>
      <c r="B890" s="171"/>
      <c r="C890" s="956"/>
      <c r="D890" s="956"/>
      <c r="E890" s="1009"/>
      <c r="F890" s="1010"/>
      <c r="G890" s="1009"/>
      <c r="H890" s="163"/>
    </row>
    <row r="891" spans="1:8" ht="15" customHeight="1">
      <c r="A891" s="964"/>
      <c r="B891" s="171"/>
      <c r="C891" s="956"/>
      <c r="D891" s="956"/>
      <c r="E891" s="1009"/>
      <c r="F891" s="1010"/>
      <c r="G891" s="1009"/>
      <c r="H891" s="163"/>
    </row>
    <row r="892" spans="1:8" ht="15" customHeight="1">
      <c r="A892" s="167"/>
      <c r="B892" s="171"/>
      <c r="C892" s="956"/>
      <c r="D892" s="956"/>
      <c r="E892" s="1009"/>
      <c r="F892" s="1010"/>
      <c r="G892" s="1009"/>
      <c r="H892" s="163"/>
    </row>
    <row r="893" spans="1:8" ht="15" customHeight="1">
      <c r="A893" s="167"/>
      <c r="B893" s="171"/>
      <c r="C893" s="956"/>
      <c r="D893" s="956"/>
      <c r="E893" s="1009"/>
      <c r="F893" s="1010"/>
      <c r="G893" s="1009"/>
      <c r="H893" s="163"/>
    </row>
    <row r="894" spans="1:8" ht="15" customHeight="1">
      <c r="A894" s="167"/>
      <c r="B894" s="171"/>
      <c r="C894" s="956"/>
      <c r="D894" s="956"/>
      <c r="E894" s="1009"/>
      <c r="F894" s="1010"/>
      <c r="G894" s="1009"/>
      <c r="H894" s="163"/>
    </row>
    <row r="895" spans="1:8" ht="15" customHeight="1">
      <c r="A895" s="965"/>
      <c r="B895" s="1032"/>
      <c r="C895" s="956"/>
      <c r="D895" s="956"/>
      <c r="E895" s="1009"/>
      <c r="F895" s="1010"/>
      <c r="G895" s="1009"/>
      <c r="H895" s="163"/>
    </row>
    <row r="896" spans="1:8" ht="15" customHeight="1">
      <c r="A896" s="167"/>
      <c r="B896" s="171"/>
      <c r="C896" s="956"/>
      <c r="D896" s="956"/>
      <c r="E896" s="1009"/>
      <c r="F896" s="1010"/>
      <c r="G896" s="1009"/>
      <c r="H896" s="163"/>
    </row>
    <row r="897" spans="1:11" ht="15" customHeight="1">
      <c r="A897" s="167"/>
      <c r="B897" s="171"/>
      <c r="C897" s="956"/>
      <c r="D897" s="956"/>
      <c r="E897" s="1009"/>
      <c r="F897" s="1010"/>
      <c r="G897" s="1009"/>
      <c r="H897" s="163"/>
    </row>
    <row r="898" spans="1:11" ht="15" customHeight="1">
      <c r="A898" s="167"/>
      <c r="B898" s="171"/>
      <c r="C898" s="956"/>
      <c r="D898" s="956"/>
      <c r="E898" s="1009"/>
      <c r="F898" s="1010"/>
      <c r="G898" s="1009"/>
      <c r="H898" s="163"/>
    </row>
    <row r="899" spans="1:11" ht="15" customHeight="1">
      <c r="A899" s="167"/>
      <c r="B899" s="171"/>
      <c r="C899" s="956"/>
      <c r="D899" s="956"/>
      <c r="E899" s="1009"/>
      <c r="F899" s="1010"/>
      <c r="G899" s="1009"/>
      <c r="H899" s="163"/>
    </row>
    <row r="900" spans="1:11" ht="15" customHeight="1">
      <c r="A900" s="167"/>
      <c r="B900" s="171"/>
      <c r="C900" s="956"/>
      <c r="D900" s="956"/>
      <c r="E900" s="1009"/>
      <c r="F900" s="1010"/>
      <c r="G900" s="1009"/>
      <c r="H900" s="163"/>
    </row>
    <row r="901" spans="1:11" ht="15" customHeight="1">
      <c r="A901" s="167"/>
      <c r="B901" s="171"/>
      <c r="C901" s="956"/>
      <c r="D901" s="956"/>
      <c r="E901" s="1009"/>
      <c r="F901" s="1010"/>
      <c r="G901" s="1009"/>
      <c r="H901" s="163"/>
    </row>
    <row r="902" spans="1:11" ht="15" customHeight="1">
      <c r="A902" s="167"/>
      <c r="B902" s="171"/>
      <c r="C902" s="956"/>
      <c r="D902" s="956"/>
      <c r="E902" s="1009"/>
      <c r="F902" s="1010"/>
      <c r="G902" s="1009"/>
      <c r="H902" s="163"/>
    </row>
    <row r="903" spans="1:11" ht="15" customHeight="1">
      <c r="A903" s="167"/>
      <c r="B903" s="171"/>
      <c r="C903" s="956"/>
      <c r="D903" s="956"/>
      <c r="E903" s="1009"/>
      <c r="F903" s="1010"/>
      <c r="G903" s="1009"/>
      <c r="H903" s="163"/>
    </row>
    <row r="904" spans="1:11" ht="15" customHeight="1">
      <c r="A904" s="167"/>
      <c r="B904" s="171"/>
      <c r="C904" s="956"/>
      <c r="D904" s="956"/>
      <c r="E904" s="1009"/>
      <c r="F904" s="1010"/>
      <c r="G904" s="1009"/>
      <c r="H904" s="163"/>
    </row>
    <row r="905" spans="1:11" ht="15" customHeight="1">
      <c r="A905" s="167"/>
      <c r="B905" s="956"/>
      <c r="C905" s="956"/>
      <c r="D905" s="956"/>
      <c r="E905" s="1009"/>
      <c r="F905" s="1010"/>
      <c r="G905" s="1009"/>
      <c r="H905" s="163"/>
    </row>
    <row r="906" spans="1:11" ht="15" customHeight="1">
      <c r="A906" s="167"/>
      <c r="B906" s="171"/>
      <c r="C906" s="956"/>
      <c r="D906" s="956"/>
      <c r="E906" s="1009"/>
      <c r="F906" s="1010"/>
      <c r="G906" s="1009"/>
      <c r="H906" s="163"/>
    </row>
    <row r="907" spans="1:11" ht="15" customHeight="1">
      <c r="A907" s="167"/>
      <c r="B907" s="171"/>
      <c r="C907" s="956"/>
      <c r="D907" s="956"/>
      <c r="E907" s="1009"/>
      <c r="F907" s="1010"/>
      <c r="G907" s="1009"/>
      <c r="H907" s="163"/>
    </row>
    <row r="908" spans="1:11" ht="15" customHeight="1">
      <c r="A908" s="167"/>
      <c r="B908" s="171"/>
      <c r="C908" s="956"/>
      <c r="D908" s="956"/>
      <c r="E908" s="1009"/>
      <c r="F908" s="1010"/>
      <c r="G908" s="1009"/>
      <c r="H908" s="163"/>
      <c r="K908" s="2"/>
    </row>
    <row r="909" spans="1:11" ht="15" customHeight="1">
      <c r="A909" s="167"/>
      <c r="B909" s="171"/>
      <c r="C909" s="956"/>
      <c r="D909" s="956"/>
      <c r="E909" s="1009"/>
      <c r="F909" s="1010"/>
      <c r="G909" s="1009"/>
      <c r="H909" s="163"/>
    </row>
    <row r="910" spans="1:11" ht="15" customHeight="1">
      <c r="A910" s="167"/>
      <c r="B910" s="171"/>
      <c r="C910" s="956"/>
      <c r="D910" s="956"/>
      <c r="E910" s="1009"/>
      <c r="F910" s="1010"/>
      <c r="G910" s="1009"/>
      <c r="H910" s="163"/>
    </row>
    <row r="911" spans="1:11" ht="15" customHeight="1">
      <c r="A911" s="167"/>
      <c r="B911" s="171"/>
      <c r="C911" s="956"/>
      <c r="D911" s="956"/>
      <c r="E911" s="1009"/>
      <c r="F911" s="1010"/>
      <c r="G911" s="1009"/>
      <c r="H911" s="163"/>
    </row>
    <row r="912" spans="1:11" ht="15" customHeight="1">
      <c r="A912" s="167"/>
      <c r="B912" s="171"/>
      <c r="C912" s="956"/>
      <c r="D912" s="956"/>
      <c r="E912" s="1009"/>
      <c r="F912" s="1010"/>
      <c r="G912" s="1009"/>
      <c r="H912" s="163"/>
    </row>
    <row r="913" spans="1:11" ht="15" customHeight="1">
      <c r="A913" s="167"/>
      <c r="B913" s="171"/>
      <c r="C913" s="956"/>
      <c r="D913" s="956"/>
      <c r="E913" s="1009"/>
      <c r="F913" s="1010"/>
      <c r="G913" s="1009"/>
      <c r="H913" s="163"/>
    </row>
    <row r="914" spans="1:11" ht="15" customHeight="1">
      <c r="A914" s="167"/>
      <c r="B914" s="171"/>
      <c r="C914" s="956"/>
      <c r="D914" s="956"/>
      <c r="E914" s="1009"/>
      <c r="F914" s="1010"/>
      <c r="G914" s="1009"/>
      <c r="H914" s="163"/>
    </row>
    <row r="915" spans="1:11" ht="15" customHeight="1">
      <c r="A915" s="167"/>
      <c r="B915" s="171"/>
      <c r="C915" s="956"/>
      <c r="D915" s="956"/>
      <c r="E915" s="1009"/>
      <c r="F915" s="1010"/>
      <c r="G915" s="1009"/>
      <c r="H915" s="163"/>
    </row>
    <row r="916" spans="1:11" ht="15" customHeight="1">
      <c r="A916" s="167"/>
      <c r="B916" s="171"/>
      <c r="C916" s="956"/>
      <c r="D916" s="956"/>
      <c r="E916" s="1009"/>
      <c r="F916" s="1010"/>
      <c r="G916" s="1009"/>
      <c r="H916" s="163"/>
    </row>
    <row r="917" spans="1:11" ht="15" customHeight="1">
      <c r="A917" s="167"/>
      <c r="B917" s="171"/>
      <c r="C917" s="956"/>
      <c r="D917" s="956"/>
      <c r="E917" s="1009"/>
      <c r="F917" s="1010"/>
      <c r="G917" s="1009"/>
      <c r="H917" s="163"/>
    </row>
    <row r="918" spans="1:11" ht="15" customHeight="1">
      <c r="A918" s="167"/>
      <c r="B918" s="171"/>
      <c r="C918" s="956"/>
      <c r="D918" s="956"/>
      <c r="E918" s="1009"/>
      <c r="F918" s="1010"/>
      <c r="G918" s="1009"/>
      <c r="H918" s="163"/>
    </row>
    <row r="919" spans="1:11" ht="15" customHeight="1">
      <c r="A919" s="167"/>
      <c r="B919" s="171"/>
      <c r="C919" s="956"/>
      <c r="D919" s="956"/>
      <c r="E919" s="1009"/>
      <c r="F919" s="1010"/>
      <c r="G919" s="1009"/>
      <c r="H919" s="163"/>
      <c r="K919" s="2"/>
    </row>
    <row r="920" spans="1:11" ht="15" customHeight="1">
      <c r="A920" s="167"/>
      <c r="B920" s="171"/>
      <c r="C920" s="956"/>
      <c r="D920" s="956"/>
      <c r="E920" s="1009"/>
      <c r="F920" s="1010"/>
      <c r="G920" s="1009"/>
      <c r="H920" s="163"/>
    </row>
    <row r="921" spans="1:11" ht="15" customHeight="1">
      <c r="A921" s="167"/>
      <c r="B921" s="171"/>
      <c r="C921" s="956"/>
      <c r="D921" s="956"/>
      <c r="E921" s="1009"/>
      <c r="F921" s="1010"/>
      <c r="G921" s="1009"/>
      <c r="H921" s="163"/>
    </row>
    <row r="922" spans="1:11" ht="15" customHeight="1">
      <c r="A922" s="167"/>
      <c r="B922" s="171"/>
      <c r="C922" s="956"/>
      <c r="D922" s="956"/>
      <c r="E922" s="1009"/>
      <c r="F922" s="1010"/>
      <c r="G922" s="1009"/>
      <c r="H922" s="163"/>
    </row>
    <row r="923" spans="1:11" ht="15" customHeight="1">
      <c r="A923" s="167"/>
      <c r="B923" s="171"/>
      <c r="C923" s="956"/>
      <c r="D923" s="956"/>
      <c r="E923" s="1009"/>
      <c r="F923" s="1010"/>
      <c r="G923" s="1009"/>
      <c r="H923" s="163"/>
    </row>
    <row r="924" spans="1:11" ht="15" customHeight="1">
      <c r="A924" s="167"/>
      <c r="B924" s="171"/>
      <c r="C924" s="956"/>
      <c r="D924" s="956"/>
      <c r="E924" s="1009"/>
      <c r="F924" s="1010"/>
      <c r="G924" s="1009"/>
      <c r="H924" s="163"/>
    </row>
    <row r="925" spans="1:11" ht="15" customHeight="1">
      <c r="A925" s="167"/>
      <c r="B925" s="171"/>
      <c r="C925" s="956"/>
      <c r="D925" s="956"/>
      <c r="E925" s="1009"/>
      <c r="F925" s="1010"/>
      <c r="G925" s="1009"/>
      <c r="H925" s="163"/>
      <c r="K925" s="2"/>
    </row>
    <row r="926" spans="1:11" ht="15" customHeight="1">
      <c r="A926" s="167"/>
      <c r="B926" s="171"/>
      <c r="C926" s="956"/>
      <c r="D926" s="956"/>
      <c r="E926" s="1009"/>
      <c r="F926" s="1010"/>
      <c r="G926" s="1009"/>
      <c r="H926" s="163"/>
    </row>
    <row r="927" spans="1:11" ht="15" customHeight="1">
      <c r="A927" s="167"/>
      <c r="B927" s="171"/>
      <c r="C927" s="956"/>
      <c r="D927" s="956"/>
      <c r="E927" s="1009"/>
      <c r="F927" s="1010"/>
      <c r="G927" s="1009"/>
      <c r="H927" s="163"/>
    </row>
    <row r="928" spans="1:11" ht="15" customHeight="1">
      <c r="A928" s="167"/>
      <c r="B928" s="171"/>
      <c r="C928" s="956"/>
      <c r="D928" s="956"/>
      <c r="E928" s="1009"/>
      <c r="F928" s="1010"/>
      <c r="G928" s="1009"/>
      <c r="H928" s="163"/>
      <c r="K928" s="2"/>
    </row>
    <row r="929" spans="1:29" ht="15" customHeight="1">
      <c r="A929" s="167"/>
      <c r="B929" s="171"/>
      <c r="C929" s="956"/>
      <c r="D929" s="956"/>
      <c r="E929" s="1009"/>
      <c r="F929" s="1010"/>
      <c r="G929" s="1009"/>
      <c r="H929" s="163"/>
    </row>
    <row r="930" spans="1:29" ht="15" customHeight="1">
      <c r="A930" s="167"/>
      <c r="B930" s="171"/>
      <c r="C930" s="956"/>
      <c r="D930" s="956"/>
      <c r="E930" s="1009"/>
      <c r="F930" s="1010"/>
      <c r="G930" s="1009"/>
      <c r="H930" s="163"/>
    </row>
    <row r="931" spans="1:29" ht="15" customHeight="1">
      <c r="A931" s="167"/>
      <c r="B931" s="171"/>
      <c r="C931" s="956"/>
      <c r="D931" s="956"/>
      <c r="E931" s="1009"/>
      <c r="F931" s="1010"/>
      <c r="G931" s="1009"/>
      <c r="H931" s="163"/>
    </row>
    <row r="932" spans="1:29" ht="15" customHeight="1">
      <c r="A932" s="1033"/>
      <c r="B932" s="172"/>
      <c r="C932" s="956"/>
      <c r="D932" s="956"/>
      <c r="E932" s="1009"/>
      <c r="F932" s="1010"/>
      <c r="G932" s="1009"/>
      <c r="H932" s="163"/>
    </row>
    <row r="933" spans="1:29" ht="15" customHeight="1">
      <c r="A933" s="167"/>
      <c r="B933" s="171"/>
      <c r="C933" s="956"/>
      <c r="D933" s="956"/>
      <c r="E933" s="1009"/>
      <c r="F933" s="1010"/>
      <c r="G933" s="1009"/>
      <c r="H933" s="163"/>
    </row>
    <row r="934" spans="1:29" ht="15" customHeight="1">
      <c r="A934" s="167"/>
      <c r="B934" s="171"/>
      <c r="C934" s="956"/>
      <c r="D934" s="956"/>
      <c r="E934" s="1009"/>
      <c r="F934" s="1010"/>
      <c r="G934" s="1009"/>
      <c r="H934" s="163"/>
    </row>
    <row r="935" spans="1:29" ht="15" customHeight="1">
      <c r="A935" s="167"/>
      <c r="B935" s="171"/>
      <c r="C935" s="956"/>
      <c r="D935" s="956"/>
      <c r="E935" s="1009"/>
      <c r="F935" s="1010"/>
      <c r="G935" s="1009"/>
      <c r="H935" s="163"/>
    </row>
    <row r="936" spans="1:29" ht="15" customHeight="1">
      <c r="A936" s="167"/>
      <c r="B936" s="171"/>
      <c r="C936" s="956"/>
      <c r="D936" s="956"/>
      <c r="E936" s="1009"/>
      <c r="F936" s="1010"/>
      <c r="G936" s="1009"/>
      <c r="H936" s="163"/>
    </row>
    <row r="937" spans="1:29" ht="15" customHeight="1">
      <c r="A937" s="167"/>
      <c r="B937" s="171"/>
      <c r="C937" s="956"/>
      <c r="D937" s="956"/>
      <c r="E937" s="1009"/>
      <c r="F937" s="1010"/>
      <c r="G937" s="1009"/>
      <c r="H937" s="163"/>
    </row>
    <row r="938" spans="1:29" ht="15" customHeight="1">
      <c r="A938" s="167"/>
      <c r="B938" s="171"/>
      <c r="C938" s="956"/>
      <c r="D938" s="956"/>
      <c r="E938" s="1009"/>
      <c r="F938" s="1010"/>
      <c r="G938" s="1009"/>
      <c r="H938" s="165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customHeight="1">
      <c r="A939" s="167"/>
      <c r="B939" s="171"/>
      <c r="C939" s="956"/>
      <c r="D939" s="956"/>
      <c r="E939" s="1009"/>
      <c r="F939" s="1010"/>
      <c r="G939" s="1009"/>
      <c r="H939" s="163"/>
    </row>
    <row r="940" spans="1:29" ht="15" customHeight="1">
      <c r="A940" s="167"/>
      <c r="B940" s="171"/>
      <c r="C940" s="956"/>
      <c r="D940" s="956"/>
      <c r="E940" s="1009"/>
      <c r="F940" s="1010"/>
      <c r="G940" s="1009"/>
      <c r="H940" s="163"/>
    </row>
    <row r="941" spans="1:29" ht="15" customHeight="1">
      <c r="A941" s="167"/>
      <c r="B941" s="171"/>
      <c r="C941" s="956"/>
      <c r="D941" s="956"/>
      <c r="E941" s="1009"/>
      <c r="F941" s="1010"/>
      <c r="G941" s="1009"/>
      <c r="H941" s="163"/>
    </row>
    <row r="942" spans="1:29" ht="15" customHeight="1">
      <c r="A942" s="167"/>
      <c r="B942" s="171"/>
      <c r="C942" s="956"/>
      <c r="D942" s="956"/>
      <c r="E942" s="1009"/>
      <c r="F942" s="1010"/>
      <c r="G942" s="1009"/>
      <c r="H942" s="163"/>
    </row>
    <row r="943" spans="1:29" ht="15" customHeight="1">
      <c r="A943" s="167"/>
      <c r="B943" s="171"/>
      <c r="C943" s="956"/>
      <c r="D943" s="956"/>
      <c r="E943" s="1009"/>
      <c r="F943" s="1010"/>
      <c r="G943" s="1009"/>
      <c r="H943" s="163"/>
    </row>
    <row r="944" spans="1:29" ht="15" customHeight="1">
      <c r="A944" s="167"/>
      <c r="B944" s="171"/>
      <c r="C944" s="956"/>
      <c r="D944" s="956"/>
      <c r="E944" s="1009"/>
      <c r="F944" s="1010"/>
      <c r="G944" s="1009"/>
      <c r="H944" s="163"/>
    </row>
    <row r="945" spans="1:15" ht="15" customHeight="1">
      <c r="A945" s="167"/>
      <c r="B945" s="171"/>
      <c r="C945" s="956"/>
      <c r="D945" s="956"/>
      <c r="E945" s="1009"/>
      <c r="F945" s="1010"/>
      <c r="G945" s="1009"/>
      <c r="H945" s="163"/>
    </row>
    <row r="946" spans="1:15" ht="15" customHeight="1">
      <c r="A946" s="167"/>
      <c r="B946" s="171"/>
      <c r="C946" s="956"/>
      <c r="D946" s="956"/>
      <c r="E946" s="1009"/>
      <c r="F946" s="1010"/>
      <c r="G946" s="1009"/>
      <c r="H946" s="163"/>
    </row>
    <row r="947" spans="1:15" ht="15" customHeight="1">
      <c r="A947" s="167"/>
      <c r="B947" s="171"/>
      <c r="C947" s="956"/>
      <c r="D947" s="956"/>
      <c r="E947" s="1009"/>
      <c r="F947" s="1010"/>
      <c r="G947" s="1009"/>
      <c r="H947" s="163"/>
    </row>
    <row r="948" spans="1:15" ht="15" customHeight="1">
      <c r="A948" s="167"/>
      <c r="B948" s="171"/>
      <c r="C948" s="956"/>
      <c r="D948" s="956"/>
      <c r="E948" s="1009"/>
      <c r="F948" s="1010"/>
      <c r="G948" s="1009"/>
      <c r="H948" s="163"/>
    </row>
    <row r="949" spans="1:15" ht="15" customHeight="1">
      <c r="A949" s="1033"/>
      <c r="B949" s="172"/>
      <c r="C949" s="956"/>
      <c r="D949" s="956"/>
      <c r="E949" s="1009"/>
      <c r="F949" s="1010"/>
      <c r="G949" s="1009"/>
      <c r="H949" s="163"/>
      <c r="M949" s="2"/>
      <c r="N949" s="2"/>
      <c r="O949" s="2"/>
    </row>
    <row r="950" spans="1:15" ht="15" customHeight="1">
      <c r="A950" s="167"/>
      <c r="B950" s="171"/>
      <c r="C950" s="956"/>
      <c r="D950" s="956"/>
      <c r="E950" s="1009"/>
      <c r="F950" s="1010"/>
      <c r="G950" s="1009"/>
      <c r="H950" s="163"/>
    </row>
    <row r="951" spans="1:15" ht="15" customHeight="1">
      <c r="A951" s="167"/>
      <c r="B951" s="171"/>
      <c r="C951" s="956"/>
      <c r="D951" s="956"/>
      <c r="E951" s="1009"/>
      <c r="F951" s="1010"/>
      <c r="G951" s="1009"/>
      <c r="H951" s="163"/>
    </row>
    <row r="952" spans="1:15" ht="15" customHeight="1">
      <c r="A952" s="167"/>
      <c r="B952" s="171"/>
      <c r="C952" s="956"/>
      <c r="D952" s="956"/>
      <c r="E952" s="1009"/>
      <c r="F952" s="1010"/>
      <c r="G952" s="1009"/>
      <c r="H952" s="163"/>
    </row>
    <row r="953" spans="1:15" ht="15" customHeight="1">
      <c r="A953" s="167"/>
      <c r="B953" s="171"/>
      <c r="C953" s="956"/>
      <c r="D953" s="956"/>
      <c r="E953" s="1009"/>
      <c r="F953" s="1010"/>
      <c r="G953" s="1009"/>
      <c r="H953" s="163"/>
    </row>
    <row r="954" spans="1:15" ht="15" customHeight="1">
      <c r="A954" s="167"/>
      <c r="B954" s="171"/>
      <c r="C954" s="956"/>
      <c r="D954" s="956"/>
      <c r="E954" s="1009"/>
      <c r="F954" s="1010"/>
      <c r="G954" s="1009"/>
      <c r="H954" s="163"/>
    </row>
    <row r="955" spans="1:15" ht="15" customHeight="1">
      <c r="A955" s="167"/>
      <c r="B955" s="171"/>
      <c r="C955" s="956"/>
      <c r="D955" s="956"/>
      <c r="E955" s="1009"/>
      <c r="F955" s="1010"/>
      <c r="G955" s="1009"/>
      <c r="H955" s="163"/>
    </row>
    <row r="956" spans="1:15" ht="15" customHeight="1">
      <c r="A956" s="167"/>
      <c r="B956" s="171"/>
      <c r="C956" s="956"/>
      <c r="D956" s="956"/>
      <c r="E956" s="1009"/>
      <c r="F956" s="1010"/>
      <c r="G956" s="1009"/>
      <c r="H956" s="163"/>
    </row>
    <row r="957" spans="1:15" ht="15" customHeight="1">
      <c r="A957" s="167"/>
      <c r="B957" s="171"/>
      <c r="C957" s="956"/>
      <c r="D957" s="956"/>
      <c r="E957" s="1009"/>
      <c r="F957" s="1010"/>
      <c r="G957" s="1009"/>
      <c r="H957" s="163"/>
    </row>
    <row r="958" spans="1:15" ht="15" customHeight="1">
      <c r="A958" s="167"/>
      <c r="B958" s="171"/>
      <c r="C958" s="956"/>
      <c r="D958" s="956"/>
      <c r="E958" s="1009"/>
      <c r="F958" s="1010"/>
      <c r="G958" s="1009"/>
      <c r="H958" s="163"/>
    </row>
    <row r="959" spans="1:15" ht="15" customHeight="1">
      <c r="A959" s="167"/>
      <c r="B959" s="171"/>
      <c r="C959" s="956"/>
      <c r="D959" s="956"/>
      <c r="E959" s="1009"/>
      <c r="F959" s="1010"/>
      <c r="G959" s="1009"/>
      <c r="H959" s="163"/>
    </row>
    <row r="960" spans="1:15" ht="15" customHeight="1">
      <c r="A960" s="167"/>
      <c r="B960" s="171"/>
      <c r="C960" s="956"/>
      <c r="D960" s="956"/>
      <c r="E960" s="1009"/>
      <c r="F960" s="1010"/>
      <c r="G960" s="1009"/>
      <c r="H960" s="163"/>
    </row>
    <row r="961" spans="1:29" ht="15" customHeight="1">
      <c r="A961" s="167"/>
      <c r="B961" s="171"/>
      <c r="C961" s="956"/>
      <c r="D961" s="956"/>
      <c r="E961" s="1009"/>
      <c r="F961" s="1010"/>
      <c r="G961" s="1009"/>
      <c r="H961" s="163"/>
    </row>
    <row r="962" spans="1:29" ht="15" customHeight="1">
      <c r="A962" s="167"/>
      <c r="B962" s="171"/>
      <c r="C962" s="956"/>
      <c r="D962" s="956"/>
      <c r="E962" s="1009"/>
      <c r="F962" s="1010"/>
      <c r="G962" s="1009"/>
      <c r="H962" s="163"/>
    </row>
    <row r="963" spans="1:29" ht="15" customHeight="1">
      <c r="A963" s="167"/>
      <c r="B963" s="171"/>
      <c r="C963" s="956"/>
      <c r="D963" s="956"/>
      <c r="E963" s="1009"/>
      <c r="F963" s="1010"/>
      <c r="G963" s="1009"/>
      <c r="H963" s="163"/>
    </row>
    <row r="964" spans="1:29" ht="15" customHeight="1">
      <c r="A964" s="167"/>
      <c r="B964" s="171"/>
      <c r="C964" s="956"/>
      <c r="D964" s="956"/>
      <c r="E964" s="1009"/>
      <c r="F964" s="1010"/>
      <c r="G964" s="1009"/>
      <c r="H964" s="163"/>
    </row>
    <row r="965" spans="1:29" ht="15" customHeight="1">
      <c r="A965" s="167"/>
      <c r="B965" s="171"/>
      <c r="C965" s="956"/>
      <c r="D965" s="956"/>
      <c r="E965" s="1009"/>
      <c r="F965" s="1010"/>
      <c r="G965" s="1009"/>
      <c r="H965" s="163"/>
    </row>
    <row r="966" spans="1:29" ht="15" customHeight="1">
      <c r="A966" s="167"/>
      <c r="B966" s="171"/>
      <c r="C966" s="956"/>
      <c r="D966" s="956"/>
      <c r="E966" s="1009"/>
      <c r="F966" s="1010"/>
      <c r="G966" s="1009"/>
      <c r="H966" s="163"/>
    </row>
    <row r="967" spans="1:29" ht="15" customHeight="1">
      <c r="A967" s="167"/>
      <c r="B967" s="956"/>
      <c r="C967" s="956"/>
      <c r="D967" s="956"/>
      <c r="E967" s="1009"/>
      <c r="F967" s="1010"/>
      <c r="G967" s="1009"/>
      <c r="H967" s="163"/>
    </row>
    <row r="968" spans="1:29" ht="15" customHeight="1">
      <c r="A968" s="167"/>
      <c r="B968" s="171"/>
      <c r="C968" s="956"/>
      <c r="D968" s="956"/>
      <c r="E968" s="1009"/>
      <c r="F968" s="1010"/>
      <c r="G968" s="1009"/>
      <c r="H968" s="163"/>
    </row>
    <row r="969" spans="1:29" ht="15" customHeight="1">
      <c r="A969" s="167"/>
      <c r="B969" s="171"/>
      <c r="C969" s="956"/>
      <c r="D969" s="956"/>
      <c r="E969" s="1009"/>
      <c r="F969" s="1010"/>
      <c r="G969" s="1009"/>
      <c r="H969" s="163"/>
    </row>
    <row r="970" spans="1:29" ht="15" customHeight="1">
      <c r="A970" s="173"/>
      <c r="B970" s="174"/>
      <c r="C970" s="175"/>
      <c r="D970" s="175"/>
      <c r="E970" s="1009"/>
      <c r="F970" s="1010"/>
      <c r="G970" s="1009"/>
      <c r="H970" s="163"/>
    </row>
    <row r="971" spans="1:29" ht="15" customHeight="1">
      <c r="A971" s="167"/>
      <c r="B971" s="171"/>
      <c r="C971" s="956"/>
      <c r="D971" s="956"/>
      <c r="E971" s="1009"/>
      <c r="F971" s="1010"/>
      <c r="G971" s="1009"/>
      <c r="H971" s="163"/>
    </row>
    <row r="972" spans="1:29" ht="15" customHeight="1">
      <c r="A972" s="167"/>
      <c r="B972" s="171"/>
      <c r="C972" s="956"/>
      <c r="D972" s="956"/>
      <c r="E972" s="1009"/>
      <c r="F972" s="1010"/>
      <c r="G972" s="1009"/>
      <c r="H972" s="163"/>
    </row>
    <row r="973" spans="1:29" ht="15" customHeight="1">
      <c r="A973" s="167"/>
      <c r="B973" s="171"/>
      <c r="C973" s="956"/>
      <c r="D973" s="956"/>
      <c r="E973" s="1009"/>
      <c r="F973" s="1010"/>
      <c r="G973" s="1009"/>
      <c r="H973" s="163"/>
    </row>
    <row r="974" spans="1:29" ht="15" customHeight="1">
      <c r="A974" s="167"/>
      <c r="B974" s="171"/>
      <c r="C974" s="956"/>
      <c r="D974" s="956"/>
      <c r="E974" s="1009"/>
      <c r="F974" s="1010"/>
      <c r="G974" s="1009"/>
      <c r="H974" s="165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customHeight="1">
      <c r="A975" s="167"/>
      <c r="B975" s="171"/>
      <c r="C975" s="956"/>
      <c r="D975" s="956"/>
      <c r="E975" s="1009"/>
      <c r="F975" s="1010"/>
      <c r="G975" s="1009"/>
      <c r="H975" s="163"/>
    </row>
    <row r="976" spans="1:29" ht="15" customHeight="1">
      <c r="A976" s="167"/>
      <c r="B976" s="171"/>
      <c r="C976" s="956"/>
      <c r="D976" s="956"/>
      <c r="E976" s="1009"/>
      <c r="F976" s="1010"/>
      <c r="G976" s="1009"/>
      <c r="H976" s="163"/>
    </row>
    <row r="977" spans="1:29" ht="15" customHeight="1">
      <c r="A977" s="167"/>
      <c r="B977" s="171"/>
      <c r="C977" s="956"/>
      <c r="D977" s="956"/>
      <c r="E977" s="1009"/>
      <c r="F977" s="1010"/>
      <c r="G977" s="1009"/>
      <c r="H977" s="165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customHeight="1">
      <c r="A978" s="167"/>
      <c r="B978" s="171"/>
      <c r="C978" s="956"/>
      <c r="D978" s="956"/>
      <c r="E978" s="1009"/>
      <c r="F978" s="1010"/>
      <c r="G978" s="1009"/>
      <c r="H978" s="165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customHeight="1">
      <c r="A979" s="167"/>
      <c r="B979" s="171"/>
      <c r="C979" s="956"/>
      <c r="D979" s="956"/>
      <c r="E979" s="1009"/>
      <c r="F979" s="1010"/>
      <c r="G979" s="1009"/>
      <c r="H979" s="163"/>
    </row>
    <row r="980" spans="1:29" ht="15" customHeight="1">
      <c r="A980" s="167"/>
      <c r="B980" s="171"/>
      <c r="C980" s="956"/>
      <c r="D980" s="956"/>
      <c r="E980" s="1009"/>
      <c r="F980" s="1010"/>
      <c r="G980" s="1009"/>
      <c r="H980" s="163"/>
    </row>
    <row r="981" spans="1:29" ht="15" customHeight="1">
      <c r="A981" s="167"/>
      <c r="B981" s="171"/>
      <c r="C981" s="956"/>
      <c r="D981" s="956"/>
      <c r="E981" s="1009"/>
      <c r="F981" s="1010"/>
      <c r="G981" s="1009"/>
      <c r="H981" s="163"/>
      <c r="K981" s="2"/>
    </row>
    <row r="982" spans="1:29" ht="15" customHeight="1">
      <c r="A982" s="167"/>
      <c r="B982" s="171"/>
      <c r="C982" s="956"/>
      <c r="D982" s="956"/>
      <c r="E982" s="1009"/>
      <c r="F982" s="1010"/>
      <c r="G982" s="1009"/>
      <c r="H982" s="163"/>
    </row>
    <row r="983" spans="1:29" ht="15" customHeight="1">
      <c r="A983" s="167"/>
      <c r="B983" s="171"/>
      <c r="C983" s="956"/>
      <c r="D983" s="956"/>
      <c r="E983" s="1009"/>
      <c r="F983" s="1010"/>
      <c r="G983" s="1009"/>
      <c r="H983" s="163"/>
    </row>
    <row r="984" spans="1:29" ht="15" customHeight="1">
      <c r="A984" s="167"/>
      <c r="B984" s="171"/>
      <c r="C984" s="956"/>
      <c r="D984" s="956"/>
      <c r="E984" s="1009"/>
      <c r="F984" s="1010"/>
      <c r="G984" s="1009"/>
      <c r="H984" s="165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customHeight="1">
      <c r="A985" s="167"/>
      <c r="B985" s="171"/>
      <c r="C985" s="956"/>
      <c r="D985" s="956"/>
      <c r="E985" s="1009"/>
      <c r="F985" s="1010"/>
      <c r="G985" s="1009"/>
      <c r="H985" s="163"/>
    </row>
    <row r="986" spans="1:29" ht="15" customHeight="1">
      <c r="A986" s="167"/>
      <c r="B986" s="171"/>
      <c r="C986" s="956"/>
      <c r="D986" s="956"/>
      <c r="E986" s="1009"/>
      <c r="F986" s="1010"/>
      <c r="G986" s="1009"/>
      <c r="H986" s="163"/>
    </row>
    <row r="987" spans="1:29" ht="15" customHeight="1">
      <c r="A987" s="167"/>
      <c r="B987" s="171"/>
      <c r="C987" s="956"/>
      <c r="D987" s="956"/>
      <c r="E987" s="1009"/>
      <c r="F987" s="1010"/>
      <c r="G987" s="1009"/>
      <c r="H987" s="163"/>
    </row>
    <row r="988" spans="1:29" ht="15" customHeight="1">
      <c r="A988" s="167"/>
      <c r="B988" s="171"/>
      <c r="C988" s="956"/>
      <c r="D988" s="956"/>
      <c r="E988" s="1009"/>
      <c r="F988" s="1010"/>
      <c r="G988" s="1009"/>
      <c r="H988" s="163"/>
    </row>
    <row r="989" spans="1:29" ht="15" customHeight="1">
      <c r="A989" s="167"/>
      <c r="B989" s="171"/>
      <c r="C989" s="956"/>
      <c r="D989" s="956"/>
      <c r="E989" s="1009"/>
      <c r="F989" s="1010"/>
      <c r="G989" s="1009"/>
      <c r="H989" s="163"/>
      <c r="K989" s="2"/>
    </row>
    <row r="990" spans="1:29" ht="15" customHeight="1">
      <c r="A990" s="167"/>
      <c r="B990" s="171"/>
      <c r="C990" s="956"/>
      <c r="D990" s="956"/>
      <c r="E990" s="1009"/>
      <c r="F990" s="1010"/>
      <c r="G990" s="1009"/>
      <c r="H990" s="163"/>
    </row>
    <row r="991" spans="1:29" ht="15" customHeight="1">
      <c r="A991" s="167"/>
      <c r="B991" s="171"/>
      <c r="C991" s="956"/>
      <c r="D991" s="956"/>
      <c r="E991" s="1009"/>
      <c r="F991" s="1010"/>
      <c r="G991" s="1009"/>
      <c r="H991" s="163"/>
    </row>
    <row r="992" spans="1:29" ht="15" customHeight="1">
      <c r="A992" s="167"/>
      <c r="B992" s="171"/>
      <c r="C992" s="956"/>
      <c r="D992" s="956"/>
      <c r="E992" s="1009"/>
      <c r="F992" s="1010"/>
      <c r="G992" s="1009"/>
      <c r="H992" s="163"/>
    </row>
    <row r="993" spans="1:8" ht="15" customHeight="1">
      <c r="A993" s="167"/>
      <c r="B993" s="171"/>
      <c r="C993" s="956"/>
      <c r="D993" s="956"/>
      <c r="E993" s="1009"/>
      <c r="F993" s="1010"/>
      <c r="G993" s="1009"/>
      <c r="H993" s="163"/>
    </row>
    <row r="994" spans="1:8" ht="15" customHeight="1">
      <c r="A994" s="167"/>
      <c r="B994" s="171"/>
      <c r="C994" s="956"/>
      <c r="D994" s="956"/>
      <c r="E994" s="1009"/>
      <c r="F994" s="1010"/>
      <c r="G994" s="1009"/>
      <c r="H994" s="163"/>
    </row>
    <row r="995" spans="1:8" ht="15" customHeight="1">
      <c r="A995" s="167"/>
      <c r="B995" s="171"/>
      <c r="C995" s="956"/>
      <c r="D995" s="956"/>
      <c r="E995" s="1009"/>
      <c r="F995" s="1010"/>
      <c r="G995" s="1009"/>
      <c r="H995" s="163"/>
    </row>
    <row r="996" spans="1:8" ht="15" customHeight="1">
      <c r="A996" s="167"/>
      <c r="B996" s="171"/>
      <c r="C996" s="956"/>
      <c r="D996" s="956"/>
      <c r="E996" s="1009"/>
      <c r="F996" s="1010"/>
      <c r="G996" s="1009"/>
      <c r="H996" s="163"/>
    </row>
    <row r="997" spans="1:8" ht="15" customHeight="1">
      <c r="A997" s="167"/>
      <c r="B997" s="171"/>
      <c r="C997" s="956"/>
      <c r="D997" s="956"/>
      <c r="E997" s="1009"/>
      <c r="F997" s="1010"/>
      <c r="G997" s="1009"/>
      <c r="H997" s="163"/>
    </row>
    <row r="998" spans="1:8" ht="15" customHeight="1">
      <c r="A998" s="167"/>
      <c r="B998" s="171"/>
      <c r="C998" s="956"/>
      <c r="D998" s="956"/>
      <c r="E998" s="1009"/>
      <c r="F998" s="1010"/>
      <c r="G998" s="1009"/>
      <c r="H998" s="163"/>
    </row>
    <row r="999" spans="1:8" ht="15" customHeight="1">
      <c r="A999" s="167"/>
      <c r="B999" s="171"/>
      <c r="C999" s="956"/>
      <c r="D999" s="956"/>
      <c r="E999" s="1009"/>
      <c r="F999" s="1010"/>
      <c r="G999" s="1009"/>
      <c r="H999" s="163"/>
    </row>
    <row r="1000" spans="1:8" ht="15" customHeight="1">
      <c r="A1000" s="167"/>
      <c r="B1000" s="171"/>
      <c r="C1000" s="956"/>
      <c r="D1000" s="956"/>
      <c r="E1000" s="1009"/>
      <c r="F1000" s="1010"/>
      <c r="G1000" s="1009"/>
      <c r="H1000" s="163"/>
    </row>
    <row r="1001" spans="1:8" ht="15" customHeight="1">
      <c r="A1001" s="167"/>
      <c r="B1001" s="171"/>
      <c r="C1001" s="956"/>
      <c r="D1001" s="956"/>
      <c r="E1001" s="1009"/>
      <c r="F1001" s="1010"/>
      <c r="G1001" s="1009"/>
      <c r="H1001" s="163"/>
    </row>
    <row r="1002" spans="1:8" ht="15" customHeight="1">
      <c r="A1002" s="167"/>
      <c r="B1002" s="171"/>
      <c r="C1002" s="956"/>
      <c r="D1002" s="956"/>
      <c r="E1002" s="1009"/>
      <c r="F1002" s="1010"/>
      <c r="G1002" s="1009"/>
      <c r="H1002" s="163"/>
    </row>
    <row r="1003" spans="1:8" ht="15" customHeight="1">
      <c r="A1003" s="965"/>
      <c r="B1003" s="1022"/>
      <c r="C1003" s="1023"/>
      <c r="D1003" s="956"/>
      <c r="E1003" s="1009"/>
      <c r="F1003" s="1010"/>
      <c r="G1003" s="1009"/>
      <c r="H1003" s="163"/>
    </row>
    <row r="1004" spans="1:8" ht="15" customHeight="1">
      <c r="A1004" s="167"/>
      <c r="B1004" s="171"/>
      <c r="C1004" s="956"/>
      <c r="D1004" s="956"/>
      <c r="E1004" s="1009"/>
      <c r="F1004" s="1010"/>
      <c r="G1004" s="1009"/>
      <c r="H1004" s="163"/>
    </row>
    <row r="1005" spans="1:8" ht="15" customHeight="1">
      <c r="A1005" s="167"/>
      <c r="B1005" s="171"/>
      <c r="C1005" s="956"/>
      <c r="D1005" s="956"/>
      <c r="E1005" s="1009"/>
      <c r="F1005" s="1010"/>
      <c r="G1005" s="1009"/>
      <c r="H1005" s="163"/>
    </row>
    <row r="1006" spans="1:8" ht="15" customHeight="1">
      <c r="A1006" s="167"/>
      <c r="B1006" s="171"/>
      <c r="C1006" s="956"/>
      <c r="D1006" s="956"/>
      <c r="E1006" s="1009"/>
      <c r="F1006" s="1010"/>
      <c r="G1006" s="1009"/>
      <c r="H1006" s="163"/>
    </row>
    <row r="1007" spans="1:8" ht="15" customHeight="1">
      <c r="A1007" s="167"/>
      <c r="B1007" s="171"/>
      <c r="C1007" s="956"/>
      <c r="D1007" s="956"/>
      <c r="E1007" s="1009"/>
      <c r="F1007" s="1010"/>
      <c r="G1007" s="1009"/>
      <c r="H1007" s="163"/>
    </row>
    <row r="1008" spans="1:8" ht="15" customHeight="1">
      <c r="A1008" s="167"/>
      <c r="B1008" s="171"/>
      <c r="C1008" s="956"/>
      <c r="D1008" s="956"/>
      <c r="E1008" s="1009"/>
      <c r="F1008" s="1010"/>
      <c r="G1008" s="1009"/>
      <c r="H1008" s="163"/>
    </row>
    <row r="1009" spans="1:8" ht="15" customHeight="1">
      <c r="A1009" s="167"/>
      <c r="B1009" s="171"/>
      <c r="C1009" s="956"/>
      <c r="D1009" s="956"/>
      <c r="E1009" s="1009"/>
      <c r="F1009" s="1010"/>
      <c r="G1009" s="1009"/>
      <c r="H1009" s="163"/>
    </row>
    <row r="1010" spans="1:8" ht="15" customHeight="1">
      <c r="A1010" s="167"/>
      <c r="B1010" s="171"/>
      <c r="C1010" s="956"/>
      <c r="D1010" s="956"/>
      <c r="E1010" s="1009"/>
      <c r="F1010" s="1010"/>
      <c r="G1010" s="1009"/>
      <c r="H1010" s="163"/>
    </row>
    <row r="1011" spans="1:8" ht="15" customHeight="1">
      <c r="A1011" s="167"/>
      <c r="B1011" s="171"/>
      <c r="C1011" s="956"/>
      <c r="D1011" s="956"/>
      <c r="E1011" s="1009"/>
      <c r="F1011" s="1010"/>
      <c r="G1011" s="1009"/>
      <c r="H1011" s="163"/>
    </row>
    <row r="1012" spans="1:8" ht="15" customHeight="1">
      <c r="A1012" s="167"/>
      <c r="B1012" s="171"/>
      <c r="C1012" s="956"/>
      <c r="D1012" s="956"/>
      <c r="E1012" s="1009"/>
      <c r="F1012" s="1010"/>
      <c r="G1012" s="1009"/>
      <c r="H1012" s="163"/>
    </row>
    <row r="1013" spans="1:8" ht="15" customHeight="1">
      <c r="A1013" s="167"/>
      <c r="B1013" s="171"/>
      <c r="C1013" s="956"/>
      <c r="D1013" s="956"/>
      <c r="E1013" s="1009"/>
      <c r="F1013" s="1010"/>
      <c r="G1013" s="1009"/>
      <c r="H1013" s="163"/>
    </row>
    <row r="1014" spans="1:8" ht="15" customHeight="1">
      <c r="A1014" s="167"/>
      <c r="B1014" s="171"/>
      <c r="C1014" s="956"/>
      <c r="D1014" s="956"/>
      <c r="E1014" s="1009"/>
      <c r="F1014" s="1010"/>
      <c r="G1014" s="1009"/>
      <c r="H1014" s="163"/>
    </row>
    <row r="1015" spans="1:8" ht="15" customHeight="1">
      <c r="A1015" s="167"/>
      <c r="B1015" s="171"/>
      <c r="C1015" s="956"/>
      <c r="D1015" s="956"/>
      <c r="E1015" s="1009"/>
      <c r="F1015" s="1010"/>
      <c r="G1015" s="1009"/>
      <c r="H1015" s="163"/>
    </row>
    <row r="1016" spans="1:8" ht="15" customHeight="1">
      <c r="A1016" s="167"/>
      <c r="B1016" s="171"/>
      <c r="C1016" s="956"/>
      <c r="D1016" s="956"/>
      <c r="E1016" s="1009"/>
      <c r="F1016" s="1010"/>
      <c r="G1016" s="1009"/>
      <c r="H1016" s="163"/>
    </row>
    <row r="1017" spans="1:8" ht="15" customHeight="1">
      <c r="A1017" s="167"/>
      <c r="B1017" s="171"/>
      <c r="C1017" s="956"/>
      <c r="D1017" s="956"/>
      <c r="E1017" s="1009"/>
      <c r="F1017" s="1010"/>
      <c r="G1017" s="1009"/>
      <c r="H1017" s="163"/>
    </row>
    <row r="1018" spans="1:8" ht="15" customHeight="1">
      <c r="A1018" s="167"/>
      <c r="B1018" s="171"/>
      <c r="C1018" s="956"/>
      <c r="D1018" s="956"/>
      <c r="E1018" s="1009"/>
      <c r="F1018" s="1010"/>
      <c r="G1018" s="1009"/>
      <c r="H1018" s="163"/>
    </row>
    <row r="1019" spans="1:8" ht="15" customHeight="1">
      <c r="A1019" s="167"/>
      <c r="B1019" s="171"/>
      <c r="C1019" s="956"/>
      <c r="D1019" s="956"/>
      <c r="E1019" s="1009"/>
      <c r="F1019" s="1010"/>
      <c r="G1019" s="1009"/>
      <c r="H1019" s="163"/>
    </row>
    <row r="1020" spans="1:8" ht="15" customHeight="1">
      <c r="A1020" s="167"/>
      <c r="B1020" s="171"/>
      <c r="C1020" s="956"/>
      <c r="D1020" s="956"/>
      <c r="E1020" s="1009"/>
      <c r="F1020" s="1010"/>
      <c r="G1020" s="1009"/>
      <c r="H1020" s="163"/>
    </row>
    <row r="1021" spans="1:8" ht="15" customHeight="1">
      <c r="A1021" s="167"/>
      <c r="B1021" s="171"/>
      <c r="C1021" s="956"/>
      <c r="D1021" s="956"/>
      <c r="E1021" s="1009"/>
      <c r="F1021" s="1010"/>
      <c r="G1021" s="1009"/>
      <c r="H1021" s="163"/>
    </row>
    <row r="1022" spans="1:8" ht="15" customHeight="1">
      <c r="A1022" s="167"/>
      <c r="B1022" s="171"/>
      <c r="C1022" s="956"/>
      <c r="D1022" s="956"/>
      <c r="E1022" s="1009"/>
      <c r="F1022" s="1010"/>
      <c r="G1022" s="1009"/>
      <c r="H1022" s="163"/>
    </row>
    <row r="1023" spans="1:8" ht="15" customHeight="1">
      <c r="A1023" s="167"/>
      <c r="B1023" s="171"/>
      <c r="C1023" s="956"/>
      <c r="D1023" s="956"/>
      <c r="E1023" s="1009"/>
      <c r="F1023" s="1010"/>
      <c r="G1023" s="1009"/>
      <c r="H1023" s="163"/>
    </row>
    <row r="1024" spans="1:8" ht="15" customHeight="1">
      <c r="A1024" s="167"/>
      <c r="B1024" s="171"/>
      <c r="C1024" s="956"/>
      <c r="D1024" s="956"/>
      <c r="E1024" s="1009"/>
      <c r="F1024" s="1010"/>
      <c r="G1024" s="1009"/>
      <c r="H1024" s="163"/>
    </row>
    <row r="1025" spans="1:11" ht="15" customHeight="1">
      <c r="A1025" s="167"/>
      <c r="B1025" s="171"/>
      <c r="C1025" s="956"/>
      <c r="D1025" s="956"/>
      <c r="E1025" s="1009"/>
      <c r="F1025" s="1010"/>
      <c r="G1025" s="1009"/>
      <c r="H1025" s="163"/>
    </row>
    <row r="1026" spans="1:11" ht="15" customHeight="1">
      <c r="A1026" s="167"/>
      <c r="B1026" s="172"/>
      <c r="C1026" s="956"/>
      <c r="D1026" s="956"/>
      <c r="E1026" s="1009"/>
      <c r="F1026" s="1010"/>
      <c r="G1026" s="1009"/>
      <c r="H1026" s="163"/>
    </row>
    <row r="1027" spans="1:11" ht="15" customHeight="1">
      <c r="A1027" s="167"/>
      <c r="B1027" s="171"/>
      <c r="C1027" s="956"/>
      <c r="D1027" s="956"/>
      <c r="E1027" s="1009"/>
      <c r="F1027" s="1010"/>
      <c r="G1027" s="1009"/>
      <c r="H1027" s="163"/>
    </row>
    <row r="1028" spans="1:11" ht="15" customHeight="1">
      <c r="A1028" s="167"/>
      <c r="B1028" s="171"/>
      <c r="C1028" s="956"/>
      <c r="D1028" s="956"/>
      <c r="E1028" s="1009"/>
      <c r="F1028" s="1010"/>
      <c r="G1028" s="1009"/>
      <c r="H1028" s="163"/>
      <c r="K1028" s="2"/>
    </row>
    <row r="1029" spans="1:11" ht="15" customHeight="1">
      <c r="A1029" s="167"/>
      <c r="B1029" s="171"/>
      <c r="C1029" s="956"/>
      <c r="D1029" s="956"/>
      <c r="E1029" s="1009"/>
      <c r="F1029" s="1010"/>
      <c r="G1029" s="1009"/>
      <c r="H1029" s="163"/>
      <c r="K1029" s="2"/>
    </row>
    <row r="1030" spans="1:11" ht="15" customHeight="1">
      <c r="A1030" s="167"/>
      <c r="B1030" s="171"/>
      <c r="C1030" s="956"/>
      <c r="D1030" s="956"/>
      <c r="E1030" s="1009"/>
      <c r="F1030" s="1010"/>
      <c r="G1030" s="1009"/>
      <c r="H1030" s="163"/>
    </row>
    <row r="1031" spans="1:11" ht="15" customHeight="1">
      <c r="A1031" s="167"/>
      <c r="B1031" s="171"/>
      <c r="C1031" s="956"/>
      <c r="D1031" s="956"/>
      <c r="E1031" s="1009"/>
      <c r="F1031" s="1010"/>
      <c r="G1031" s="1009"/>
      <c r="H1031" s="163"/>
    </row>
    <row r="1032" spans="1:11" ht="15" customHeight="1">
      <c r="A1032" s="167"/>
      <c r="B1032" s="171"/>
      <c r="C1032" s="956"/>
      <c r="D1032" s="956"/>
      <c r="E1032" s="1009"/>
      <c r="F1032" s="1010"/>
      <c r="G1032" s="1009"/>
      <c r="H1032" s="163"/>
    </row>
    <row r="1033" spans="1:11" ht="15" customHeight="1">
      <c r="A1033" s="167"/>
      <c r="B1033" s="171"/>
      <c r="C1033" s="956"/>
      <c r="D1033" s="956"/>
      <c r="E1033" s="1009"/>
      <c r="F1033" s="1010"/>
      <c r="G1033" s="1009"/>
      <c r="H1033" s="163"/>
    </row>
    <row r="1034" spans="1:11" ht="15.75" customHeight="1">
      <c r="A1034" s="167"/>
      <c r="B1034" s="171"/>
      <c r="C1034" s="956"/>
      <c r="D1034" s="956"/>
      <c r="E1034" s="1009"/>
      <c r="F1034" s="1010"/>
      <c r="G1034" s="1009"/>
      <c r="H1034" s="163"/>
    </row>
    <row r="1035" spans="1:11" ht="15.75" customHeight="1">
      <c r="A1035" s="167"/>
      <c r="B1035" s="171"/>
      <c r="C1035" s="956"/>
      <c r="D1035" s="956"/>
      <c r="E1035" s="1009"/>
      <c r="F1035" s="1010"/>
      <c r="G1035" s="1009"/>
      <c r="H1035" s="163"/>
      <c r="K1035" s="2"/>
    </row>
    <row r="1036" spans="1:11" ht="15.75" customHeight="1">
      <c r="A1036" s="167"/>
      <c r="B1036" s="171"/>
      <c r="C1036" s="956"/>
      <c r="D1036" s="956"/>
      <c r="E1036" s="1009"/>
      <c r="F1036" s="1010"/>
      <c r="G1036" s="1009"/>
      <c r="H1036" s="163"/>
    </row>
    <row r="1037" spans="1:11" ht="15.75" customHeight="1">
      <c r="A1037" s="167"/>
      <c r="B1037" s="171"/>
      <c r="C1037" s="956"/>
      <c r="D1037" s="956"/>
      <c r="E1037" s="1009"/>
      <c r="F1037" s="1010"/>
      <c r="G1037" s="1009"/>
      <c r="H1037" s="163"/>
    </row>
    <row r="1038" spans="1:11" ht="15.75" customHeight="1">
      <c r="A1038" s="167"/>
      <c r="B1038" s="171"/>
      <c r="C1038" s="956"/>
      <c r="D1038" s="956"/>
      <c r="E1038" s="1009"/>
      <c r="F1038" s="1010"/>
      <c r="G1038" s="1009"/>
      <c r="H1038" s="163"/>
    </row>
    <row r="1039" spans="1:11" ht="15.75" customHeight="1">
      <c r="A1039" s="167"/>
      <c r="B1039" s="171"/>
      <c r="C1039" s="956"/>
      <c r="D1039" s="956"/>
      <c r="E1039" s="1009"/>
      <c r="F1039" s="1010"/>
      <c r="G1039" s="1009"/>
      <c r="H1039" s="163"/>
    </row>
    <row r="1040" spans="1:11" ht="15.75" customHeight="1">
      <c r="A1040" s="167"/>
      <c r="B1040" s="171"/>
      <c r="C1040" s="956"/>
      <c r="D1040" s="956"/>
      <c r="E1040" s="1009"/>
      <c r="F1040" s="1010"/>
      <c r="G1040" s="1009"/>
      <c r="H1040" s="163"/>
    </row>
    <row r="1041" spans="1:29" ht="15.75" customHeight="1">
      <c r="A1041" s="167"/>
      <c r="B1041" s="171"/>
      <c r="C1041" s="956"/>
      <c r="D1041" s="956"/>
      <c r="E1041" s="1009"/>
      <c r="F1041" s="1010"/>
      <c r="G1041" s="1009"/>
      <c r="H1041" s="165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167"/>
      <c r="B1042" s="171"/>
      <c r="C1042" s="956"/>
      <c r="D1042" s="956"/>
      <c r="E1042" s="1009"/>
      <c r="F1042" s="1010"/>
      <c r="G1042" s="1009"/>
      <c r="H1042" s="163"/>
    </row>
    <row r="1043" spans="1:29" ht="15.75" customHeight="1">
      <c r="A1043" s="167"/>
      <c r="B1043" s="171"/>
      <c r="C1043" s="956"/>
      <c r="D1043" s="956"/>
      <c r="E1043" s="1009"/>
      <c r="F1043" s="1010"/>
      <c r="G1043" s="1009"/>
      <c r="H1043" s="163"/>
    </row>
    <row r="1044" spans="1:29" ht="15.75" customHeight="1">
      <c r="A1044" s="167"/>
      <c r="B1044" s="171"/>
      <c r="C1044" s="956"/>
      <c r="D1044" s="956"/>
      <c r="E1044" s="1009"/>
      <c r="F1044" s="1010"/>
      <c r="G1044" s="1009"/>
      <c r="H1044" s="163"/>
    </row>
    <row r="1045" spans="1:29" ht="15.75" customHeight="1">
      <c r="A1045" s="167"/>
      <c r="B1045" s="171"/>
      <c r="C1045" s="956"/>
      <c r="D1045" s="956"/>
      <c r="E1045" s="1009"/>
      <c r="F1045" s="1010"/>
      <c r="G1045" s="1009"/>
      <c r="H1045" s="163"/>
    </row>
    <row r="1046" spans="1:29" ht="15.75" customHeight="1">
      <c r="A1046" s="167"/>
      <c r="B1046" s="171"/>
      <c r="C1046" s="956"/>
      <c r="D1046" s="956"/>
      <c r="E1046" s="1009"/>
      <c r="F1046" s="1010"/>
      <c r="G1046" s="1009"/>
      <c r="H1046" s="163"/>
    </row>
    <row r="1047" spans="1:29" ht="15.75" customHeight="1">
      <c r="A1047" s="167"/>
      <c r="B1047" s="171"/>
      <c r="C1047" s="956"/>
      <c r="D1047" s="956"/>
      <c r="E1047" s="1009"/>
      <c r="F1047" s="1010"/>
      <c r="G1047" s="1009"/>
      <c r="H1047" s="163"/>
    </row>
    <row r="1048" spans="1:29" ht="15.75" customHeight="1">
      <c r="A1048" s="167"/>
      <c r="B1048" s="171"/>
      <c r="C1048" s="956"/>
      <c r="D1048" s="956"/>
      <c r="E1048" s="1009"/>
      <c r="F1048" s="1010"/>
      <c r="G1048" s="1009"/>
      <c r="H1048" s="163"/>
      <c r="K1048" s="2"/>
    </row>
    <row r="1049" spans="1:29" ht="15.75" customHeight="1">
      <c r="A1049" s="167"/>
      <c r="B1049" s="171"/>
      <c r="C1049" s="956"/>
      <c r="D1049" s="956"/>
      <c r="E1049" s="1009"/>
      <c r="F1049" s="1010"/>
      <c r="G1049" s="1009"/>
      <c r="H1049" s="163"/>
    </row>
    <row r="1050" spans="1:29" ht="15.75" customHeight="1">
      <c r="A1050" s="167"/>
      <c r="B1050" s="171"/>
      <c r="C1050" s="956"/>
      <c r="D1050" s="956"/>
      <c r="E1050" s="1009"/>
      <c r="F1050" s="1010"/>
      <c r="G1050" s="1009"/>
      <c r="H1050" s="163"/>
    </row>
    <row r="1051" spans="1:29" ht="15.75" customHeight="1">
      <c r="A1051" s="167"/>
      <c r="B1051" s="171"/>
      <c r="C1051" s="956"/>
      <c r="D1051" s="956"/>
      <c r="E1051" s="1009"/>
      <c r="F1051" s="1010"/>
      <c r="G1051" s="1009"/>
      <c r="H1051" s="163"/>
    </row>
    <row r="1052" spans="1:29" ht="15.75" customHeight="1">
      <c r="A1052" s="167"/>
      <c r="B1052" s="171"/>
      <c r="C1052" s="956"/>
      <c r="D1052" s="956"/>
      <c r="E1052" s="1009"/>
      <c r="F1052" s="1010"/>
      <c r="G1052" s="1009"/>
      <c r="H1052" s="163"/>
    </row>
    <row r="1053" spans="1:29" ht="15.75" customHeight="1">
      <c r="A1053" s="167"/>
      <c r="B1053" s="171"/>
      <c r="C1053" s="956"/>
      <c r="D1053" s="956"/>
      <c r="E1053" s="1009"/>
      <c r="F1053" s="1010"/>
      <c r="G1053" s="1009"/>
      <c r="H1053" s="163"/>
    </row>
    <row r="1054" spans="1:29" ht="15.75" customHeight="1">
      <c r="A1054" s="167"/>
      <c r="B1054" s="171"/>
      <c r="C1054" s="956"/>
      <c r="D1054" s="956"/>
      <c r="E1054" s="1009"/>
      <c r="F1054" s="1010"/>
      <c r="G1054" s="1009"/>
      <c r="H1054" s="163"/>
    </row>
    <row r="1055" spans="1:29" ht="15.75" customHeight="1">
      <c r="A1055" s="167"/>
      <c r="B1055" s="171"/>
      <c r="C1055" s="956"/>
      <c r="D1055" s="956"/>
      <c r="E1055" s="1009"/>
      <c r="F1055" s="1010"/>
      <c r="G1055" s="1009"/>
      <c r="H1055" s="163"/>
    </row>
    <row r="1056" spans="1:29" ht="15.75" customHeight="1">
      <c r="A1056" s="167"/>
      <c r="B1056" s="171"/>
      <c r="C1056" s="956"/>
      <c r="D1056" s="956"/>
      <c r="E1056" s="1009"/>
      <c r="F1056" s="1010"/>
      <c r="G1056" s="1009"/>
      <c r="H1056" s="163"/>
    </row>
    <row r="1057" spans="1:8" ht="15.75" customHeight="1">
      <c r="A1057" s="965"/>
      <c r="B1057" s="956"/>
      <c r="C1057" s="956"/>
      <c r="D1057" s="956"/>
      <c r="E1057" s="1009"/>
      <c r="F1057" s="1010"/>
      <c r="G1057" s="1009"/>
      <c r="H1057" s="163"/>
    </row>
    <row r="1058" spans="1:8" ht="15.75" customHeight="1">
      <c r="A1058" s="167"/>
      <c r="B1058" s="171"/>
      <c r="C1058" s="956"/>
      <c r="D1058" s="956"/>
      <c r="E1058" s="1009"/>
      <c r="F1058" s="1010"/>
      <c r="G1058" s="1009"/>
      <c r="H1058" s="163"/>
    </row>
    <row r="1059" spans="1:8" ht="15.75" customHeight="1">
      <c r="A1059" s="167"/>
      <c r="B1059" s="171"/>
      <c r="C1059" s="956"/>
      <c r="D1059" s="956"/>
      <c r="E1059" s="1009"/>
      <c r="F1059" s="1010"/>
      <c r="G1059" s="1009"/>
      <c r="H1059" s="163"/>
    </row>
    <row r="1060" spans="1:8" ht="15.75" customHeight="1">
      <c r="A1060" s="167"/>
      <c r="B1060" s="171"/>
      <c r="C1060" s="956"/>
      <c r="D1060" s="956"/>
      <c r="E1060" s="1009"/>
      <c r="F1060" s="1010"/>
      <c r="G1060" s="1009"/>
      <c r="H1060" s="163"/>
    </row>
    <row r="1061" spans="1:8" ht="15.75" customHeight="1">
      <c r="A1061" s="167"/>
      <c r="B1061" s="171"/>
      <c r="C1061" s="956"/>
      <c r="D1061" s="956"/>
      <c r="E1061" s="1009"/>
      <c r="F1061" s="1010"/>
      <c r="G1061" s="1009"/>
      <c r="H1061" s="163"/>
    </row>
    <row r="1062" spans="1:8" ht="15" customHeight="1">
      <c r="A1062" s="167"/>
      <c r="B1062" s="171"/>
      <c r="C1062" s="956"/>
      <c r="D1062" s="956"/>
      <c r="E1062" s="1009"/>
      <c r="F1062" s="1010"/>
      <c r="G1062" s="1009"/>
    </row>
    <row r="1063" spans="1:8" ht="15" customHeight="1">
      <c r="A1063" s="167"/>
      <c r="B1063" s="171"/>
      <c r="C1063" s="956"/>
      <c r="D1063" s="956"/>
      <c r="E1063" s="1009"/>
      <c r="F1063" s="1010"/>
      <c r="G1063" s="1009"/>
    </row>
    <row r="1064" spans="1:8" ht="15" customHeight="1">
      <c r="A1064" s="167"/>
      <c r="B1064" s="171"/>
      <c r="C1064" s="956"/>
      <c r="D1064" s="956"/>
      <c r="E1064" s="1009"/>
      <c r="F1064" s="1010"/>
      <c r="G1064" s="1009"/>
    </row>
    <row r="1065" spans="1:8" ht="15" customHeight="1">
      <c r="A1065" s="167"/>
      <c r="B1065" s="171"/>
      <c r="C1065" s="956"/>
      <c r="D1065" s="956"/>
      <c r="E1065" s="1009"/>
      <c r="F1065" s="1010"/>
      <c r="G1065" s="1009"/>
    </row>
    <row r="1066" spans="1:8" ht="15" customHeight="1">
      <c r="A1066" s="167"/>
      <c r="B1066" s="171"/>
      <c r="C1066" s="956"/>
      <c r="D1066" s="956"/>
      <c r="E1066" s="1009"/>
      <c r="F1066" s="1010"/>
      <c r="G1066" s="1009"/>
    </row>
    <row r="1067" spans="1:8" ht="15" customHeight="1">
      <c r="A1067" s="964"/>
      <c r="B1067" s="171"/>
      <c r="C1067" s="956"/>
      <c r="D1067" s="956"/>
      <c r="E1067" s="1009"/>
      <c r="F1067" s="1010"/>
      <c r="G1067" s="1009"/>
    </row>
  </sheetData>
  <autoFilter ref="A1:G870" xr:uid="{A6771193-2606-448A-9546-FCDADAF34D90}"/>
  <dataValidations count="3">
    <dataValidation type="list" allowBlank="1" showErrorMessage="1" sqref="D1" xr:uid="{00000000-0002-0000-0900-000000000000}">
      <formula1>$K$1:$K$146</formula1>
    </dataValidation>
    <dataValidation type="list" allowBlank="1" showErrorMessage="1" sqref="C2:C1067" xr:uid="{00000000-0002-0000-0900-000001000000}">
      <formula1>$I$1:$I$11</formula1>
    </dataValidation>
    <dataValidation type="list" allowBlank="1" showInputMessage="1" showErrorMessage="1" sqref="D2:D1161" xr:uid="{00000000-0002-0000-0900-000002000000}">
      <formula1>$K$3:$K$146</formula1>
    </dataValidation>
  </dataValidations>
  <hyperlinks>
    <hyperlink ref="A523" r:id="rId1" xr:uid="{00000000-0004-0000-0900-000000000000}"/>
  </hyperlinks>
  <pageMargins left="0.7" right="0.7" top="0.75" bottom="0.75" header="0" footer="0"/>
  <pageSetup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2021-03-10T18:27:30Z</cp:lastPrinted>
  <dcterms:created xsi:type="dcterms:W3CDTF">2020-10-20T13:57:48Z</dcterms:created>
  <dcterms:modified xsi:type="dcterms:W3CDTF">2021-04-09T19:56:12Z</dcterms:modified>
</cp:coreProperties>
</file>